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www13\Desktop\"/>
    </mc:Choice>
  </mc:AlternateContent>
  <xr:revisionPtr revIDLastSave="0" documentId="13_ncr:1_{EDD8974A-782C-4782-A773-BE4E1825858E}" xr6:coauthVersionLast="47" xr6:coauthVersionMax="47" xr10:uidLastSave="{00000000-0000-0000-0000-000000000000}"/>
  <bookViews>
    <workbookView xWindow="-109" yWindow="254" windowWidth="23452" windowHeight="12924" activeTab="5" xr2:uid="{00000000-000D-0000-FFFF-FFFF00000000}"/>
  </bookViews>
  <sheets>
    <sheet name="计算" sheetId="1" r:id="rId1"/>
    <sheet name="物理性状" sheetId="4" r:id="rId2"/>
    <sheet name="Sheet1" sheetId="5" r:id="rId3"/>
    <sheet name="CNP" sheetId="2" r:id="rId4"/>
    <sheet name="生物量" sheetId="3" r:id="rId5"/>
    <sheet name="FD与CWM" sheetId="6" r:id="rId6"/>
    <sheet name="性状降维" sheetId="10" r:id="rId7"/>
    <sheet name="时间稳定性" sheetId="7" r:id="rId8"/>
    <sheet name="Sheet3" sheetId="8" r:id="rId9"/>
    <sheet name="生态系统稳定性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6" l="1"/>
  <c r="F58" i="6"/>
  <c r="G58" i="6"/>
  <c r="G59" i="6" s="1"/>
  <c r="H58" i="6"/>
  <c r="I58" i="6"/>
  <c r="J58" i="6"/>
  <c r="K58" i="6"/>
  <c r="K59" i="6" s="1"/>
  <c r="L58" i="6"/>
  <c r="L59" i="6" s="1"/>
  <c r="M58" i="6"/>
  <c r="M59" i="6" s="1"/>
  <c r="N58" i="6"/>
  <c r="N59" i="6" s="1"/>
  <c r="O58" i="6"/>
  <c r="E59" i="6"/>
  <c r="H59" i="6"/>
  <c r="O59" i="6"/>
  <c r="E60" i="6"/>
  <c r="F60" i="6"/>
  <c r="F59" i="6" s="1"/>
  <c r="G60" i="6"/>
  <c r="H60" i="6"/>
  <c r="I60" i="6"/>
  <c r="I59" i="6" s="1"/>
  <c r="J60" i="6"/>
  <c r="J59" i="6" s="1"/>
  <c r="K60" i="6"/>
  <c r="L60" i="6"/>
  <c r="M60" i="6"/>
  <c r="N60" i="6"/>
  <c r="O60" i="6"/>
  <c r="D60" i="6"/>
  <c r="D59" i="6" s="1"/>
  <c r="D58" i="6"/>
  <c r="E55" i="6"/>
  <c r="F55" i="6"/>
  <c r="G55" i="6"/>
  <c r="H55" i="6"/>
  <c r="I55" i="6"/>
  <c r="J55" i="6"/>
  <c r="K55" i="6"/>
  <c r="L55" i="6"/>
  <c r="M55" i="6"/>
  <c r="N55" i="6"/>
  <c r="O55" i="6"/>
  <c r="E56" i="6"/>
  <c r="I56" i="6"/>
  <c r="O56" i="6"/>
  <c r="E57" i="6"/>
  <c r="F57" i="6"/>
  <c r="F56" i="6" s="1"/>
  <c r="G57" i="6"/>
  <c r="G56" i="6" s="1"/>
  <c r="H57" i="6"/>
  <c r="H56" i="6" s="1"/>
  <c r="I57" i="6"/>
  <c r="J57" i="6"/>
  <c r="J56" i="6" s="1"/>
  <c r="K57" i="6"/>
  <c r="K56" i="6" s="1"/>
  <c r="L57" i="6"/>
  <c r="L56" i="6" s="1"/>
  <c r="M57" i="6"/>
  <c r="M56" i="6" s="1"/>
  <c r="N57" i="6"/>
  <c r="N56" i="6" s="1"/>
  <c r="O57" i="6"/>
  <c r="D57" i="6"/>
  <c r="D55" i="6"/>
  <c r="E52" i="6"/>
  <c r="F52" i="6"/>
  <c r="G52" i="6"/>
  <c r="H52" i="6"/>
  <c r="I52" i="6"/>
  <c r="J52" i="6"/>
  <c r="K52" i="6"/>
  <c r="L52" i="6"/>
  <c r="M52" i="6"/>
  <c r="N52" i="6"/>
  <c r="O52" i="6"/>
  <c r="E53" i="6"/>
  <c r="I53" i="6"/>
  <c r="O53" i="6"/>
  <c r="E54" i="6"/>
  <c r="F54" i="6"/>
  <c r="F53" i="6" s="1"/>
  <c r="G54" i="6"/>
  <c r="G53" i="6" s="1"/>
  <c r="H54" i="6"/>
  <c r="H53" i="6" s="1"/>
  <c r="I54" i="6"/>
  <c r="J54" i="6"/>
  <c r="J53" i="6" s="1"/>
  <c r="K54" i="6"/>
  <c r="K53" i="6" s="1"/>
  <c r="L54" i="6"/>
  <c r="L53" i="6" s="1"/>
  <c r="M54" i="6"/>
  <c r="M53" i="6" s="1"/>
  <c r="N54" i="6"/>
  <c r="N53" i="6" s="1"/>
  <c r="O54" i="6"/>
  <c r="D54" i="6"/>
  <c r="D52" i="6"/>
  <c r="D56" i="6"/>
  <c r="D53" i="6"/>
  <c r="O44" i="8"/>
  <c r="N44" i="8"/>
  <c r="O41" i="8"/>
  <c r="N41" i="8"/>
  <c r="O38" i="8"/>
  <c r="N38" i="8"/>
  <c r="O35" i="8"/>
  <c r="N35" i="8"/>
  <c r="O32" i="8"/>
  <c r="N32" i="8"/>
  <c r="O29" i="8"/>
  <c r="N29" i="8"/>
  <c r="O26" i="8"/>
  <c r="N26" i="8"/>
  <c r="O23" i="8"/>
  <c r="N23" i="8"/>
  <c r="O20" i="8"/>
  <c r="N20" i="8"/>
  <c r="O17" i="8"/>
  <c r="N17" i="8"/>
  <c r="O14" i="8"/>
  <c r="N14" i="8"/>
  <c r="O11" i="8"/>
  <c r="N11" i="8"/>
  <c r="O8" i="8"/>
  <c r="N8" i="8"/>
  <c r="O5" i="8"/>
  <c r="N5" i="8"/>
  <c r="N2" i="8"/>
  <c r="O2" i="8"/>
  <c r="D217" i="5"/>
  <c r="D218" i="5" s="1"/>
  <c r="C217" i="5"/>
  <c r="E217" i="5"/>
  <c r="J217" i="5"/>
  <c r="T50" i="6"/>
  <c r="S49" i="6"/>
  <c r="S51" i="6"/>
  <c r="S50" i="6" s="1"/>
  <c r="P49" i="6"/>
  <c r="Q49" i="6"/>
  <c r="R49" i="6"/>
  <c r="P51" i="6"/>
  <c r="Q51" i="6"/>
  <c r="Q50" i="6" s="1"/>
  <c r="R51" i="6"/>
  <c r="R50" i="6" s="1"/>
  <c r="V46" i="9"/>
  <c r="U46" i="9"/>
  <c r="T46" i="9"/>
  <c r="V45" i="9"/>
  <c r="U45" i="9"/>
  <c r="T45" i="9"/>
  <c r="V44" i="9"/>
  <c r="U44" i="9"/>
  <c r="T44" i="9"/>
  <c r="V43" i="9"/>
  <c r="U43" i="9"/>
  <c r="T43" i="9"/>
  <c r="V42" i="9"/>
  <c r="U42" i="9"/>
  <c r="T42" i="9"/>
  <c r="V41" i="9"/>
  <c r="U41" i="9"/>
  <c r="T41" i="9"/>
  <c r="V40" i="9"/>
  <c r="U40" i="9"/>
  <c r="T40" i="9"/>
  <c r="V39" i="9"/>
  <c r="U39" i="9"/>
  <c r="T39" i="9"/>
  <c r="V38" i="9"/>
  <c r="U38" i="9"/>
  <c r="T38" i="9"/>
  <c r="V37" i="9"/>
  <c r="U37" i="9"/>
  <c r="T37" i="9"/>
  <c r="V36" i="9"/>
  <c r="U36" i="9"/>
  <c r="T36" i="9"/>
  <c r="V35" i="9"/>
  <c r="U35" i="9"/>
  <c r="T35" i="9"/>
  <c r="V34" i="9"/>
  <c r="U34" i="9"/>
  <c r="T34" i="9"/>
  <c r="V33" i="9"/>
  <c r="U33" i="9"/>
  <c r="T33" i="9"/>
  <c r="V32" i="9"/>
  <c r="U32" i="9"/>
  <c r="T32" i="9"/>
  <c r="V31" i="9"/>
  <c r="T31" i="9"/>
  <c r="U31" i="9"/>
  <c r="V30" i="9"/>
  <c r="U30" i="9"/>
  <c r="T30" i="9"/>
  <c r="V29" i="9"/>
  <c r="U29" i="9"/>
  <c r="T29" i="9"/>
  <c r="V28" i="9"/>
  <c r="U28" i="9"/>
  <c r="T28" i="9"/>
  <c r="V27" i="9"/>
  <c r="U27" i="9"/>
  <c r="T27" i="9"/>
  <c r="V26" i="9"/>
  <c r="U26" i="9"/>
  <c r="T26" i="9"/>
  <c r="V25" i="9"/>
  <c r="U25" i="9"/>
  <c r="T25" i="9"/>
  <c r="V24" i="9"/>
  <c r="U24" i="9"/>
  <c r="T24" i="9"/>
  <c r="V23" i="9"/>
  <c r="U23" i="9"/>
  <c r="T23" i="9"/>
  <c r="V22" i="9"/>
  <c r="U22" i="9"/>
  <c r="T22" i="9"/>
  <c r="V21" i="9"/>
  <c r="U21" i="9"/>
  <c r="T21" i="9"/>
  <c r="V20" i="9"/>
  <c r="U20" i="9"/>
  <c r="T20" i="9"/>
  <c r="V19" i="9"/>
  <c r="U19" i="9"/>
  <c r="T19" i="9"/>
  <c r="V18" i="9"/>
  <c r="U18" i="9"/>
  <c r="T18" i="9"/>
  <c r="V17" i="9"/>
  <c r="U17" i="9"/>
  <c r="T17" i="9"/>
  <c r="V16" i="9"/>
  <c r="U16" i="9"/>
  <c r="T16" i="9"/>
  <c r="V15" i="9"/>
  <c r="U15" i="9"/>
  <c r="T15" i="9"/>
  <c r="V14" i="9"/>
  <c r="U14" i="9"/>
  <c r="T14" i="9"/>
  <c r="V13" i="9"/>
  <c r="U13" i="9"/>
  <c r="T13" i="9"/>
  <c r="V12" i="9"/>
  <c r="U12" i="9"/>
  <c r="T12" i="9"/>
  <c r="V11" i="9"/>
  <c r="U11" i="9"/>
  <c r="T11" i="9"/>
  <c r="V10" i="9"/>
  <c r="U10" i="9"/>
  <c r="T10" i="9"/>
  <c r="V9" i="9"/>
  <c r="U9" i="9"/>
  <c r="T9" i="9"/>
  <c r="V8" i="9"/>
  <c r="U8" i="9"/>
  <c r="T8" i="9"/>
  <c r="V7" i="9"/>
  <c r="U7" i="9"/>
  <c r="T7" i="9"/>
  <c r="V6" i="9"/>
  <c r="U6" i="9"/>
  <c r="T6" i="9"/>
  <c r="V5" i="9"/>
  <c r="U5" i="9"/>
  <c r="T5" i="9"/>
  <c r="T4" i="9"/>
  <c r="U4" i="9"/>
  <c r="V4" i="9"/>
  <c r="V3" i="9"/>
  <c r="U3" i="9"/>
  <c r="T3" i="9"/>
  <c r="V2" i="9"/>
  <c r="U2" i="9"/>
  <c r="T2" i="9"/>
  <c r="Z8" i="9"/>
  <c r="AA8" i="9"/>
  <c r="Y9" i="9"/>
  <c r="Z9" i="9"/>
  <c r="AA9" i="9"/>
  <c r="AA10" i="9"/>
  <c r="Y11" i="9"/>
  <c r="Z11" i="9"/>
  <c r="AA11" i="9"/>
  <c r="Y12" i="9"/>
  <c r="Z12" i="9"/>
  <c r="AA12" i="9"/>
  <c r="Y13" i="9"/>
  <c r="Z13" i="9"/>
  <c r="AA13" i="9"/>
  <c r="Z20" i="9"/>
  <c r="AA20" i="9"/>
  <c r="Y21" i="9"/>
  <c r="Z21" i="9"/>
  <c r="AA21" i="9"/>
  <c r="Y23" i="9"/>
  <c r="Z23" i="9"/>
  <c r="AA23" i="9"/>
  <c r="Y24" i="9"/>
  <c r="Z24" i="9"/>
  <c r="AA24" i="9"/>
  <c r="Y25" i="9"/>
  <c r="Z25" i="9"/>
  <c r="AA25" i="9"/>
  <c r="Z32" i="9"/>
  <c r="AA32" i="9"/>
  <c r="Y33" i="9"/>
  <c r="Z33" i="9"/>
  <c r="AA33" i="9"/>
  <c r="AA34" i="9"/>
  <c r="Y35" i="9"/>
  <c r="Z35" i="9"/>
  <c r="AA35" i="9"/>
  <c r="Y36" i="9"/>
  <c r="Z36" i="9"/>
  <c r="AA36" i="9"/>
  <c r="Y37" i="9"/>
  <c r="Z37" i="9"/>
  <c r="AA37" i="9"/>
  <c r="Z40" i="9"/>
  <c r="Z44" i="9"/>
  <c r="AA44" i="9"/>
  <c r="Y45" i="9"/>
  <c r="Z45" i="9"/>
  <c r="AA45" i="9"/>
  <c r="AA46" i="9"/>
  <c r="AA2" i="9"/>
  <c r="Z2" i="9"/>
  <c r="Y2" i="9"/>
  <c r="X3" i="9"/>
  <c r="Y3" i="9" s="1"/>
  <c r="X4" i="9"/>
  <c r="Y4" i="9" s="1"/>
  <c r="X5" i="9"/>
  <c r="Y5" i="9" s="1"/>
  <c r="X6" i="9"/>
  <c r="Y6" i="9" s="1"/>
  <c r="X7" i="9"/>
  <c r="Y7" i="9" s="1"/>
  <c r="X8" i="9"/>
  <c r="Y8" i="9" s="1"/>
  <c r="X9" i="9"/>
  <c r="X10" i="9"/>
  <c r="Y10" i="9" s="1"/>
  <c r="X11" i="9"/>
  <c r="X12" i="9"/>
  <c r="X13" i="9"/>
  <c r="X14" i="9"/>
  <c r="Y14" i="9" s="1"/>
  <c r="X15" i="9"/>
  <c r="Y15" i="9" s="1"/>
  <c r="X16" i="9"/>
  <c r="Y16" i="9" s="1"/>
  <c r="X17" i="9"/>
  <c r="Y17" i="9" s="1"/>
  <c r="X18" i="9"/>
  <c r="Y18" i="9" s="1"/>
  <c r="X19" i="9"/>
  <c r="Y19" i="9" s="1"/>
  <c r="X20" i="9"/>
  <c r="Y20" i="9" s="1"/>
  <c r="X21" i="9"/>
  <c r="X22" i="9"/>
  <c r="Y22" i="9" s="1"/>
  <c r="X23" i="9"/>
  <c r="X24" i="9"/>
  <c r="X25" i="9"/>
  <c r="X26" i="9"/>
  <c r="Y26" i="9" s="1"/>
  <c r="X27" i="9"/>
  <c r="Y27" i="9" s="1"/>
  <c r="X28" i="9"/>
  <c r="Y28" i="9" s="1"/>
  <c r="X29" i="9"/>
  <c r="Y29" i="9" s="1"/>
  <c r="X30" i="9"/>
  <c r="Y30" i="9" s="1"/>
  <c r="X31" i="9"/>
  <c r="Y31" i="9" s="1"/>
  <c r="X32" i="9"/>
  <c r="Y32" i="9" s="1"/>
  <c r="X33" i="9"/>
  <c r="X34" i="9"/>
  <c r="Y34" i="9" s="1"/>
  <c r="X35" i="9"/>
  <c r="X36" i="9"/>
  <c r="X37" i="9"/>
  <c r="X38" i="9"/>
  <c r="Y38" i="9" s="1"/>
  <c r="X39" i="9"/>
  <c r="Y39" i="9" s="1"/>
  <c r="X40" i="9"/>
  <c r="Y40" i="9" s="1"/>
  <c r="X41" i="9"/>
  <c r="Y41" i="9" s="1"/>
  <c r="X42" i="9"/>
  <c r="Y42" i="9" s="1"/>
  <c r="X43" i="9"/>
  <c r="Y43" i="9" s="1"/>
  <c r="X44" i="9"/>
  <c r="Y44" i="9" s="1"/>
  <c r="X45" i="9"/>
  <c r="X46" i="9"/>
  <c r="Y46" i="9" s="1"/>
  <c r="X2" i="9"/>
  <c r="S2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P50" i="6" l="1"/>
  <c r="AA41" i="9"/>
  <c r="AA29" i="9"/>
  <c r="AA17" i="9"/>
  <c r="AA5" i="9"/>
  <c r="Z41" i="9"/>
  <c r="Z29" i="9"/>
  <c r="Z17" i="9"/>
  <c r="Z5" i="9"/>
  <c r="AA40" i="9"/>
  <c r="AA28" i="9"/>
  <c r="AA16" i="9"/>
  <c r="AA4" i="9"/>
  <c r="Z4" i="9"/>
  <c r="AA3" i="9"/>
  <c r="Z3" i="9"/>
  <c r="AA6" i="9"/>
  <c r="AA15" i="9"/>
  <c r="Z28" i="9"/>
  <c r="Z16" i="9"/>
  <c r="AA43" i="9"/>
  <c r="AA39" i="9"/>
  <c r="AA31" i="9"/>
  <c r="AA27" i="9"/>
  <c r="AA19" i="9"/>
  <c r="AA7" i="9"/>
  <c r="Z43" i="9"/>
  <c r="Z39" i="9"/>
  <c r="Z31" i="9"/>
  <c r="Z27" i="9"/>
  <c r="Z19" i="9"/>
  <c r="Z15" i="9"/>
  <c r="Z7" i="9"/>
  <c r="AA42" i="9"/>
  <c r="AA38" i="9"/>
  <c r="AA30" i="9"/>
  <c r="AA26" i="9"/>
  <c r="AA22" i="9"/>
  <c r="AA18" i="9"/>
  <c r="AA14" i="9"/>
  <c r="Z46" i="9"/>
  <c r="Z42" i="9"/>
  <c r="Z38" i="9"/>
  <c r="Z34" i="9"/>
  <c r="Z30" i="9"/>
  <c r="Z26" i="9"/>
  <c r="Z22" i="9"/>
  <c r="Z18" i="9"/>
  <c r="Z14" i="9"/>
  <c r="Z10" i="9"/>
  <c r="Z6" i="9"/>
  <c r="F49" i="6" l="1"/>
  <c r="G49" i="6"/>
  <c r="H49" i="6"/>
  <c r="I49" i="6"/>
  <c r="J49" i="6"/>
  <c r="K49" i="6"/>
  <c r="L49" i="6"/>
  <c r="M49" i="6"/>
  <c r="N49" i="6"/>
  <c r="O49" i="6"/>
  <c r="F51" i="6"/>
  <c r="G51" i="6"/>
  <c r="G50" i="6" s="1"/>
  <c r="H51" i="6"/>
  <c r="I51" i="6"/>
  <c r="I50" i="6" s="1"/>
  <c r="J51" i="6"/>
  <c r="J50" i="6" s="1"/>
  <c r="K51" i="6"/>
  <c r="K50" i="6" s="1"/>
  <c r="L51" i="6"/>
  <c r="M51" i="6"/>
  <c r="N51" i="6"/>
  <c r="N50" i="6" s="1"/>
  <c r="O51" i="6"/>
  <c r="H50" i="6" l="1"/>
  <c r="F50" i="6"/>
  <c r="L50" i="6"/>
  <c r="M50" i="6"/>
  <c r="O50" i="6"/>
  <c r="W12" i="6" l="1"/>
  <c r="C12" i="6"/>
  <c r="D11" i="6"/>
  <c r="W11" i="6"/>
  <c r="C11" i="6"/>
  <c r="D5" i="6"/>
  <c r="D12" i="6" s="1"/>
  <c r="W5" i="6"/>
  <c r="C5" i="6"/>
  <c r="H2" i="7"/>
  <c r="J2" i="7" s="1"/>
  <c r="H18" i="7"/>
  <c r="H32" i="7"/>
  <c r="H45" i="7"/>
  <c r="H46" i="7"/>
  <c r="F2" i="7"/>
  <c r="G2" i="7"/>
  <c r="F3" i="7"/>
  <c r="H3" i="7" s="1"/>
  <c r="G3" i="7"/>
  <c r="F4" i="7"/>
  <c r="H4" i="7" s="1"/>
  <c r="G4" i="7"/>
  <c r="F5" i="7"/>
  <c r="H5" i="7" s="1"/>
  <c r="G5" i="7"/>
  <c r="F6" i="7"/>
  <c r="H6" i="7" s="1"/>
  <c r="G6" i="7"/>
  <c r="F8" i="7"/>
  <c r="H8" i="7" s="1"/>
  <c r="G8" i="7"/>
  <c r="F9" i="7"/>
  <c r="G9" i="7"/>
  <c r="F10" i="7"/>
  <c r="G10" i="7"/>
  <c r="F11" i="7"/>
  <c r="H11" i="7" s="1"/>
  <c r="G11" i="7"/>
  <c r="F12" i="7"/>
  <c r="H12" i="7" s="1"/>
  <c r="G12" i="7"/>
  <c r="F13" i="7"/>
  <c r="G13" i="7"/>
  <c r="F14" i="7"/>
  <c r="G14" i="7"/>
  <c r="F15" i="7"/>
  <c r="H15" i="7" s="1"/>
  <c r="G15" i="7"/>
  <c r="F16" i="7"/>
  <c r="G16" i="7"/>
  <c r="H16" i="7" s="1"/>
  <c r="F17" i="7"/>
  <c r="H17" i="7" s="1"/>
  <c r="G17" i="7"/>
  <c r="F18" i="7"/>
  <c r="G18" i="7"/>
  <c r="F19" i="7"/>
  <c r="G19" i="7"/>
  <c r="H19" i="7" s="1"/>
  <c r="F20" i="7"/>
  <c r="H20" i="7" s="1"/>
  <c r="G20" i="7"/>
  <c r="F21" i="7"/>
  <c r="H21" i="7" s="1"/>
  <c r="G21" i="7"/>
  <c r="F22" i="7"/>
  <c r="H22" i="7" s="1"/>
  <c r="G22" i="7"/>
  <c r="F23" i="7"/>
  <c r="H23" i="7" s="1"/>
  <c r="G23" i="7"/>
  <c r="F24" i="7"/>
  <c r="H24" i="7" s="1"/>
  <c r="G24" i="7"/>
  <c r="F25" i="7"/>
  <c r="H25" i="7" s="1"/>
  <c r="G25" i="7"/>
  <c r="F26" i="7"/>
  <c r="H26" i="7" s="1"/>
  <c r="G26" i="7"/>
  <c r="F27" i="7"/>
  <c r="H27" i="7" s="1"/>
  <c r="G27" i="7"/>
  <c r="F28" i="7"/>
  <c r="G28" i="7"/>
  <c r="F29" i="7"/>
  <c r="G29" i="7"/>
  <c r="H29" i="7" s="1"/>
  <c r="F30" i="7"/>
  <c r="H30" i="7" s="1"/>
  <c r="G30" i="7"/>
  <c r="F31" i="7"/>
  <c r="H31" i="7" s="1"/>
  <c r="G31" i="7"/>
  <c r="F32" i="7"/>
  <c r="G32" i="7"/>
  <c r="F33" i="7"/>
  <c r="H33" i="7" s="1"/>
  <c r="G33" i="7"/>
  <c r="F34" i="7"/>
  <c r="H34" i="7" s="1"/>
  <c r="G34" i="7"/>
  <c r="F35" i="7"/>
  <c r="H35" i="7" s="1"/>
  <c r="G35" i="7"/>
  <c r="F36" i="7"/>
  <c r="H36" i="7" s="1"/>
  <c r="G36" i="7"/>
  <c r="F37" i="7"/>
  <c r="H37" i="7" s="1"/>
  <c r="G37" i="7"/>
  <c r="F38" i="7"/>
  <c r="H38" i="7" s="1"/>
  <c r="G38" i="7"/>
  <c r="F39" i="7"/>
  <c r="H39" i="7" s="1"/>
  <c r="G39" i="7"/>
  <c r="F40" i="7"/>
  <c r="G40" i="7"/>
  <c r="F41" i="7"/>
  <c r="G41" i="7"/>
  <c r="F42" i="7"/>
  <c r="H42" i="7" s="1"/>
  <c r="G42" i="7"/>
  <c r="F43" i="7"/>
  <c r="H43" i="7" s="1"/>
  <c r="G43" i="7"/>
  <c r="F44" i="7"/>
  <c r="H44" i="7" s="1"/>
  <c r="G44" i="7"/>
  <c r="F45" i="7"/>
  <c r="G45" i="7"/>
  <c r="F46" i="7"/>
  <c r="G46" i="7"/>
  <c r="J46" i="8"/>
  <c r="I46" i="8"/>
  <c r="I45" i="8"/>
  <c r="J44" i="8"/>
  <c r="I44" i="8"/>
  <c r="I43" i="8"/>
  <c r="J43" i="8"/>
  <c r="J42" i="8"/>
  <c r="I42" i="8"/>
  <c r="J39" i="8"/>
  <c r="I39" i="8"/>
  <c r="J38" i="8"/>
  <c r="I38" i="8"/>
  <c r="J37" i="8"/>
  <c r="I37" i="8"/>
  <c r="J36" i="8"/>
  <c r="I36" i="8"/>
  <c r="J35" i="8"/>
  <c r="I35" i="8"/>
  <c r="I34" i="8"/>
  <c r="I33" i="8"/>
  <c r="J33" i="8"/>
  <c r="J32" i="8"/>
  <c r="I32" i="8"/>
  <c r="I31" i="8"/>
  <c r="I30" i="8"/>
  <c r="J29" i="8"/>
  <c r="J30" i="8"/>
  <c r="I29" i="8"/>
  <c r="J27" i="8"/>
  <c r="I27" i="8"/>
  <c r="J26" i="8"/>
  <c r="I26" i="8"/>
  <c r="J25" i="8"/>
  <c r="I25" i="8"/>
  <c r="J24" i="8"/>
  <c r="I24" i="8"/>
  <c r="I23" i="8"/>
  <c r="J23" i="8"/>
  <c r="J22" i="8"/>
  <c r="I22" i="8"/>
  <c r="I21" i="8"/>
  <c r="J21" i="8"/>
  <c r="J20" i="8"/>
  <c r="I20" i="8"/>
  <c r="J19" i="8"/>
  <c r="I19" i="8"/>
  <c r="I18" i="8"/>
  <c r="J18" i="8"/>
  <c r="J17" i="8"/>
  <c r="I17" i="8"/>
  <c r="J16" i="8"/>
  <c r="J15" i="8"/>
  <c r="I16" i="8"/>
  <c r="I15" i="8"/>
  <c r="J12" i="8"/>
  <c r="I12" i="8"/>
  <c r="J41" i="8"/>
  <c r="I41" i="8"/>
  <c r="J40" i="8"/>
  <c r="I40" i="8"/>
  <c r="J28" i="8"/>
  <c r="I28" i="8"/>
  <c r="J14" i="8"/>
  <c r="I14" i="8"/>
  <c r="J13" i="8"/>
  <c r="I13" i="8"/>
  <c r="J7" i="8"/>
  <c r="I7" i="8"/>
  <c r="I11" i="8"/>
  <c r="J11" i="8"/>
  <c r="I10" i="8"/>
  <c r="J9" i="8"/>
  <c r="I9" i="8"/>
  <c r="J8" i="8"/>
  <c r="I8" i="8"/>
  <c r="J6" i="8"/>
  <c r="I6" i="8"/>
  <c r="J5" i="8"/>
  <c r="I5" i="8"/>
  <c r="I4" i="8"/>
  <c r="J4" i="8"/>
  <c r="J3" i="8"/>
  <c r="I3" i="8"/>
  <c r="J10" i="8"/>
  <c r="J2" i="8"/>
  <c r="I2" i="8"/>
  <c r="F237" i="8"/>
  <c r="F232" i="8"/>
  <c r="F228" i="8"/>
  <c r="F222" i="8"/>
  <c r="F216" i="8"/>
  <c r="F213" i="8"/>
  <c r="F210" i="8"/>
  <c r="F205" i="8"/>
  <c r="F199" i="8"/>
  <c r="F190" i="8"/>
  <c r="F183" i="8"/>
  <c r="F179" i="8"/>
  <c r="F170" i="8"/>
  <c r="F163" i="8"/>
  <c r="F156" i="8"/>
  <c r="F149" i="8"/>
  <c r="F142" i="8"/>
  <c r="F138" i="8"/>
  <c r="F131" i="8"/>
  <c r="F125" i="8"/>
  <c r="F118" i="8"/>
  <c r="F110" i="8"/>
  <c r="F104" i="8"/>
  <c r="F99" i="8"/>
  <c r="F94" i="8"/>
  <c r="F86" i="8"/>
  <c r="F82" i="8"/>
  <c r="F77" i="8"/>
  <c r="F71" i="8"/>
  <c r="F66" i="8"/>
  <c r="F60" i="8"/>
  <c r="J38" i="7" l="1"/>
  <c r="I38" i="7"/>
  <c r="J8" i="7"/>
  <c r="I8" i="7"/>
  <c r="I32" i="7"/>
  <c r="J32" i="7"/>
  <c r="J26" i="7"/>
  <c r="I26" i="7"/>
  <c r="J41" i="7"/>
  <c r="I41" i="7"/>
  <c r="I11" i="7"/>
  <c r="J11" i="7"/>
  <c r="J44" i="7"/>
  <c r="I44" i="7"/>
  <c r="J5" i="7"/>
  <c r="I5" i="7"/>
  <c r="J14" i="7"/>
  <c r="I14" i="7"/>
  <c r="I29" i="7"/>
  <c r="J29" i="7"/>
  <c r="J17" i="7"/>
  <c r="I17" i="7"/>
  <c r="I23" i="7"/>
  <c r="J23" i="7"/>
  <c r="J35" i="7"/>
  <c r="I35" i="7"/>
  <c r="I20" i="7"/>
  <c r="J20" i="7"/>
  <c r="I2" i="7"/>
  <c r="D51" i="6"/>
  <c r="D49" i="6"/>
  <c r="E49" i="6"/>
  <c r="E51" i="6"/>
  <c r="E50" i="6" s="1"/>
  <c r="K42" i="8"/>
  <c r="K6" i="8"/>
  <c r="K5" i="8"/>
  <c r="K18" i="8"/>
  <c r="K10" i="8"/>
  <c r="K9" i="8"/>
  <c r="K30" i="8"/>
  <c r="J34" i="8"/>
  <c r="K2" i="8"/>
  <c r="K40" i="8"/>
  <c r="K8" i="8"/>
  <c r="J45" i="8"/>
  <c r="K24" i="8"/>
  <c r="K3" i="8"/>
  <c r="K34" i="8"/>
  <c r="K7" i="8"/>
  <c r="K17" i="8"/>
  <c r="K12" i="8"/>
  <c r="K43" i="8"/>
  <c r="K27" i="8"/>
  <c r="K11" i="8"/>
  <c r="J31" i="8"/>
  <c r="K31" i="8" s="1"/>
  <c r="K36" i="8"/>
  <c r="K4" i="8"/>
  <c r="K46" i="8"/>
  <c r="K41" i="8"/>
  <c r="K19" i="8"/>
  <c r="K14" i="8"/>
  <c r="K35" i="8"/>
  <c r="Q16" i="7"/>
  <c r="P16" i="7"/>
  <c r="Q15" i="7"/>
  <c r="P15" i="7"/>
  <c r="Q14" i="7"/>
  <c r="P14" i="7"/>
  <c r="Q13" i="7"/>
  <c r="P13" i="7"/>
  <c r="Q12" i="7"/>
  <c r="P12" i="7"/>
  <c r="Q11" i="7"/>
  <c r="P11" i="7"/>
  <c r="Q10" i="7"/>
  <c r="P10" i="7"/>
  <c r="R10" i="7" s="1"/>
  <c r="Q9" i="7"/>
  <c r="R9" i="7" s="1"/>
  <c r="P9" i="7"/>
  <c r="P8" i="7"/>
  <c r="Q8" i="7"/>
  <c r="Q7" i="7"/>
  <c r="P7" i="7"/>
  <c r="Q6" i="7"/>
  <c r="P6" i="7"/>
  <c r="Q5" i="7"/>
  <c r="P5" i="7"/>
  <c r="P4" i="7"/>
  <c r="Q4" i="7"/>
  <c r="P2" i="7"/>
  <c r="R2" i="7" s="1"/>
  <c r="Q2" i="7"/>
  <c r="C7" i="7"/>
  <c r="Q3" i="7" l="1"/>
  <c r="F7" i="7"/>
  <c r="G7" i="7"/>
  <c r="R14" i="7"/>
  <c r="D50" i="6"/>
  <c r="K29" i="8"/>
  <c r="K21" i="8"/>
  <c r="K25" i="8"/>
  <c r="K38" i="8"/>
  <c r="K39" i="8"/>
  <c r="K22" i="8"/>
  <c r="K45" i="8"/>
  <c r="K37" i="8"/>
  <c r="K33" i="8"/>
  <c r="K44" i="8"/>
  <c r="K20" i="8"/>
  <c r="K13" i="8"/>
  <c r="K23" i="8"/>
  <c r="K16" i="8"/>
  <c r="K15" i="8"/>
  <c r="K32" i="8"/>
  <c r="K26" i="8"/>
  <c r="K28" i="8"/>
  <c r="R16" i="7"/>
  <c r="R8" i="7"/>
  <c r="R13" i="7"/>
  <c r="R12" i="7"/>
  <c r="R11" i="7"/>
  <c r="R5" i="7"/>
  <c r="P3" i="7"/>
  <c r="R15" i="7"/>
  <c r="R4" i="7"/>
  <c r="R3" i="7"/>
  <c r="H186" i="5"/>
  <c r="G186" i="5"/>
  <c r="H185" i="5"/>
  <c r="G185" i="5"/>
  <c r="J174" i="5"/>
  <c r="K174" i="5"/>
  <c r="I174" i="5"/>
  <c r="F166" i="5"/>
  <c r="G166" i="5"/>
  <c r="H166" i="5"/>
  <c r="E166" i="5"/>
  <c r="H159" i="5"/>
  <c r="G159" i="5"/>
  <c r="F143" i="5"/>
  <c r="G143" i="5"/>
  <c r="H143" i="5"/>
  <c r="E143" i="5"/>
  <c r="H128" i="5"/>
  <c r="G128" i="5"/>
  <c r="E108" i="5"/>
  <c r="J95" i="5"/>
  <c r="K95" i="5"/>
  <c r="I95" i="5"/>
  <c r="H77" i="5"/>
  <c r="G77" i="5"/>
  <c r="H74" i="5"/>
  <c r="G74" i="5"/>
  <c r="J61" i="5"/>
  <c r="K61" i="5"/>
  <c r="I61" i="5"/>
  <c r="H29" i="5"/>
  <c r="G29" i="5"/>
  <c r="H23" i="5"/>
  <c r="G23" i="5"/>
  <c r="H22" i="5"/>
  <c r="G22" i="5"/>
  <c r="F21" i="5"/>
  <c r="G21" i="5"/>
  <c r="H21" i="5"/>
  <c r="I21" i="5"/>
  <c r="J21" i="5"/>
  <c r="K21" i="5"/>
  <c r="E21" i="5"/>
  <c r="K20" i="5"/>
  <c r="J20" i="5"/>
  <c r="J16" i="5"/>
  <c r="K16" i="5"/>
  <c r="I16" i="5"/>
  <c r="J13" i="5"/>
  <c r="K13" i="5"/>
  <c r="I13" i="5"/>
  <c r="J6" i="5"/>
  <c r="K6" i="5"/>
  <c r="I6" i="5"/>
  <c r="V3" i="4"/>
  <c r="W3" i="4"/>
  <c r="V4" i="4"/>
  <c r="W4" i="4"/>
  <c r="V5" i="4"/>
  <c r="W5" i="4" s="1"/>
  <c r="V6" i="4"/>
  <c r="W6" i="4" s="1"/>
  <c r="V7" i="4"/>
  <c r="W7" i="4"/>
  <c r="V8" i="4"/>
  <c r="W8" i="4"/>
  <c r="V9" i="4"/>
  <c r="W9" i="4"/>
  <c r="V10" i="4"/>
  <c r="W10" i="4"/>
  <c r="V11" i="4"/>
  <c r="W11" i="4"/>
  <c r="V12" i="4"/>
  <c r="W12" i="4"/>
  <c r="V13" i="4"/>
  <c r="W13" i="4"/>
  <c r="V14" i="4"/>
  <c r="W14" i="4"/>
  <c r="V15" i="4"/>
  <c r="W15" i="4"/>
  <c r="V16" i="4"/>
  <c r="W16" i="4"/>
  <c r="V17" i="4"/>
  <c r="W17" i="4"/>
  <c r="V18" i="4"/>
  <c r="W18" i="4"/>
  <c r="V19" i="4"/>
  <c r="W19" i="4"/>
  <c r="V20" i="4"/>
  <c r="W20" i="4"/>
  <c r="V21" i="4"/>
  <c r="W21" i="4"/>
  <c r="V22" i="4"/>
  <c r="W22" i="4"/>
  <c r="V23" i="4"/>
  <c r="W23" i="4"/>
  <c r="V24" i="4"/>
  <c r="W24" i="4"/>
  <c r="V25" i="4"/>
  <c r="W25" i="4"/>
  <c r="V26" i="4"/>
  <c r="W26" i="4"/>
  <c r="V27" i="4"/>
  <c r="W27" i="4"/>
  <c r="V28" i="4"/>
  <c r="W28" i="4"/>
  <c r="V29" i="4"/>
  <c r="W29" i="4"/>
  <c r="V30" i="4"/>
  <c r="W30" i="4"/>
  <c r="V31" i="4"/>
  <c r="W31" i="4"/>
  <c r="V32" i="4"/>
  <c r="W32" i="4"/>
  <c r="V33" i="4"/>
  <c r="W33" i="4"/>
  <c r="V34" i="4"/>
  <c r="W34" i="4"/>
  <c r="V35" i="4"/>
  <c r="W35" i="4"/>
  <c r="V36" i="4"/>
  <c r="W36" i="4"/>
  <c r="V37" i="4"/>
  <c r="W37" i="4"/>
  <c r="V38" i="4"/>
  <c r="W38" i="4"/>
  <c r="V39" i="4"/>
  <c r="W39" i="4"/>
  <c r="V40" i="4"/>
  <c r="W40" i="4"/>
  <c r="V41" i="4"/>
  <c r="W41" i="4"/>
  <c r="V42" i="4"/>
  <c r="W42" i="4"/>
  <c r="V43" i="4"/>
  <c r="W43" i="4"/>
  <c r="V44" i="4"/>
  <c r="W44" i="4"/>
  <c r="V45" i="4"/>
  <c r="W45" i="4"/>
  <c r="V46" i="4"/>
  <c r="W46" i="4"/>
  <c r="V47" i="4"/>
  <c r="W47" i="4"/>
  <c r="V48" i="4"/>
  <c r="W48" i="4"/>
  <c r="V49" i="4"/>
  <c r="W49" i="4"/>
  <c r="V50" i="4"/>
  <c r="W50" i="4"/>
  <c r="V51" i="4"/>
  <c r="W51" i="4"/>
  <c r="V52" i="4"/>
  <c r="W52" i="4"/>
  <c r="V53" i="4"/>
  <c r="W53" i="4"/>
  <c r="V54" i="4"/>
  <c r="W54" i="4"/>
  <c r="V55" i="4"/>
  <c r="W55" i="4"/>
  <c r="V56" i="4"/>
  <c r="W56" i="4"/>
  <c r="V57" i="4"/>
  <c r="W57" i="4"/>
  <c r="V58" i="4"/>
  <c r="W58" i="4"/>
  <c r="V59" i="4"/>
  <c r="W59" i="4"/>
  <c r="V60" i="4"/>
  <c r="W60" i="4"/>
  <c r="V61" i="4"/>
  <c r="W61" i="4"/>
  <c r="V62" i="4"/>
  <c r="W62" i="4"/>
  <c r="V63" i="4"/>
  <c r="W63" i="4"/>
  <c r="V64" i="4"/>
  <c r="W64" i="4"/>
  <c r="V65" i="4"/>
  <c r="W65" i="4"/>
  <c r="V66" i="4"/>
  <c r="W66" i="4"/>
  <c r="V67" i="4"/>
  <c r="W67" i="4"/>
  <c r="V68" i="4"/>
  <c r="W68" i="4"/>
  <c r="V69" i="4"/>
  <c r="W69" i="4"/>
  <c r="V70" i="4"/>
  <c r="W70" i="4"/>
  <c r="V71" i="4"/>
  <c r="W71" i="4"/>
  <c r="V72" i="4"/>
  <c r="W72" i="4"/>
  <c r="V73" i="4"/>
  <c r="W73" i="4"/>
  <c r="V74" i="4"/>
  <c r="W74" i="4"/>
  <c r="V75" i="4"/>
  <c r="W75" i="4"/>
  <c r="V76" i="4"/>
  <c r="W76" i="4"/>
  <c r="V77" i="4"/>
  <c r="W77" i="4"/>
  <c r="V78" i="4"/>
  <c r="W78" i="4"/>
  <c r="V79" i="4"/>
  <c r="W79" i="4"/>
  <c r="V80" i="4"/>
  <c r="W80" i="4"/>
  <c r="V81" i="4"/>
  <c r="W81" i="4"/>
  <c r="V82" i="4"/>
  <c r="W82" i="4"/>
  <c r="V83" i="4"/>
  <c r="W83" i="4"/>
  <c r="V84" i="4"/>
  <c r="W84" i="4"/>
  <c r="V85" i="4"/>
  <c r="W85" i="4"/>
  <c r="V86" i="4"/>
  <c r="W86" i="4"/>
  <c r="V87" i="4"/>
  <c r="W87" i="4"/>
  <c r="V88" i="4"/>
  <c r="W88" i="4"/>
  <c r="V89" i="4"/>
  <c r="W89" i="4"/>
  <c r="V90" i="4"/>
  <c r="W90" i="4"/>
  <c r="V91" i="4"/>
  <c r="W91" i="4"/>
  <c r="V92" i="4"/>
  <c r="W92" i="4"/>
  <c r="V93" i="4"/>
  <c r="W93" i="4"/>
  <c r="V94" i="4"/>
  <c r="W94" i="4"/>
  <c r="V95" i="4"/>
  <c r="W95" i="4"/>
  <c r="V96" i="4"/>
  <c r="W96" i="4"/>
  <c r="V97" i="4"/>
  <c r="W97" i="4"/>
  <c r="V98" i="4"/>
  <c r="W98" i="4"/>
  <c r="V99" i="4"/>
  <c r="W99" i="4"/>
  <c r="V100" i="4"/>
  <c r="W100" i="4"/>
  <c r="V101" i="4"/>
  <c r="W101" i="4"/>
  <c r="V102" i="4"/>
  <c r="W102" i="4"/>
  <c r="V103" i="4"/>
  <c r="W103" i="4"/>
  <c r="V104" i="4"/>
  <c r="W104" i="4"/>
  <c r="V105" i="4"/>
  <c r="W105" i="4"/>
  <c r="V106" i="4"/>
  <c r="W106" i="4"/>
  <c r="V107" i="4"/>
  <c r="W107" i="4"/>
  <c r="V108" i="4"/>
  <c r="W108" i="4"/>
  <c r="V109" i="4"/>
  <c r="W109" i="4"/>
  <c r="V110" i="4"/>
  <c r="W110" i="4"/>
  <c r="V111" i="4"/>
  <c r="W111" i="4"/>
  <c r="V112" i="4"/>
  <c r="W112" i="4"/>
  <c r="V113" i="4"/>
  <c r="W113" i="4"/>
  <c r="V114" i="4"/>
  <c r="W114" i="4"/>
  <c r="V115" i="4"/>
  <c r="W115" i="4"/>
  <c r="V116" i="4"/>
  <c r="W116" i="4"/>
  <c r="V117" i="4"/>
  <c r="W117" i="4"/>
  <c r="V118" i="4"/>
  <c r="W118" i="4"/>
  <c r="V119" i="4"/>
  <c r="W119" i="4"/>
  <c r="V120" i="4"/>
  <c r="W120" i="4"/>
  <c r="V121" i="4"/>
  <c r="W121" i="4"/>
  <c r="V122" i="4"/>
  <c r="W122" i="4"/>
  <c r="V123" i="4"/>
  <c r="W123" i="4"/>
  <c r="V124" i="4"/>
  <c r="W124" i="4"/>
  <c r="V125" i="4"/>
  <c r="W125" i="4"/>
  <c r="V126" i="4"/>
  <c r="W126" i="4"/>
  <c r="V127" i="4"/>
  <c r="W127" i="4"/>
  <c r="V128" i="4"/>
  <c r="W128" i="4"/>
  <c r="V129" i="4"/>
  <c r="W129" i="4"/>
  <c r="V130" i="4"/>
  <c r="W130" i="4"/>
  <c r="V131" i="4"/>
  <c r="W131" i="4"/>
  <c r="V132" i="4"/>
  <c r="W132" i="4"/>
  <c r="V133" i="4"/>
  <c r="W133" i="4"/>
  <c r="V134" i="4"/>
  <c r="W134" i="4"/>
  <c r="V135" i="4"/>
  <c r="W135" i="4"/>
  <c r="V136" i="4"/>
  <c r="W136" i="4"/>
  <c r="V137" i="4"/>
  <c r="W137" i="4"/>
  <c r="V138" i="4"/>
  <c r="W138" i="4"/>
  <c r="V139" i="4"/>
  <c r="W139" i="4"/>
  <c r="V140" i="4"/>
  <c r="W140" i="4"/>
  <c r="V141" i="4"/>
  <c r="W141" i="4"/>
  <c r="V142" i="4"/>
  <c r="W142" i="4"/>
  <c r="V143" i="4"/>
  <c r="W143" i="4"/>
  <c r="V144" i="4"/>
  <c r="W144" i="4"/>
  <c r="V145" i="4"/>
  <c r="W145" i="4"/>
  <c r="V146" i="4"/>
  <c r="W146" i="4"/>
  <c r="V147" i="4"/>
  <c r="W147" i="4"/>
  <c r="V148" i="4"/>
  <c r="W148" i="4"/>
  <c r="V149" i="4"/>
  <c r="W149" i="4"/>
  <c r="V150" i="4"/>
  <c r="W150" i="4"/>
  <c r="V151" i="4"/>
  <c r="W151" i="4"/>
  <c r="V152" i="4"/>
  <c r="W152" i="4"/>
  <c r="V153" i="4"/>
  <c r="W153" i="4"/>
  <c r="V154" i="4"/>
  <c r="W154" i="4"/>
  <c r="V155" i="4"/>
  <c r="W155" i="4"/>
  <c r="V156" i="4"/>
  <c r="W156" i="4"/>
  <c r="V157" i="4"/>
  <c r="W157" i="4"/>
  <c r="V158" i="4"/>
  <c r="W158" i="4"/>
  <c r="V159" i="4"/>
  <c r="W159" i="4"/>
  <c r="V160" i="4"/>
  <c r="W160" i="4"/>
  <c r="V161" i="4"/>
  <c r="W161" i="4"/>
  <c r="V162" i="4"/>
  <c r="W162" i="4"/>
  <c r="V163" i="4"/>
  <c r="W163" i="4"/>
  <c r="V164" i="4"/>
  <c r="W164" i="4"/>
  <c r="V165" i="4"/>
  <c r="W165" i="4"/>
  <c r="V166" i="4"/>
  <c r="W166" i="4"/>
  <c r="V167" i="4"/>
  <c r="W167" i="4"/>
  <c r="V168" i="4"/>
  <c r="W168" i="4"/>
  <c r="V169" i="4"/>
  <c r="W169" i="4"/>
  <c r="V170" i="4"/>
  <c r="W170" i="4"/>
  <c r="V171" i="4"/>
  <c r="W171" i="4"/>
  <c r="V172" i="4"/>
  <c r="W172" i="4"/>
  <c r="V173" i="4"/>
  <c r="W173" i="4"/>
  <c r="V174" i="4"/>
  <c r="W174" i="4"/>
  <c r="V175" i="4"/>
  <c r="W175" i="4"/>
  <c r="V176" i="4"/>
  <c r="W176" i="4"/>
  <c r="V177" i="4"/>
  <c r="W177" i="4"/>
  <c r="V178" i="4"/>
  <c r="W178" i="4"/>
  <c r="V179" i="4"/>
  <c r="W179" i="4"/>
  <c r="V180" i="4"/>
  <c r="W180" i="4"/>
  <c r="V181" i="4"/>
  <c r="W181" i="4"/>
  <c r="V182" i="4"/>
  <c r="W182" i="4"/>
  <c r="V183" i="4"/>
  <c r="W183" i="4"/>
  <c r="V184" i="4"/>
  <c r="W184" i="4"/>
  <c r="V185" i="4"/>
  <c r="W185" i="4"/>
  <c r="V186" i="4"/>
  <c r="W186" i="4"/>
  <c r="V187" i="4"/>
  <c r="W187" i="4"/>
  <c r="V188" i="4"/>
  <c r="W188" i="4"/>
  <c r="V189" i="4"/>
  <c r="W189" i="4"/>
  <c r="V190" i="4"/>
  <c r="W190" i="4"/>
  <c r="V191" i="4"/>
  <c r="W191" i="4"/>
  <c r="V192" i="4"/>
  <c r="W192" i="4"/>
  <c r="V193" i="4"/>
  <c r="W193" i="4"/>
  <c r="V194" i="4"/>
  <c r="W194" i="4"/>
  <c r="V195" i="4"/>
  <c r="W195" i="4"/>
  <c r="V196" i="4"/>
  <c r="W196" i="4"/>
  <c r="V197" i="4"/>
  <c r="W197" i="4"/>
  <c r="V198" i="4"/>
  <c r="W198" i="4"/>
  <c r="V199" i="4"/>
  <c r="W199" i="4"/>
  <c r="V200" i="4"/>
  <c r="W200" i="4"/>
  <c r="V201" i="4"/>
  <c r="W201" i="4"/>
  <c r="V202" i="4"/>
  <c r="W202" i="4"/>
  <c r="V203" i="4"/>
  <c r="W203" i="4"/>
  <c r="V204" i="4"/>
  <c r="W204" i="4"/>
  <c r="V205" i="4"/>
  <c r="W205" i="4"/>
  <c r="V206" i="4"/>
  <c r="W206" i="4"/>
  <c r="V207" i="4"/>
  <c r="W207" i="4"/>
  <c r="V208" i="4"/>
  <c r="W208" i="4"/>
  <c r="V209" i="4"/>
  <c r="W209" i="4"/>
  <c r="V210" i="4"/>
  <c r="W210" i="4"/>
  <c r="V211" i="4"/>
  <c r="W211" i="4"/>
  <c r="V212" i="4"/>
  <c r="W212" i="4"/>
  <c r="V213" i="4"/>
  <c r="W213" i="4"/>
  <c r="V214" i="4"/>
  <c r="W214" i="4"/>
  <c r="V215" i="4"/>
  <c r="W215" i="4"/>
  <c r="W2" i="4"/>
  <c r="V2" i="4"/>
  <c r="C186" i="5"/>
  <c r="C185" i="5"/>
  <c r="D159" i="5"/>
  <c r="C159" i="5"/>
  <c r="F128" i="5"/>
  <c r="E128" i="5"/>
  <c r="E79" i="5"/>
  <c r="F77" i="5"/>
  <c r="E77" i="5"/>
  <c r="E76" i="5"/>
  <c r="F29" i="5"/>
  <c r="E29" i="5"/>
  <c r="F22" i="5"/>
  <c r="F23" i="5"/>
  <c r="E23" i="5"/>
  <c r="E22" i="5"/>
  <c r="T166" i="4"/>
  <c r="T3" i="4"/>
  <c r="U3" i="4"/>
  <c r="T4" i="4"/>
  <c r="U4" i="4"/>
  <c r="T5" i="4"/>
  <c r="U5" i="4"/>
  <c r="T6" i="4"/>
  <c r="U6" i="4"/>
  <c r="T7" i="4"/>
  <c r="U7" i="4"/>
  <c r="T8" i="4"/>
  <c r="U8" i="4"/>
  <c r="T9" i="4"/>
  <c r="U9" i="4"/>
  <c r="T10" i="4"/>
  <c r="U10" i="4"/>
  <c r="T11" i="4"/>
  <c r="U11" i="4"/>
  <c r="T12" i="4"/>
  <c r="U12" i="4"/>
  <c r="T13" i="4"/>
  <c r="U13" i="4"/>
  <c r="T14" i="4"/>
  <c r="U14" i="4"/>
  <c r="T15" i="4"/>
  <c r="U15" i="4"/>
  <c r="T16" i="4"/>
  <c r="U16" i="4"/>
  <c r="T17" i="4"/>
  <c r="U17" i="4"/>
  <c r="T18" i="4"/>
  <c r="U18" i="4"/>
  <c r="T19" i="4"/>
  <c r="U19" i="4"/>
  <c r="T20" i="4"/>
  <c r="U20" i="4"/>
  <c r="T21" i="4"/>
  <c r="U21" i="4"/>
  <c r="T22" i="4"/>
  <c r="U22" i="4"/>
  <c r="T23" i="4"/>
  <c r="U23" i="4"/>
  <c r="T24" i="4"/>
  <c r="U24" i="4"/>
  <c r="T25" i="4"/>
  <c r="U25" i="4"/>
  <c r="T26" i="4"/>
  <c r="U26" i="4"/>
  <c r="T27" i="4"/>
  <c r="U27" i="4"/>
  <c r="T28" i="4"/>
  <c r="U28" i="4"/>
  <c r="T29" i="4"/>
  <c r="U29" i="4"/>
  <c r="T30" i="4"/>
  <c r="U30" i="4"/>
  <c r="T31" i="4"/>
  <c r="U31" i="4"/>
  <c r="T32" i="4"/>
  <c r="U32" i="4"/>
  <c r="T33" i="4"/>
  <c r="U33" i="4"/>
  <c r="T34" i="4"/>
  <c r="U34" i="4"/>
  <c r="T35" i="4"/>
  <c r="U35" i="4"/>
  <c r="T36" i="4"/>
  <c r="U36" i="4"/>
  <c r="T37" i="4"/>
  <c r="U37" i="4"/>
  <c r="T38" i="4"/>
  <c r="U38" i="4"/>
  <c r="T39" i="4"/>
  <c r="U39" i="4"/>
  <c r="T40" i="4"/>
  <c r="U40" i="4"/>
  <c r="T41" i="4"/>
  <c r="U41" i="4"/>
  <c r="T42" i="4"/>
  <c r="U42" i="4"/>
  <c r="T43" i="4"/>
  <c r="U43" i="4"/>
  <c r="T44" i="4"/>
  <c r="U44" i="4"/>
  <c r="T45" i="4"/>
  <c r="U45" i="4"/>
  <c r="T46" i="4"/>
  <c r="U46" i="4"/>
  <c r="T47" i="4"/>
  <c r="U47" i="4"/>
  <c r="T48" i="4"/>
  <c r="U48" i="4"/>
  <c r="T49" i="4"/>
  <c r="U49" i="4"/>
  <c r="T50" i="4"/>
  <c r="U50" i="4"/>
  <c r="T51" i="4"/>
  <c r="U51" i="4"/>
  <c r="T52" i="4"/>
  <c r="U52" i="4"/>
  <c r="T53" i="4"/>
  <c r="U53" i="4"/>
  <c r="T54" i="4"/>
  <c r="U54" i="4"/>
  <c r="T55" i="4"/>
  <c r="U55" i="4"/>
  <c r="T56" i="4"/>
  <c r="U56" i="4"/>
  <c r="T57" i="4"/>
  <c r="U57" i="4"/>
  <c r="T58" i="4"/>
  <c r="U58" i="4"/>
  <c r="T59" i="4"/>
  <c r="U59" i="4"/>
  <c r="T60" i="4"/>
  <c r="U60" i="4"/>
  <c r="T61" i="4"/>
  <c r="U61" i="4"/>
  <c r="T62" i="4"/>
  <c r="U62" i="4"/>
  <c r="T63" i="4"/>
  <c r="U63" i="4"/>
  <c r="T64" i="4"/>
  <c r="U64" i="4"/>
  <c r="T65" i="4"/>
  <c r="U65" i="4"/>
  <c r="T66" i="4"/>
  <c r="U66" i="4"/>
  <c r="T67" i="4"/>
  <c r="U67" i="4"/>
  <c r="T68" i="4"/>
  <c r="U68" i="4"/>
  <c r="T69" i="4"/>
  <c r="U69" i="4"/>
  <c r="T70" i="4"/>
  <c r="U70" i="4"/>
  <c r="T71" i="4"/>
  <c r="U71" i="4"/>
  <c r="T72" i="4"/>
  <c r="U72" i="4"/>
  <c r="T73" i="4"/>
  <c r="U73" i="4"/>
  <c r="T74" i="4"/>
  <c r="U74" i="4"/>
  <c r="T75" i="4"/>
  <c r="U75" i="4"/>
  <c r="T76" i="4"/>
  <c r="U76" i="4"/>
  <c r="T77" i="4"/>
  <c r="U77" i="4"/>
  <c r="T78" i="4"/>
  <c r="U78" i="4"/>
  <c r="T79" i="4"/>
  <c r="U79" i="4"/>
  <c r="T80" i="4"/>
  <c r="U80" i="4"/>
  <c r="T81" i="4"/>
  <c r="U81" i="4"/>
  <c r="T82" i="4"/>
  <c r="U82" i="4"/>
  <c r="T83" i="4"/>
  <c r="U83" i="4"/>
  <c r="T84" i="4"/>
  <c r="U84" i="4"/>
  <c r="T85" i="4"/>
  <c r="U85" i="4"/>
  <c r="T86" i="4"/>
  <c r="U86" i="4"/>
  <c r="T87" i="4"/>
  <c r="U87" i="4"/>
  <c r="T88" i="4"/>
  <c r="U88" i="4"/>
  <c r="T89" i="4"/>
  <c r="U89" i="4"/>
  <c r="T90" i="4"/>
  <c r="U90" i="4"/>
  <c r="T91" i="4"/>
  <c r="U91" i="4"/>
  <c r="T92" i="4"/>
  <c r="U92" i="4"/>
  <c r="T93" i="4"/>
  <c r="U93" i="4"/>
  <c r="T94" i="4"/>
  <c r="U94" i="4"/>
  <c r="T95" i="4"/>
  <c r="U95" i="4"/>
  <c r="T96" i="4"/>
  <c r="U96" i="4"/>
  <c r="T97" i="4"/>
  <c r="U97" i="4"/>
  <c r="T98" i="4"/>
  <c r="U98" i="4"/>
  <c r="T99" i="4"/>
  <c r="U99" i="4"/>
  <c r="T100" i="4"/>
  <c r="U100" i="4"/>
  <c r="T101" i="4"/>
  <c r="U101" i="4"/>
  <c r="T102" i="4"/>
  <c r="U102" i="4"/>
  <c r="T103" i="4"/>
  <c r="U103" i="4"/>
  <c r="T104" i="4"/>
  <c r="U104" i="4"/>
  <c r="T105" i="4"/>
  <c r="U105" i="4"/>
  <c r="T106" i="4"/>
  <c r="U106" i="4"/>
  <c r="T107" i="4"/>
  <c r="U107" i="4"/>
  <c r="T108" i="4"/>
  <c r="U108" i="4"/>
  <c r="T109" i="4"/>
  <c r="U109" i="4"/>
  <c r="T110" i="4"/>
  <c r="U110" i="4"/>
  <c r="T111" i="4"/>
  <c r="U111" i="4"/>
  <c r="T112" i="4"/>
  <c r="U112" i="4"/>
  <c r="T113" i="4"/>
  <c r="U113" i="4"/>
  <c r="T114" i="4"/>
  <c r="U114" i="4"/>
  <c r="T115" i="4"/>
  <c r="U115" i="4"/>
  <c r="T116" i="4"/>
  <c r="U116" i="4"/>
  <c r="T117" i="4"/>
  <c r="U117" i="4"/>
  <c r="T118" i="4"/>
  <c r="U118" i="4"/>
  <c r="T119" i="4"/>
  <c r="U119" i="4"/>
  <c r="T120" i="4"/>
  <c r="U120" i="4"/>
  <c r="T121" i="4"/>
  <c r="U121" i="4"/>
  <c r="T122" i="4"/>
  <c r="U122" i="4"/>
  <c r="T123" i="4"/>
  <c r="U123" i="4"/>
  <c r="T124" i="4"/>
  <c r="U124" i="4"/>
  <c r="T125" i="4"/>
  <c r="U125" i="4"/>
  <c r="T126" i="4"/>
  <c r="U126" i="4"/>
  <c r="T127" i="4"/>
  <c r="U127" i="4"/>
  <c r="T128" i="4"/>
  <c r="U128" i="4"/>
  <c r="T129" i="4"/>
  <c r="U129" i="4"/>
  <c r="T130" i="4"/>
  <c r="U130" i="4"/>
  <c r="T131" i="4"/>
  <c r="U131" i="4"/>
  <c r="T132" i="4"/>
  <c r="U132" i="4"/>
  <c r="T133" i="4"/>
  <c r="U133" i="4"/>
  <c r="T134" i="4"/>
  <c r="U134" i="4"/>
  <c r="T135" i="4"/>
  <c r="U135" i="4"/>
  <c r="T136" i="4"/>
  <c r="U136" i="4"/>
  <c r="T137" i="4"/>
  <c r="U137" i="4"/>
  <c r="T138" i="4"/>
  <c r="U138" i="4"/>
  <c r="T139" i="4"/>
  <c r="U139" i="4"/>
  <c r="T140" i="4"/>
  <c r="U140" i="4"/>
  <c r="T141" i="4"/>
  <c r="U141" i="4"/>
  <c r="T142" i="4"/>
  <c r="U142" i="4"/>
  <c r="T143" i="4"/>
  <c r="U143" i="4"/>
  <c r="T144" i="4"/>
  <c r="U144" i="4"/>
  <c r="T145" i="4"/>
  <c r="U145" i="4"/>
  <c r="T146" i="4"/>
  <c r="U146" i="4"/>
  <c r="T147" i="4"/>
  <c r="U147" i="4"/>
  <c r="T148" i="4"/>
  <c r="U148" i="4"/>
  <c r="T149" i="4"/>
  <c r="U149" i="4"/>
  <c r="T150" i="4"/>
  <c r="U150" i="4"/>
  <c r="T151" i="4"/>
  <c r="U151" i="4"/>
  <c r="T152" i="4"/>
  <c r="U152" i="4"/>
  <c r="T153" i="4"/>
  <c r="U153" i="4"/>
  <c r="T154" i="4"/>
  <c r="U154" i="4"/>
  <c r="T155" i="4"/>
  <c r="U155" i="4"/>
  <c r="T156" i="4"/>
  <c r="U156" i="4"/>
  <c r="T157" i="4"/>
  <c r="U157" i="4"/>
  <c r="T158" i="4"/>
  <c r="U158" i="4"/>
  <c r="T159" i="4"/>
  <c r="U159" i="4"/>
  <c r="T160" i="4"/>
  <c r="U160" i="4"/>
  <c r="T161" i="4"/>
  <c r="U161" i="4"/>
  <c r="T162" i="4"/>
  <c r="U162" i="4"/>
  <c r="T163" i="4"/>
  <c r="U163" i="4"/>
  <c r="T164" i="4"/>
  <c r="U164" i="4"/>
  <c r="T165" i="4"/>
  <c r="U165" i="4"/>
  <c r="U166" i="4"/>
  <c r="T167" i="4"/>
  <c r="U167" i="4"/>
  <c r="T168" i="4"/>
  <c r="U168" i="4"/>
  <c r="T169" i="4"/>
  <c r="U169" i="4"/>
  <c r="T170" i="4"/>
  <c r="U170" i="4"/>
  <c r="T171" i="4"/>
  <c r="U171" i="4"/>
  <c r="T172" i="4"/>
  <c r="U172" i="4"/>
  <c r="T173" i="4"/>
  <c r="U173" i="4"/>
  <c r="T174" i="4"/>
  <c r="U174" i="4"/>
  <c r="T175" i="4"/>
  <c r="U175" i="4"/>
  <c r="T176" i="4"/>
  <c r="U176" i="4"/>
  <c r="T177" i="4"/>
  <c r="U177" i="4"/>
  <c r="T178" i="4"/>
  <c r="U178" i="4"/>
  <c r="T179" i="4"/>
  <c r="U179" i="4"/>
  <c r="T180" i="4"/>
  <c r="U180" i="4"/>
  <c r="T181" i="4"/>
  <c r="U181" i="4"/>
  <c r="T182" i="4"/>
  <c r="U182" i="4"/>
  <c r="T183" i="4"/>
  <c r="U183" i="4"/>
  <c r="T184" i="4"/>
  <c r="U184" i="4"/>
  <c r="T185" i="4"/>
  <c r="U185" i="4"/>
  <c r="T186" i="4"/>
  <c r="U186" i="4"/>
  <c r="T187" i="4"/>
  <c r="U187" i="4"/>
  <c r="T188" i="4"/>
  <c r="U188" i="4"/>
  <c r="T189" i="4"/>
  <c r="U189" i="4"/>
  <c r="T190" i="4"/>
  <c r="U190" i="4"/>
  <c r="T191" i="4"/>
  <c r="U191" i="4"/>
  <c r="T192" i="4"/>
  <c r="U192" i="4"/>
  <c r="T193" i="4"/>
  <c r="U193" i="4"/>
  <c r="T194" i="4"/>
  <c r="U194" i="4"/>
  <c r="T195" i="4"/>
  <c r="U195" i="4"/>
  <c r="T196" i="4"/>
  <c r="U196" i="4"/>
  <c r="T197" i="4"/>
  <c r="U197" i="4"/>
  <c r="T198" i="4"/>
  <c r="U198" i="4"/>
  <c r="T199" i="4"/>
  <c r="U199" i="4"/>
  <c r="T200" i="4"/>
  <c r="U200" i="4"/>
  <c r="T201" i="4"/>
  <c r="U201" i="4"/>
  <c r="T202" i="4"/>
  <c r="U202" i="4"/>
  <c r="T203" i="4"/>
  <c r="U203" i="4"/>
  <c r="T204" i="4"/>
  <c r="U204" i="4"/>
  <c r="T205" i="4"/>
  <c r="U205" i="4"/>
  <c r="T206" i="4"/>
  <c r="U206" i="4"/>
  <c r="T207" i="4"/>
  <c r="U207" i="4"/>
  <c r="T208" i="4"/>
  <c r="U208" i="4"/>
  <c r="T209" i="4"/>
  <c r="U209" i="4"/>
  <c r="T210" i="4"/>
  <c r="U210" i="4"/>
  <c r="T211" i="4"/>
  <c r="U211" i="4"/>
  <c r="T212" i="4"/>
  <c r="U212" i="4"/>
  <c r="T213" i="4"/>
  <c r="U213" i="4"/>
  <c r="T214" i="4"/>
  <c r="U214" i="4"/>
  <c r="T215" i="4"/>
  <c r="U215" i="4"/>
  <c r="U2" i="4"/>
  <c r="T2" i="4"/>
  <c r="R3" i="4"/>
  <c r="S3" i="4"/>
  <c r="R4" i="4"/>
  <c r="S4" i="4"/>
  <c r="R5" i="4"/>
  <c r="S5" i="4"/>
  <c r="R6" i="4"/>
  <c r="S6" i="4"/>
  <c r="R7" i="4"/>
  <c r="S7" i="4"/>
  <c r="R8" i="4"/>
  <c r="S8" i="4"/>
  <c r="R9" i="4"/>
  <c r="S9" i="4"/>
  <c r="R10" i="4"/>
  <c r="S10" i="4"/>
  <c r="R11" i="4"/>
  <c r="S11" i="4"/>
  <c r="R12" i="4"/>
  <c r="S12" i="4"/>
  <c r="R13" i="4"/>
  <c r="S13" i="4"/>
  <c r="R14" i="4"/>
  <c r="S14" i="4"/>
  <c r="R15" i="4"/>
  <c r="S15" i="4"/>
  <c r="R16" i="4"/>
  <c r="S16" i="4"/>
  <c r="R17" i="4"/>
  <c r="S17" i="4"/>
  <c r="R18" i="4"/>
  <c r="S18" i="4"/>
  <c r="R19" i="4"/>
  <c r="S19" i="4"/>
  <c r="R20" i="4"/>
  <c r="S20" i="4"/>
  <c r="R21" i="4"/>
  <c r="S21" i="4"/>
  <c r="R22" i="4"/>
  <c r="S22" i="4"/>
  <c r="R23" i="4"/>
  <c r="S23" i="4"/>
  <c r="R24" i="4"/>
  <c r="S24" i="4"/>
  <c r="R25" i="4"/>
  <c r="S25" i="4"/>
  <c r="R26" i="4"/>
  <c r="S26" i="4"/>
  <c r="R27" i="4"/>
  <c r="S27" i="4"/>
  <c r="R28" i="4"/>
  <c r="S28" i="4"/>
  <c r="R29" i="4"/>
  <c r="S29" i="4"/>
  <c r="R30" i="4"/>
  <c r="S30" i="4"/>
  <c r="R31" i="4"/>
  <c r="S31" i="4"/>
  <c r="R32" i="4"/>
  <c r="S32" i="4"/>
  <c r="R33" i="4"/>
  <c r="S33" i="4"/>
  <c r="R34" i="4"/>
  <c r="S34" i="4"/>
  <c r="R35" i="4"/>
  <c r="S35" i="4"/>
  <c r="R36" i="4"/>
  <c r="S36" i="4"/>
  <c r="R37" i="4"/>
  <c r="S37" i="4"/>
  <c r="R38" i="4"/>
  <c r="S38" i="4"/>
  <c r="R39" i="4"/>
  <c r="S39" i="4"/>
  <c r="R40" i="4"/>
  <c r="S40" i="4"/>
  <c r="R41" i="4"/>
  <c r="S41" i="4"/>
  <c r="R42" i="4"/>
  <c r="S42" i="4"/>
  <c r="R43" i="4"/>
  <c r="S43" i="4"/>
  <c r="R44" i="4"/>
  <c r="S44" i="4"/>
  <c r="R45" i="4"/>
  <c r="S45" i="4"/>
  <c r="R46" i="4"/>
  <c r="S46" i="4"/>
  <c r="R47" i="4"/>
  <c r="S47" i="4"/>
  <c r="R48" i="4"/>
  <c r="S48" i="4"/>
  <c r="R49" i="4"/>
  <c r="S49" i="4"/>
  <c r="R50" i="4"/>
  <c r="S50" i="4"/>
  <c r="R51" i="4"/>
  <c r="S51" i="4"/>
  <c r="R52" i="4"/>
  <c r="S52" i="4"/>
  <c r="R53" i="4"/>
  <c r="S53" i="4"/>
  <c r="R54" i="4"/>
  <c r="S54" i="4"/>
  <c r="R55" i="4"/>
  <c r="S55" i="4"/>
  <c r="R56" i="4"/>
  <c r="S56" i="4"/>
  <c r="R57" i="4"/>
  <c r="S57" i="4"/>
  <c r="R58" i="4"/>
  <c r="S58" i="4"/>
  <c r="R59" i="4"/>
  <c r="S59" i="4"/>
  <c r="R60" i="4"/>
  <c r="S60" i="4"/>
  <c r="R61" i="4"/>
  <c r="S61" i="4"/>
  <c r="R62" i="4"/>
  <c r="S62" i="4"/>
  <c r="R63" i="4"/>
  <c r="S63" i="4"/>
  <c r="R64" i="4"/>
  <c r="S64" i="4"/>
  <c r="R65" i="4"/>
  <c r="S65" i="4"/>
  <c r="R66" i="4"/>
  <c r="S66" i="4"/>
  <c r="R67" i="4"/>
  <c r="S67" i="4"/>
  <c r="R68" i="4"/>
  <c r="S68" i="4"/>
  <c r="R69" i="4"/>
  <c r="S69" i="4"/>
  <c r="R70" i="4"/>
  <c r="S70" i="4"/>
  <c r="R71" i="4"/>
  <c r="S71" i="4"/>
  <c r="R72" i="4"/>
  <c r="S72" i="4"/>
  <c r="R73" i="4"/>
  <c r="S73" i="4"/>
  <c r="R74" i="4"/>
  <c r="S74" i="4"/>
  <c r="R75" i="4"/>
  <c r="S75" i="4"/>
  <c r="R76" i="4"/>
  <c r="S76" i="4"/>
  <c r="R77" i="4"/>
  <c r="S77" i="4"/>
  <c r="R78" i="4"/>
  <c r="S78" i="4"/>
  <c r="R79" i="4"/>
  <c r="S79" i="4"/>
  <c r="R80" i="4"/>
  <c r="S80" i="4"/>
  <c r="R81" i="4"/>
  <c r="S81" i="4"/>
  <c r="R82" i="4"/>
  <c r="S82" i="4"/>
  <c r="R83" i="4"/>
  <c r="S83" i="4"/>
  <c r="R84" i="4"/>
  <c r="S84" i="4"/>
  <c r="R85" i="4"/>
  <c r="S85" i="4"/>
  <c r="R86" i="4"/>
  <c r="S86" i="4"/>
  <c r="R87" i="4"/>
  <c r="S87" i="4"/>
  <c r="R88" i="4"/>
  <c r="S88" i="4"/>
  <c r="R89" i="4"/>
  <c r="S89" i="4"/>
  <c r="R90" i="4"/>
  <c r="S90" i="4"/>
  <c r="R91" i="4"/>
  <c r="S91" i="4"/>
  <c r="R92" i="4"/>
  <c r="S92" i="4"/>
  <c r="R93" i="4"/>
  <c r="S93" i="4"/>
  <c r="R94" i="4"/>
  <c r="S94" i="4"/>
  <c r="R95" i="4"/>
  <c r="S95" i="4"/>
  <c r="R96" i="4"/>
  <c r="S96" i="4"/>
  <c r="R97" i="4"/>
  <c r="S97" i="4"/>
  <c r="R98" i="4"/>
  <c r="S98" i="4"/>
  <c r="R99" i="4"/>
  <c r="S99" i="4"/>
  <c r="R100" i="4"/>
  <c r="S100" i="4"/>
  <c r="R101" i="4"/>
  <c r="S101" i="4"/>
  <c r="R102" i="4"/>
  <c r="S102" i="4"/>
  <c r="R103" i="4"/>
  <c r="S103" i="4"/>
  <c r="R104" i="4"/>
  <c r="S104" i="4"/>
  <c r="R105" i="4"/>
  <c r="S105" i="4"/>
  <c r="R106" i="4"/>
  <c r="S106" i="4"/>
  <c r="R107" i="4"/>
  <c r="S107" i="4"/>
  <c r="R108" i="4"/>
  <c r="S108" i="4"/>
  <c r="R109" i="4"/>
  <c r="S109" i="4"/>
  <c r="R110" i="4"/>
  <c r="S110" i="4"/>
  <c r="R111" i="4"/>
  <c r="S111" i="4"/>
  <c r="R112" i="4"/>
  <c r="S112" i="4"/>
  <c r="R113" i="4"/>
  <c r="S113" i="4"/>
  <c r="R114" i="4"/>
  <c r="S114" i="4"/>
  <c r="R115" i="4"/>
  <c r="S115" i="4"/>
  <c r="R116" i="4"/>
  <c r="S116" i="4"/>
  <c r="R117" i="4"/>
  <c r="S117" i="4"/>
  <c r="R118" i="4"/>
  <c r="S118" i="4"/>
  <c r="R119" i="4"/>
  <c r="S119" i="4"/>
  <c r="R120" i="4"/>
  <c r="S120" i="4"/>
  <c r="R121" i="4"/>
  <c r="S121" i="4"/>
  <c r="R122" i="4"/>
  <c r="S122" i="4"/>
  <c r="R123" i="4"/>
  <c r="S123" i="4"/>
  <c r="R124" i="4"/>
  <c r="S124" i="4"/>
  <c r="R125" i="4"/>
  <c r="S125" i="4"/>
  <c r="R126" i="4"/>
  <c r="S126" i="4"/>
  <c r="R127" i="4"/>
  <c r="S127" i="4"/>
  <c r="R128" i="4"/>
  <c r="S128" i="4"/>
  <c r="R129" i="4"/>
  <c r="S129" i="4"/>
  <c r="R130" i="4"/>
  <c r="S130" i="4"/>
  <c r="R131" i="4"/>
  <c r="S131" i="4"/>
  <c r="R132" i="4"/>
  <c r="S132" i="4"/>
  <c r="R133" i="4"/>
  <c r="S133" i="4"/>
  <c r="R134" i="4"/>
  <c r="S134" i="4"/>
  <c r="R135" i="4"/>
  <c r="S135" i="4"/>
  <c r="R136" i="4"/>
  <c r="S136" i="4"/>
  <c r="R137" i="4"/>
  <c r="S137" i="4"/>
  <c r="R138" i="4"/>
  <c r="S138" i="4"/>
  <c r="R139" i="4"/>
  <c r="S139" i="4"/>
  <c r="R140" i="4"/>
  <c r="S140" i="4"/>
  <c r="R141" i="4"/>
  <c r="S141" i="4"/>
  <c r="R142" i="4"/>
  <c r="S142" i="4"/>
  <c r="R143" i="4"/>
  <c r="S143" i="4"/>
  <c r="R144" i="4"/>
  <c r="S144" i="4"/>
  <c r="R145" i="4"/>
  <c r="S145" i="4"/>
  <c r="R146" i="4"/>
  <c r="S146" i="4"/>
  <c r="R147" i="4"/>
  <c r="S147" i="4"/>
  <c r="R148" i="4"/>
  <c r="S148" i="4"/>
  <c r="R149" i="4"/>
  <c r="S149" i="4"/>
  <c r="R150" i="4"/>
  <c r="S150" i="4"/>
  <c r="R151" i="4"/>
  <c r="S151" i="4"/>
  <c r="R152" i="4"/>
  <c r="S152" i="4"/>
  <c r="R153" i="4"/>
  <c r="S153" i="4"/>
  <c r="R154" i="4"/>
  <c r="S154" i="4"/>
  <c r="R155" i="4"/>
  <c r="S155" i="4"/>
  <c r="R156" i="4"/>
  <c r="S156" i="4"/>
  <c r="R157" i="4"/>
  <c r="S157" i="4"/>
  <c r="R158" i="4"/>
  <c r="S158" i="4"/>
  <c r="R159" i="4"/>
  <c r="S159" i="4"/>
  <c r="R160" i="4"/>
  <c r="S160" i="4"/>
  <c r="R161" i="4"/>
  <c r="S161" i="4"/>
  <c r="R162" i="4"/>
  <c r="S162" i="4"/>
  <c r="R163" i="4"/>
  <c r="S163" i="4"/>
  <c r="R164" i="4"/>
  <c r="S164" i="4"/>
  <c r="R165" i="4"/>
  <c r="S165" i="4"/>
  <c r="R166" i="4"/>
  <c r="S166" i="4"/>
  <c r="R167" i="4"/>
  <c r="S167" i="4"/>
  <c r="R168" i="4"/>
  <c r="S168" i="4"/>
  <c r="R169" i="4"/>
  <c r="S169" i="4"/>
  <c r="R170" i="4"/>
  <c r="S170" i="4"/>
  <c r="R171" i="4"/>
  <c r="S171" i="4"/>
  <c r="R172" i="4"/>
  <c r="S172" i="4"/>
  <c r="R173" i="4"/>
  <c r="S173" i="4"/>
  <c r="R174" i="4"/>
  <c r="S174" i="4"/>
  <c r="R175" i="4"/>
  <c r="S175" i="4"/>
  <c r="R176" i="4"/>
  <c r="S176" i="4"/>
  <c r="R177" i="4"/>
  <c r="S177" i="4"/>
  <c r="R178" i="4"/>
  <c r="S178" i="4"/>
  <c r="R179" i="4"/>
  <c r="S179" i="4"/>
  <c r="R180" i="4"/>
  <c r="S180" i="4"/>
  <c r="R181" i="4"/>
  <c r="S181" i="4"/>
  <c r="R182" i="4"/>
  <c r="S182" i="4"/>
  <c r="R183" i="4"/>
  <c r="S183" i="4"/>
  <c r="R184" i="4"/>
  <c r="S184" i="4"/>
  <c r="R185" i="4"/>
  <c r="S185" i="4"/>
  <c r="R186" i="4"/>
  <c r="S186" i="4"/>
  <c r="R187" i="4"/>
  <c r="S187" i="4"/>
  <c r="R188" i="4"/>
  <c r="S188" i="4"/>
  <c r="R189" i="4"/>
  <c r="S189" i="4"/>
  <c r="R190" i="4"/>
  <c r="S190" i="4"/>
  <c r="R191" i="4"/>
  <c r="S191" i="4"/>
  <c r="R192" i="4"/>
  <c r="S192" i="4"/>
  <c r="R193" i="4"/>
  <c r="S193" i="4"/>
  <c r="R194" i="4"/>
  <c r="S194" i="4"/>
  <c r="R195" i="4"/>
  <c r="S195" i="4"/>
  <c r="R196" i="4"/>
  <c r="S196" i="4"/>
  <c r="R197" i="4"/>
  <c r="S197" i="4"/>
  <c r="R198" i="4"/>
  <c r="S198" i="4"/>
  <c r="R199" i="4"/>
  <c r="S199" i="4"/>
  <c r="R200" i="4"/>
  <c r="S200" i="4"/>
  <c r="R201" i="4"/>
  <c r="S201" i="4"/>
  <c r="R202" i="4"/>
  <c r="S202" i="4"/>
  <c r="R203" i="4"/>
  <c r="S203" i="4"/>
  <c r="R204" i="4"/>
  <c r="S204" i="4"/>
  <c r="R205" i="4"/>
  <c r="S205" i="4"/>
  <c r="R206" i="4"/>
  <c r="S206" i="4"/>
  <c r="R207" i="4"/>
  <c r="S207" i="4"/>
  <c r="R208" i="4"/>
  <c r="S208" i="4"/>
  <c r="R209" i="4"/>
  <c r="S209" i="4"/>
  <c r="R210" i="4"/>
  <c r="S210" i="4"/>
  <c r="R211" i="4"/>
  <c r="S211" i="4"/>
  <c r="R212" i="4"/>
  <c r="S212" i="4"/>
  <c r="R213" i="4"/>
  <c r="S213" i="4"/>
  <c r="R214" i="4"/>
  <c r="S214" i="4"/>
  <c r="R215" i="4"/>
  <c r="S215" i="4"/>
  <c r="W3" i="1"/>
  <c r="X3" i="1"/>
  <c r="Y3" i="1"/>
  <c r="W4" i="1"/>
  <c r="X4" i="1"/>
  <c r="Y4" i="1"/>
  <c r="W5" i="1"/>
  <c r="X5" i="1"/>
  <c r="Y5" i="1"/>
  <c r="W6" i="1"/>
  <c r="X6" i="1"/>
  <c r="Y6" i="1"/>
  <c r="W7" i="1"/>
  <c r="X7" i="1"/>
  <c r="Y7" i="1"/>
  <c r="W8" i="1"/>
  <c r="X8" i="1"/>
  <c r="Y8" i="1"/>
  <c r="W9" i="1"/>
  <c r="X9" i="1"/>
  <c r="Y9" i="1"/>
  <c r="W10" i="1"/>
  <c r="X10" i="1"/>
  <c r="Y10" i="1"/>
  <c r="W11" i="1"/>
  <c r="X11" i="1"/>
  <c r="Y11" i="1"/>
  <c r="W12" i="1"/>
  <c r="X12" i="1"/>
  <c r="Y12" i="1"/>
  <c r="W13" i="1"/>
  <c r="X13" i="1"/>
  <c r="Y13" i="1"/>
  <c r="W14" i="1"/>
  <c r="X14" i="1"/>
  <c r="Y14" i="1"/>
  <c r="W15" i="1"/>
  <c r="X15" i="1"/>
  <c r="Y15" i="1"/>
  <c r="W16" i="1"/>
  <c r="X16" i="1"/>
  <c r="Y16" i="1"/>
  <c r="W17" i="1"/>
  <c r="X17" i="1"/>
  <c r="Y17" i="1"/>
  <c r="W18" i="1"/>
  <c r="X18" i="1"/>
  <c r="Y18" i="1"/>
  <c r="W19" i="1"/>
  <c r="X19" i="1"/>
  <c r="Y19" i="1"/>
  <c r="W20" i="1"/>
  <c r="X20" i="1"/>
  <c r="Y20" i="1"/>
  <c r="W21" i="1"/>
  <c r="X21" i="1"/>
  <c r="Y21" i="1"/>
  <c r="W22" i="1"/>
  <c r="X22" i="1"/>
  <c r="Y22" i="1"/>
  <c r="W23" i="1"/>
  <c r="X23" i="1"/>
  <c r="Y23" i="1"/>
  <c r="W24" i="1"/>
  <c r="X24" i="1"/>
  <c r="Y24" i="1"/>
  <c r="W25" i="1"/>
  <c r="X25" i="1"/>
  <c r="Y25" i="1"/>
  <c r="W26" i="1"/>
  <c r="X26" i="1"/>
  <c r="Y26" i="1"/>
  <c r="W27" i="1"/>
  <c r="X27" i="1"/>
  <c r="Y27" i="1"/>
  <c r="W28" i="1"/>
  <c r="X28" i="1"/>
  <c r="Y28" i="1"/>
  <c r="W29" i="1"/>
  <c r="X29" i="1"/>
  <c r="Y29" i="1"/>
  <c r="W30" i="1"/>
  <c r="X30" i="1"/>
  <c r="Y30" i="1"/>
  <c r="W31" i="1"/>
  <c r="X31" i="1"/>
  <c r="Y31" i="1"/>
  <c r="W32" i="1"/>
  <c r="X32" i="1"/>
  <c r="Y32" i="1"/>
  <c r="W33" i="1"/>
  <c r="X33" i="1"/>
  <c r="Y33" i="1"/>
  <c r="W34" i="1"/>
  <c r="X34" i="1"/>
  <c r="Y34" i="1"/>
  <c r="W35" i="1"/>
  <c r="X35" i="1"/>
  <c r="Y35" i="1"/>
  <c r="W36" i="1"/>
  <c r="X36" i="1"/>
  <c r="Y36" i="1"/>
  <c r="W37" i="1"/>
  <c r="X37" i="1"/>
  <c r="Y37" i="1"/>
  <c r="W38" i="1"/>
  <c r="X38" i="1"/>
  <c r="Y38" i="1"/>
  <c r="W39" i="1"/>
  <c r="X39" i="1"/>
  <c r="Y39" i="1"/>
  <c r="W40" i="1"/>
  <c r="X40" i="1"/>
  <c r="Y40" i="1"/>
  <c r="W41" i="1"/>
  <c r="X41" i="1"/>
  <c r="Y41" i="1"/>
  <c r="W42" i="1"/>
  <c r="X42" i="1"/>
  <c r="Y42" i="1"/>
  <c r="W43" i="1"/>
  <c r="X43" i="1"/>
  <c r="Y43" i="1"/>
  <c r="W44" i="1"/>
  <c r="X44" i="1"/>
  <c r="Y44" i="1"/>
  <c r="W45" i="1"/>
  <c r="X45" i="1"/>
  <c r="Y45" i="1"/>
  <c r="W46" i="1"/>
  <c r="X46" i="1"/>
  <c r="Y46" i="1"/>
  <c r="W47" i="1"/>
  <c r="X47" i="1"/>
  <c r="Y47" i="1"/>
  <c r="W48" i="1"/>
  <c r="X48" i="1"/>
  <c r="Y48" i="1"/>
  <c r="W49" i="1"/>
  <c r="X49" i="1"/>
  <c r="Y49" i="1"/>
  <c r="W50" i="1"/>
  <c r="X50" i="1"/>
  <c r="Y50" i="1"/>
  <c r="W51" i="1"/>
  <c r="X51" i="1"/>
  <c r="Y51" i="1"/>
  <c r="W52" i="1"/>
  <c r="X52" i="1"/>
  <c r="Y52" i="1"/>
  <c r="W53" i="1"/>
  <c r="X53" i="1"/>
  <c r="Y53" i="1"/>
  <c r="W54" i="1"/>
  <c r="X54" i="1"/>
  <c r="Y54" i="1"/>
  <c r="W55" i="1"/>
  <c r="X55" i="1"/>
  <c r="Y55" i="1"/>
  <c r="W56" i="1"/>
  <c r="X56" i="1"/>
  <c r="Y56" i="1"/>
  <c r="W57" i="1"/>
  <c r="X57" i="1"/>
  <c r="Y57" i="1"/>
  <c r="W58" i="1"/>
  <c r="X58" i="1"/>
  <c r="Y58" i="1"/>
  <c r="W59" i="1"/>
  <c r="X59" i="1"/>
  <c r="Y59" i="1"/>
  <c r="W60" i="1"/>
  <c r="X60" i="1"/>
  <c r="Y60" i="1"/>
  <c r="W61" i="1"/>
  <c r="X61" i="1"/>
  <c r="Y61" i="1"/>
  <c r="W62" i="1"/>
  <c r="X62" i="1"/>
  <c r="Y62" i="1"/>
  <c r="W63" i="1"/>
  <c r="X63" i="1"/>
  <c r="Y63" i="1"/>
  <c r="W64" i="1"/>
  <c r="X64" i="1"/>
  <c r="Y64" i="1"/>
  <c r="W65" i="1"/>
  <c r="X65" i="1"/>
  <c r="Y65" i="1"/>
  <c r="W66" i="1"/>
  <c r="X66" i="1"/>
  <c r="Y66" i="1"/>
  <c r="W67" i="1"/>
  <c r="X67" i="1"/>
  <c r="Y67" i="1"/>
  <c r="W68" i="1"/>
  <c r="X68" i="1"/>
  <c r="Y68" i="1"/>
  <c r="W69" i="1"/>
  <c r="X69" i="1"/>
  <c r="Y69" i="1"/>
  <c r="W70" i="1"/>
  <c r="X70" i="1"/>
  <c r="Y70" i="1"/>
  <c r="W71" i="1"/>
  <c r="X71" i="1"/>
  <c r="Y71" i="1"/>
  <c r="W72" i="1"/>
  <c r="X72" i="1"/>
  <c r="Y72" i="1"/>
  <c r="W73" i="1"/>
  <c r="X73" i="1"/>
  <c r="Y73" i="1"/>
  <c r="W74" i="1"/>
  <c r="X74" i="1"/>
  <c r="Y74" i="1"/>
  <c r="W75" i="1"/>
  <c r="X75" i="1"/>
  <c r="Y75" i="1"/>
  <c r="W76" i="1"/>
  <c r="X76" i="1"/>
  <c r="Y76" i="1"/>
  <c r="W77" i="1"/>
  <c r="X77" i="1"/>
  <c r="Y77" i="1"/>
  <c r="W78" i="1"/>
  <c r="X78" i="1"/>
  <c r="Y78" i="1"/>
  <c r="W79" i="1"/>
  <c r="X79" i="1"/>
  <c r="Y79" i="1"/>
  <c r="W80" i="1"/>
  <c r="X80" i="1"/>
  <c r="Y80" i="1"/>
  <c r="W81" i="1"/>
  <c r="X81" i="1"/>
  <c r="Y81" i="1"/>
  <c r="W82" i="1"/>
  <c r="X82" i="1"/>
  <c r="Y82" i="1"/>
  <c r="W83" i="1"/>
  <c r="X83" i="1"/>
  <c r="Y83" i="1"/>
  <c r="W84" i="1"/>
  <c r="X84" i="1"/>
  <c r="Y84" i="1"/>
  <c r="W85" i="1"/>
  <c r="X85" i="1"/>
  <c r="Y85" i="1"/>
  <c r="W86" i="1"/>
  <c r="X86" i="1"/>
  <c r="Y86" i="1"/>
  <c r="W87" i="1"/>
  <c r="X87" i="1"/>
  <c r="Y87" i="1"/>
  <c r="W88" i="1"/>
  <c r="X88" i="1"/>
  <c r="Y88" i="1"/>
  <c r="W89" i="1"/>
  <c r="X89" i="1"/>
  <c r="Y89" i="1"/>
  <c r="W90" i="1"/>
  <c r="X90" i="1"/>
  <c r="Y90" i="1"/>
  <c r="W91" i="1"/>
  <c r="X91" i="1"/>
  <c r="Y91" i="1"/>
  <c r="W92" i="1"/>
  <c r="X92" i="1"/>
  <c r="Y92" i="1"/>
  <c r="W93" i="1"/>
  <c r="X93" i="1"/>
  <c r="Y93" i="1"/>
  <c r="W94" i="1"/>
  <c r="X94" i="1"/>
  <c r="Y94" i="1"/>
  <c r="W95" i="1"/>
  <c r="X95" i="1"/>
  <c r="Y95" i="1"/>
  <c r="W96" i="1"/>
  <c r="X96" i="1"/>
  <c r="Y96" i="1"/>
  <c r="W97" i="1"/>
  <c r="X97" i="1"/>
  <c r="Y97" i="1"/>
  <c r="W98" i="1"/>
  <c r="X98" i="1"/>
  <c r="Y98" i="1"/>
  <c r="W99" i="1"/>
  <c r="X99" i="1"/>
  <c r="Y99" i="1"/>
  <c r="W100" i="1"/>
  <c r="X100" i="1"/>
  <c r="Y100" i="1"/>
  <c r="W101" i="1"/>
  <c r="X101" i="1"/>
  <c r="Y101" i="1"/>
  <c r="W102" i="1"/>
  <c r="X102" i="1"/>
  <c r="Y102" i="1"/>
  <c r="W103" i="1"/>
  <c r="X103" i="1"/>
  <c r="Y103" i="1"/>
  <c r="W104" i="1"/>
  <c r="X104" i="1"/>
  <c r="Y104" i="1"/>
  <c r="W105" i="1"/>
  <c r="X105" i="1"/>
  <c r="Y105" i="1"/>
  <c r="W106" i="1"/>
  <c r="X106" i="1"/>
  <c r="Y106" i="1"/>
  <c r="W107" i="1"/>
  <c r="X107" i="1"/>
  <c r="Y107" i="1"/>
  <c r="W108" i="1"/>
  <c r="X108" i="1"/>
  <c r="Y108" i="1"/>
  <c r="W109" i="1"/>
  <c r="X109" i="1"/>
  <c r="Y109" i="1"/>
  <c r="W110" i="1"/>
  <c r="X110" i="1"/>
  <c r="Y110" i="1"/>
  <c r="W111" i="1"/>
  <c r="X111" i="1"/>
  <c r="Y111" i="1"/>
  <c r="W112" i="1"/>
  <c r="X112" i="1"/>
  <c r="Y112" i="1"/>
  <c r="W113" i="1"/>
  <c r="X113" i="1"/>
  <c r="Y113" i="1"/>
  <c r="W114" i="1"/>
  <c r="X114" i="1"/>
  <c r="Y114" i="1"/>
  <c r="W115" i="1"/>
  <c r="X115" i="1"/>
  <c r="Y115" i="1"/>
  <c r="W116" i="1"/>
  <c r="X116" i="1"/>
  <c r="Y116" i="1"/>
  <c r="W117" i="1"/>
  <c r="X117" i="1"/>
  <c r="Y117" i="1"/>
  <c r="W118" i="1"/>
  <c r="X118" i="1"/>
  <c r="Y118" i="1"/>
  <c r="W119" i="1"/>
  <c r="X119" i="1"/>
  <c r="Y119" i="1"/>
  <c r="W120" i="1"/>
  <c r="X120" i="1"/>
  <c r="Y120" i="1"/>
  <c r="W121" i="1"/>
  <c r="X121" i="1"/>
  <c r="Y121" i="1"/>
  <c r="W122" i="1"/>
  <c r="X122" i="1"/>
  <c r="Y122" i="1"/>
  <c r="W123" i="1"/>
  <c r="X123" i="1"/>
  <c r="Y123" i="1"/>
  <c r="W124" i="1"/>
  <c r="X124" i="1"/>
  <c r="Y124" i="1"/>
  <c r="W125" i="1"/>
  <c r="X125" i="1"/>
  <c r="Y125" i="1"/>
  <c r="W126" i="1"/>
  <c r="X126" i="1"/>
  <c r="Y126" i="1"/>
  <c r="W127" i="1"/>
  <c r="X127" i="1"/>
  <c r="Y127" i="1"/>
  <c r="W128" i="1"/>
  <c r="X128" i="1"/>
  <c r="Y128" i="1"/>
  <c r="W129" i="1"/>
  <c r="X129" i="1"/>
  <c r="Y129" i="1"/>
  <c r="W130" i="1"/>
  <c r="X130" i="1"/>
  <c r="Y130" i="1"/>
  <c r="W131" i="1"/>
  <c r="X131" i="1"/>
  <c r="Y131" i="1"/>
  <c r="W132" i="1"/>
  <c r="X132" i="1"/>
  <c r="Y132" i="1"/>
  <c r="W133" i="1"/>
  <c r="X133" i="1"/>
  <c r="Y133" i="1"/>
  <c r="W134" i="1"/>
  <c r="X134" i="1"/>
  <c r="Y134" i="1"/>
  <c r="W135" i="1"/>
  <c r="X135" i="1"/>
  <c r="Y135" i="1"/>
  <c r="W136" i="1"/>
  <c r="X136" i="1"/>
  <c r="Y136" i="1"/>
  <c r="W137" i="1"/>
  <c r="X137" i="1"/>
  <c r="Y137" i="1"/>
  <c r="W138" i="1"/>
  <c r="X138" i="1"/>
  <c r="Y138" i="1"/>
  <c r="W139" i="1"/>
  <c r="X139" i="1"/>
  <c r="Y139" i="1"/>
  <c r="W140" i="1"/>
  <c r="X140" i="1"/>
  <c r="Y140" i="1"/>
  <c r="W141" i="1"/>
  <c r="X141" i="1"/>
  <c r="Y141" i="1"/>
  <c r="W142" i="1"/>
  <c r="X142" i="1"/>
  <c r="Y142" i="1"/>
  <c r="W143" i="1"/>
  <c r="X143" i="1"/>
  <c r="Y143" i="1"/>
  <c r="W144" i="1"/>
  <c r="X144" i="1"/>
  <c r="Y144" i="1"/>
  <c r="W145" i="1"/>
  <c r="X145" i="1"/>
  <c r="Y145" i="1"/>
  <c r="W146" i="1"/>
  <c r="X146" i="1"/>
  <c r="Y146" i="1"/>
  <c r="W147" i="1"/>
  <c r="X147" i="1"/>
  <c r="Y147" i="1"/>
  <c r="W148" i="1"/>
  <c r="X148" i="1"/>
  <c r="Y148" i="1"/>
  <c r="W149" i="1"/>
  <c r="X149" i="1"/>
  <c r="Y149" i="1"/>
  <c r="W150" i="1"/>
  <c r="X150" i="1"/>
  <c r="Y150" i="1"/>
  <c r="W151" i="1"/>
  <c r="X151" i="1"/>
  <c r="Y151" i="1"/>
  <c r="W152" i="1"/>
  <c r="X152" i="1"/>
  <c r="Y152" i="1"/>
  <c r="W153" i="1"/>
  <c r="X153" i="1"/>
  <c r="Y153" i="1"/>
  <c r="W154" i="1"/>
  <c r="X154" i="1"/>
  <c r="Y154" i="1"/>
  <c r="W155" i="1"/>
  <c r="X155" i="1"/>
  <c r="Y155" i="1"/>
  <c r="W156" i="1"/>
  <c r="X156" i="1"/>
  <c r="Y156" i="1"/>
  <c r="W157" i="1"/>
  <c r="X157" i="1"/>
  <c r="Y157" i="1"/>
  <c r="W158" i="1"/>
  <c r="X158" i="1"/>
  <c r="Y158" i="1"/>
  <c r="W159" i="1"/>
  <c r="X159" i="1"/>
  <c r="Y159" i="1"/>
  <c r="W160" i="1"/>
  <c r="X160" i="1"/>
  <c r="Y160" i="1"/>
  <c r="W161" i="1"/>
  <c r="X161" i="1"/>
  <c r="Y161" i="1"/>
  <c r="W162" i="1"/>
  <c r="X162" i="1"/>
  <c r="Y162" i="1"/>
  <c r="W163" i="1"/>
  <c r="X163" i="1"/>
  <c r="Y163" i="1"/>
  <c r="W164" i="1"/>
  <c r="X164" i="1"/>
  <c r="Y164" i="1"/>
  <c r="W165" i="1"/>
  <c r="X165" i="1"/>
  <c r="Y165" i="1"/>
  <c r="W166" i="1"/>
  <c r="X166" i="1"/>
  <c r="Y166" i="1"/>
  <c r="W167" i="1"/>
  <c r="X167" i="1"/>
  <c r="Y167" i="1"/>
  <c r="W168" i="1"/>
  <c r="X168" i="1"/>
  <c r="Y168" i="1"/>
  <c r="W169" i="1"/>
  <c r="X169" i="1"/>
  <c r="Y169" i="1"/>
  <c r="W170" i="1"/>
  <c r="X170" i="1"/>
  <c r="Y170" i="1"/>
  <c r="W171" i="1"/>
  <c r="X171" i="1"/>
  <c r="Y171" i="1"/>
  <c r="W172" i="1"/>
  <c r="X172" i="1"/>
  <c r="Y172" i="1"/>
  <c r="W173" i="1"/>
  <c r="X173" i="1"/>
  <c r="Y173" i="1"/>
  <c r="W174" i="1"/>
  <c r="X174" i="1"/>
  <c r="Y174" i="1"/>
  <c r="W175" i="1"/>
  <c r="X175" i="1"/>
  <c r="Y175" i="1"/>
  <c r="W176" i="1"/>
  <c r="X176" i="1"/>
  <c r="Y176" i="1"/>
  <c r="W177" i="1"/>
  <c r="X177" i="1"/>
  <c r="Y177" i="1"/>
  <c r="W178" i="1"/>
  <c r="X178" i="1"/>
  <c r="Y178" i="1"/>
  <c r="W179" i="1"/>
  <c r="X179" i="1"/>
  <c r="Y179" i="1"/>
  <c r="W180" i="1"/>
  <c r="X180" i="1"/>
  <c r="Y180" i="1"/>
  <c r="W181" i="1"/>
  <c r="X181" i="1"/>
  <c r="Y181" i="1"/>
  <c r="W182" i="1"/>
  <c r="X182" i="1"/>
  <c r="Y182" i="1"/>
  <c r="W183" i="1"/>
  <c r="X183" i="1"/>
  <c r="Y183" i="1"/>
  <c r="W184" i="1"/>
  <c r="X184" i="1"/>
  <c r="Y184" i="1"/>
  <c r="W185" i="1"/>
  <c r="X185" i="1"/>
  <c r="Y185" i="1"/>
  <c r="W186" i="1"/>
  <c r="X186" i="1"/>
  <c r="Y186" i="1"/>
  <c r="W187" i="1"/>
  <c r="X187" i="1"/>
  <c r="Y187" i="1"/>
  <c r="W188" i="1"/>
  <c r="X188" i="1"/>
  <c r="Y188" i="1"/>
  <c r="W189" i="1"/>
  <c r="X189" i="1"/>
  <c r="Y189" i="1"/>
  <c r="W190" i="1"/>
  <c r="X190" i="1"/>
  <c r="Y190" i="1"/>
  <c r="W191" i="1"/>
  <c r="X191" i="1"/>
  <c r="Y191" i="1"/>
  <c r="W192" i="1"/>
  <c r="X192" i="1"/>
  <c r="Y192" i="1"/>
  <c r="W193" i="1"/>
  <c r="X193" i="1"/>
  <c r="Y193" i="1"/>
  <c r="W194" i="1"/>
  <c r="X194" i="1"/>
  <c r="Y194" i="1"/>
  <c r="W195" i="1"/>
  <c r="X195" i="1"/>
  <c r="Y195" i="1"/>
  <c r="W196" i="1"/>
  <c r="X196" i="1"/>
  <c r="Y196" i="1"/>
  <c r="W197" i="1"/>
  <c r="X197" i="1"/>
  <c r="Y197" i="1"/>
  <c r="W198" i="1"/>
  <c r="X198" i="1"/>
  <c r="Y198" i="1"/>
  <c r="W199" i="1"/>
  <c r="X199" i="1"/>
  <c r="Y199" i="1"/>
  <c r="W200" i="1"/>
  <c r="X200" i="1"/>
  <c r="Y200" i="1"/>
  <c r="W201" i="1"/>
  <c r="X201" i="1"/>
  <c r="Y201" i="1"/>
  <c r="W202" i="1"/>
  <c r="X202" i="1"/>
  <c r="Y202" i="1"/>
  <c r="W203" i="1"/>
  <c r="X203" i="1"/>
  <c r="Y203" i="1"/>
  <c r="W204" i="1"/>
  <c r="X204" i="1"/>
  <c r="Y204" i="1"/>
  <c r="W205" i="1"/>
  <c r="X205" i="1"/>
  <c r="Y205" i="1"/>
  <c r="W206" i="1"/>
  <c r="X206" i="1"/>
  <c r="Y206" i="1"/>
  <c r="W207" i="1"/>
  <c r="X207" i="1"/>
  <c r="Y207" i="1"/>
  <c r="W208" i="1"/>
  <c r="X208" i="1"/>
  <c r="Y208" i="1"/>
  <c r="W209" i="1"/>
  <c r="X209" i="1"/>
  <c r="Y209" i="1"/>
  <c r="W210" i="1"/>
  <c r="X210" i="1"/>
  <c r="Y210" i="1"/>
  <c r="W211" i="1"/>
  <c r="X211" i="1"/>
  <c r="Y211" i="1"/>
  <c r="W212" i="1"/>
  <c r="X212" i="1"/>
  <c r="Y212" i="1"/>
  <c r="W213" i="1"/>
  <c r="X213" i="1"/>
  <c r="Y213" i="1"/>
  <c r="W214" i="1"/>
  <c r="X214" i="1"/>
  <c r="Y214" i="1"/>
  <c r="W215" i="1"/>
  <c r="X215" i="1"/>
  <c r="Y215" i="1"/>
  <c r="W216" i="1"/>
  <c r="X216" i="1"/>
  <c r="Y216" i="1"/>
  <c r="W217" i="1"/>
  <c r="X217" i="1"/>
  <c r="Y217" i="1"/>
  <c r="W218" i="1"/>
  <c r="X218" i="1"/>
  <c r="Y218" i="1"/>
  <c r="W219" i="1"/>
  <c r="X219" i="1"/>
  <c r="Y219" i="1"/>
  <c r="W220" i="1"/>
  <c r="X220" i="1"/>
  <c r="Y220" i="1"/>
  <c r="W221" i="1"/>
  <c r="X221" i="1"/>
  <c r="Y221" i="1"/>
  <c r="W222" i="1"/>
  <c r="X222" i="1"/>
  <c r="Y222" i="1"/>
  <c r="W223" i="1"/>
  <c r="X223" i="1"/>
  <c r="Y223" i="1"/>
  <c r="W224" i="1"/>
  <c r="X224" i="1"/>
  <c r="Y224" i="1"/>
  <c r="W225" i="1"/>
  <c r="X225" i="1"/>
  <c r="Y225" i="1"/>
  <c r="W226" i="1"/>
  <c r="X226" i="1"/>
  <c r="Y226" i="1"/>
  <c r="W227" i="1"/>
  <c r="X227" i="1"/>
  <c r="Y227" i="1"/>
  <c r="W228" i="1"/>
  <c r="X228" i="1"/>
  <c r="Y228" i="1"/>
  <c r="W229" i="1"/>
  <c r="X229" i="1"/>
  <c r="Y229" i="1"/>
  <c r="W230" i="1"/>
  <c r="X230" i="1"/>
  <c r="Y230" i="1"/>
  <c r="W231" i="1"/>
  <c r="X231" i="1"/>
  <c r="Y231" i="1"/>
  <c r="W232" i="1"/>
  <c r="X232" i="1"/>
  <c r="Y232" i="1"/>
  <c r="W233" i="1"/>
  <c r="X233" i="1"/>
  <c r="Y233" i="1"/>
  <c r="W234" i="1"/>
  <c r="X234" i="1"/>
  <c r="Y234" i="1"/>
  <c r="W235" i="1"/>
  <c r="X235" i="1"/>
  <c r="Y235" i="1"/>
  <c r="W236" i="1"/>
  <c r="X236" i="1"/>
  <c r="Y236" i="1"/>
  <c r="W237" i="1"/>
  <c r="X237" i="1"/>
  <c r="Y237" i="1"/>
  <c r="W238" i="1"/>
  <c r="X238" i="1"/>
  <c r="Y238" i="1"/>
  <c r="W239" i="1"/>
  <c r="X239" i="1"/>
  <c r="Y239" i="1"/>
  <c r="W240" i="1"/>
  <c r="X240" i="1"/>
  <c r="Y240" i="1"/>
  <c r="W241" i="1"/>
  <c r="X241" i="1"/>
  <c r="Y241" i="1"/>
  <c r="W242" i="1"/>
  <c r="X242" i="1"/>
  <c r="Y242" i="1"/>
  <c r="W243" i="1"/>
  <c r="X243" i="1"/>
  <c r="Y243" i="1"/>
  <c r="W244" i="1"/>
  <c r="X244" i="1"/>
  <c r="Y244" i="1"/>
  <c r="W245" i="1"/>
  <c r="X245" i="1"/>
  <c r="Y245" i="1"/>
  <c r="W246" i="1"/>
  <c r="X246" i="1"/>
  <c r="Y246" i="1"/>
  <c r="W247" i="1"/>
  <c r="X247" i="1"/>
  <c r="Y247" i="1"/>
  <c r="W248" i="1"/>
  <c r="X248" i="1"/>
  <c r="Y248" i="1"/>
  <c r="W249" i="1"/>
  <c r="X249" i="1"/>
  <c r="Y249" i="1"/>
  <c r="W250" i="1"/>
  <c r="X250" i="1"/>
  <c r="Y250" i="1"/>
  <c r="W251" i="1"/>
  <c r="X251" i="1"/>
  <c r="Y251" i="1"/>
  <c r="W252" i="1"/>
  <c r="X252" i="1"/>
  <c r="Y252" i="1"/>
  <c r="W253" i="1"/>
  <c r="X253" i="1"/>
  <c r="Y253" i="1"/>
  <c r="W254" i="1"/>
  <c r="X254" i="1"/>
  <c r="Y254" i="1"/>
  <c r="W255" i="1"/>
  <c r="X255" i="1"/>
  <c r="Y255" i="1"/>
  <c r="W256" i="1"/>
  <c r="X256" i="1"/>
  <c r="Y256" i="1"/>
  <c r="W257" i="1"/>
  <c r="X257" i="1"/>
  <c r="Y257" i="1"/>
  <c r="W258" i="1"/>
  <c r="X258" i="1"/>
  <c r="Y258" i="1"/>
  <c r="W259" i="1"/>
  <c r="X259" i="1"/>
  <c r="Y259" i="1"/>
  <c r="W260" i="1"/>
  <c r="X260" i="1"/>
  <c r="Y260" i="1"/>
  <c r="W261" i="1"/>
  <c r="X261" i="1"/>
  <c r="Y261" i="1"/>
  <c r="W262" i="1"/>
  <c r="X262" i="1"/>
  <c r="Y262" i="1"/>
  <c r="W263" i="1"/>
  <c r="X263" i="1"/>
  <c r="Y263" i="1"/>
  <c r="W264" i="1"/>
  <c r="X264" i="1"/>
  <c r="Y264" i="1"/>
  <c r="W265" i="1"/>
  <c r="X265" i="1"/>
  <c r="Y265" i="1"/>
  <c r="W266" i="1"/>
  <c r="X266" i="1"/>
  <c r="Y266" i="1"/>
  <c r="W267" i="1"/>
  <c r="X267" i="1"/>
  <c r="Y267" i="1"/>
  <c r="W268" i="1"/>
  <c r="X268" i="1"/>
  <c r="Y268" i="1"/>
  <c r="W269" i="1"/>
  <c r="X269" i="1"/>
  <c r="Y269" i="1"/>
  <c r="W270" i="1"/>
  <c r="X270" i="1"/>
  <c r="Y270" i="1"/>
  <c r="W271" i="1"/>
  <c r="X271" i="1"/>
  <c r="Y271" i="1"/>
  <c r="W272" i="1"/>
  <c r="X272" i="1"/>
  <c r="Y272" i="1"/>
  <c r="W273" i="1"/>
  <c r="X273" i="1"/>
  <c r="Y273" i="1"/>
  <c r="W274" i="1"/>
  <c r="X274" i="1"/>
  <c r="Y274" i="1"/>
  <c r="W275" i="1"/>
  <c r="X275" i="1"/>
  <c r="Y275" i="1"/>
  <c r="W276" i="1"/>
  <c r="X276" i="1"/>
  <c r="Y276" i="1"/>
  <c r="W277" i="1"/>
  <c r="X277" i="1"/>
  <c r="Y277" i="1"/>
  <c r="W278" i="1"/>
  <c r="X278" i="1"/>
  <c r="Y278" i="1"/>
  <c r="W279" i="1"/>
  <c r="X279" i="1"/>
  <c r="Y279" i="1"/>
  <c r="W280" i="1"/>
  <c r="X280" i="1"/>
  <c r="Y280" i="1"/>
  <c r="W281" i="1"/>
  <c r="X281" i="1"/>
  <c r="Y281" i="1"/>
  <c r="W282" i="1"/>
  <c r="X282" i="1"/>
  <c r="Y282" i="1"/>
  <c r="W283" i="1"/>
  <c r="X283" i="1"/>
  <c r="Y283" i="1"/>
  <c r="W284" i="1"/>
  <c r="X284" i="1"/>
  <c r="Y284" i="1"/>
  <c r="W285" i="1"/>
  <c r="X285" i="1"/>
  <c r="Y285" i="1"/>
  <c r="W286" i="1"/>
  <c r="X286" i="1"/>
  <c r="Y286" i="1"/>
  <c r="W287" i="1"/>
  <c r="X287" i="1"/>
  <c r="Y287" i="1"/>
  <c r="W288" i="1"/>
  <c r="X288" i="1"/>
  <c r="Y288" i="1"/>
  <c r="W289" i="1"/>
  <c r="X289" i="1"/>
  <c r="Y289" i="1"/>
  <c r="W290" i="1"/>
  <c r="X290" i="1"/>
  <c r="Y290" i="1"/>
  <c r="W291" i="1"/>
  <c r="X291" i="1"/>
  <c r="Y291" i="1"/>
  <c r="W292" i="1"/>
  <c r="X292" i="1"/>
  <c r="Y292" i="1"/>
  <c r="W293" i="1"/>
  <c r="X293" i="1"/>
  <c r="Y293" i="1"/>
  <c r="W294" i="1"/>
  <c r="X294" i="1"/>
  <c r="Y294" i="1"/>
  <c r="W295" i="1"/>
  <c r="X295" i="1"/>
  <c r="Y295" i="1"/>
  <c r="W296" i="1"/>
  <c r="X296" i="1"/>
  <c r="Y296" i="1"/>
  <c r="W297" i="1"/>
  <c r="X297" i="1"/>
  <c r="Y297" i="1"/>
  <c r="W298" i="1"/>
  <c r="X298" i="1"/>
  <c r="Y298" i="1"/>
  <c r="W299" i="1"/>
  <c r="X299" i="1"/>
  <c r="Y299" i="1"/>
  <c r="W300" i="1"/>
  <c r="X300" i="1"/>
  <c r="Y300" i="1"/>
  <c r="W301" i="1"/>
  <c r="X301" i="1"/>
  <c r="Y301" i="1"/>
  <c r="W302" i="1"/>
  <c r="X302" i="1"/>
  <c r="Y302" i="1"/>
  <c r="W303" i="1"/>
  <c r="X303" i="1"/>
  <c r="Y303" i="1"/>
  <c r="W304" i="1"/>
  <c r="X304" i="1"/>
  <c r="Y304" i="1"/>
  <c r="W305" i="1"/>
  <c r="X305" i="1"/>
  <c r="Y305" i="1"/>
  <c r="W306" i="1"/>
  <c r="X306" i="1"/>
  <c r="Y306" i="1"/>
  <c r="W307" i="1"/>
  <c r="X307" i="1"/>
  <c r="Y307" i="1"/>
  <c r="W308" i="1"/>
  <c r="X308" i="1"/>
  <c r="Y308" i="1"/>
  <c r="W309" i="1"/>
  <c r="X309" i="1"/>
  <c r="Y309" i="1"/>
  <c r="W310" i="1"/>
  <c r="X310" i="1"/>
  <c r="Y310" i="1"/>
  <c r="W311" i="1"/>
  <c r="X311" i="1"/>
  <c r="Y311" i="1"/>
  <c r="W312" i="1"/>
  <c r="X312" i="1"/>
  <c r="Y312" i="1"/>
  <c r="W313" i="1"/>
  <c r="X313" i="1"/>
  <c r="Y313" i="1"/>
  <c r="W314" i="1"/>
  <c r="X314" i="1"/>
  <c r="Y314" i="1"/>
  <c r="W315" i="1"/>
  <c r="X315" i="1"/>
  <c r="Y315" i="1"/>
  <c r="W316" i="1"/>
  <c r="X316" i="1"/>
  <c r="Y316" i="1"/>
  <c r="W317" i="1"/>
  <c r="X317" i="1"/>
  <c r="Y317" i="1"/>
  <c r="W318" i="1"/>
  <c r="X318" i="1"/>
  <c r="Y318" i="1"/>
  <c r="W319" i="1"/>
  <c r="X319" i="1"/>
  <c r="Y319" i="1"/>
  <c r="W320" i="1"/>
  <c r="X320" i="1"/>
  <c r="Y320" i="1"/>
  <c r="W321" i="1"/>
  <c r="X321" i="1"/>
  <c r="Y321" i="1"/>
  <c r="W322" i="1"/>
  <c r="X322" i="1"/>
  <c r="Y322" i="1"/>
  <c r="W323" i="1"/>
  <c r="X323" i="1"/>
  <c r="Y323" i="1"/>
  <c r="W324" i="1"/>
  <c r="X324" i="1"/>
  <c r="Y324" i="1"/>
  <c r="W325" i="1"/>
  <c r="X325" i="1"/>
  <c r="Y325" i="1"/>
  <c r="W326" i="1"/>
  <c r="X326" i="1"/>
  <c r="Y326" i="1"/>
  <c r="W327" i="1"/>
  <c r="X327" i="1"/>
  <c r="Y327" i="1"/>
  <c r="W328" i="1"/>
  <c r="X328" i="1"/>
  <c r="Y328" i="1"/>
  <c r="W329" i="1"/>
  <c r="X329" i="1"/>
  <c r="Y329" i="1"/>
  <c r="W330" i="1"/>
  <c r="X330" i="1"/>
  <c r="Y330" i="1"/>
  <c r="W331" i="1"/>
  <c r="X331" i="1"/>
  <c r="Y331" i="1"/>
  <c r="W332" i="1"/>
  <c r="X332" i="1"/>
  <c r="Y332" i="1"/>
  <c r="W333" i="1"/>
  <c r="X333" i="1"/>
  <c r="Y333" i="1"/>
  <c r="W334" i="1"/>
  <c r="X334" i="1"/>
  <c r="Y334" i="1"/>
  <c r="W335" i="1"/>
  <c r="X335" i="1"/>
  <c r="Y335" i="1"/>
  <c r="W336" i="1"/>
  <c r="X336" i="1"/>
  <c r="Y336" i="1"/>
  <c r="W337" i="1"/>
  <c r="X337" i="1"/>
  <c r="Y337" i="1"/>
  <c r="W338" i="1"/>
  <c r="X338" i="1"/>
  <c r="Y338" i="1"/>
  <c r="W339" i="1"/>
  <c r="X339" i="1"/>
  <c r="Y339" i="1"/>
  <c r="W340" i="1"/>
  <c r="X340" i="1"/>
  <c r="Y340" i="1"/>
  <c r="W341" i="1"/>
  <c r="X341" i="1"/>
  <c r="Y341" i="1"/>
  <c r="W342" i="1"/>
  <c r="X342" i="1"/>
  <c r="Y342" i="1"/>
  <c r="W343" i="1"/>
  <c r="X343" i="1"/>
  <c r="Y343" i="1"/>
  <c r="W344" i="1"/>
  <c r="X344" i="1"/>
  <c r="Y344" i="1"/>
  <c r="W345" i="1"/>
  <c r="X345" i="1"/>
  <c r="Y345" i="1"/>
  <c r="W346" i="1"/>
  <c r="X346" i="1"/>
  <c r="Y346" i="1"/>
  <c r="W347" i="1"/>
  <c r="X347" i="1"/>
  <c r="Y347" i="1"/>
  <c r="W348" i="1"/>
  <c r="X348" i="1"/>
  <c r="Y348" i="1"/>
  <c r="W349" i="1"/>
  <c r="X349" i="1"/>
  <c r="Y349" i="1"/>
  <c r="W350" i="1"/>
  <c r="X350" i="1"/>
  <c r="Y350" i="1"/>
  <c r="W351" i="1"/>
  <c r="X351" i="1"/>
  <c r="Y351" i="1"/>
  <c r="W352" i="1"/>
  <c r="X352" i="1"/>
  <c r="Y352" i="1"/>
  <c r="W353" i="1"/>
  <c r="X353" i="1"/>
  <c r="Y353" i="1"/>
  <c r="W354" i="1"/>
  <c r="X354" i="1"/>
  <c r="Y354" i="1"/>
  <c r="W355" i="1"/>
  <c r="X355" i="1"/>
  <c r="Y355" i="1"/>
  <c r="W356" i="1"/>
  <c r="X356" i="1"/>
  <c r="Y356" i="1"/>
  <c r="W357" i="1"/>
  <c r="X357" i="1"/>
  <c r="Y357" i="1"/>
  <c r="W358" i="1"/>
  <c r="X358" i="1"/>
  <c r="Y358" i="1"/>
  <c r="W359" i="1"/>
  <c r="X359" i="1"/>
  <c r="Y359" i="1"/>
  <c r="W360" i="1"/>
  <c r="X360" i="1"/>
  <c r="Y360" i="1"/>
  <c r="W361" i="1"/>
  <c r="X361" i="1"/>
  <c r="Y361" i="1"/>
  <c r="W362" i="1"/>
  <c r="X362" i="1"/>
  <c r="Y362" i="1"/>
  <c r="W363" i="1"/>
  <c r="X363" i="1"/>
  <c r="Y363" i="1"/>
  <c r="W364" i="1"/>
  <c r="X364" i="1"/>
  <c r="Y364" i="1"/>
  <c r="W365" i="1"/>
  <c r="X365" i="1"/>
  <c r="Y365" i="1"/>
  <c r="W366" i="1"/>
  <c r="X366" i="1"/>
  <c r="Y366" i="1"/>
  <c r="W367" i="1"/>
  <c r="X367" i="1"/>
  <c r="Y367" i="1"/>
  <c r="W368" i="1"/>
  <c r="X368" i="1"/>
  <c r="Y368" i="1"/>
  <c r="W369" i="1"/>
  <c r="X369" i="1"/>
  <c r="Y369" i="1"/>
  <c r="W370" i="1"/>
  <c r="X370" i="1"/>
  <c r="Y370" i="1"/>
  <c r="W371" i="1"/>
  <c r="X371" i="1"/>
  <c r="Y371" i="1"/>
  <c r="W372" i="1"/>
  <c r="X372" i="1"/>
  <c r="Y372" i="1"/>
  <c r="W373" i="1"/>
  <c r="X373" i="1"/>
  <c r="Y373" i="1"/>
  <c r="W374" i="1"/>
  <c r="X374" i="1"/>
  <c r="Y374" i="1"/>
  <c r="W375" i="1"/>
  <c r="X375" i="1"/>
  <c r="Y375" i="1"/>
  <c r="W376" i="1"/>
  <c r="X376" i="1"/>
  <c r="Y376" i="1"/>
  <c r="W377" i="1"/>
  <c r="X377" i="1"/>
  <c r="Y377" i="1"/>
  <c r="W378" i="1"/>
  <c r="X378" i="1"/>
  <c r="Y378" i="1"/>
  <c r="W379" i="1"/>
  <c r="X379" i="1"/>
  <c r="Y379" i="1"/>
  <c r="W380" i="1"/>
  <c r="X380" i="1"/>
  <c r="Y380" i="1"/>
  <c r="W381" i="1"/>
  <c r="X381" i="1"/>
  <c r="Y381" i="1"/>
  <c r="W382" i="1"/>
  <c r="X382" i="1"/>
  <c r="Y382" i="1"/>
  <c r="W383" i="1"/>
  <c r="X383" i="1"/>
  <c r="Y383" i="1"/>
  <c r="W384" i="1"/>
  <c r="X384" i="1"/>
  <c r="Y384" i="1"/>
  <c r="W385" i="1"/>
  <c r="X385" i="1"/>
  <c r="Y385" i="1"/>
  <c r="W386" i="1"/>
  <c r="X386" i="1"/>
  <c r="Y386" i="1"/>
  <c r="W387" i="1"/>
  <c r="X387" i="1"/>
  <c r="Y387" i="1"/>
  <c r="W388" i="1"/>
  <c r="X388" i="1"/>
  <c r="Y388" i="1"/>
  <c r="W389" i="1"/>
  <c r="X389" i="1"/>
  <c r="Y389" i="1"/>
  <c r="W390" i="1"/>
  <c r="X390" i="1"/>
  <c r="Y390" i="1"/>
  <c r="W391" i="1"/>
  <c r="X391" i="1"/>
  <c r="Y391" i="1"/>
  <c r="W392" i="1"/>
  <c r="X392" i="1"/>
  <c r="Y392" i="1"/>
  <c r="W393" i="1"/>
  <c r="X393" i="1"/>
  <c r="Y393" i="1"/>
  <c r="W394" i="1"/>
  <c r="X394" i="1"/>
  <c r="Y394" i="1"/>
  <c r="W395" i="1"/>
  <c r="X395" i="1"/>
  <c r="Y395" i="1"/>
  <c r="W396" i="1"/>
  <c r="X396" i="1"/>
  <c r="Y396" i="1"/>
  <c r="W397" i="1"/>
  <c r="X397" i="1"/>
  <c r="Y397" i="1"/>
  <c r="W398" i="1"/>
  <c r="X398" i="1"/>
  <c r="Y398" i="1"/>
  <c r="W399" i="1"/>
  <c r="X399" i="1"/>
  <c r="Y399" i="1"/>
  <c r="W400" i="1"/>
  <c r="X400" i="1"/>
  <c r="Y400" i="1"/>
  <c r="W401" i="1"/>
  <c r="X401" i="1"/>
  <c r="Y401" i="1"/>
  <c r="W402" i="1"/>
  <c r="X402" i="1"/>
  <c r="Y402" i="1"/>
  <c r="W403" i="1"/>
  <c r="X403" i="1"/>
  <c r="Y403" i="1"/>
  <c r="W404" i="1"/>
  <c r="X404" i="1"/>
  <c r="Y404" i="1"/>
  <c r="W405" i="1"/>
  <c r="X405" i="1"/>
  <c r="Y405" i="1"/>
  <c r="W406" i="1"/>
  <c r="X406" i="1"/>
  <c r="Y406" i="1"/>
  <c r="W407" i="1"/>
  <c r="X407" i="1"/>
  <c r="Y407" i="1"/>
  <c r="W408" i="1"/>
  <c r="X408" i="1"/>
  <c r="Y408" i="1"/>
  <c r="W409" i="1"/>
  <c r="X409" i="1"/>
  <c r="Y409" i="1"/>
  <c r="W410" i="1"/>
  <c r="X410" i="1"/>
  <c r="Y410" i="1"/>
  <c r="W411" i="1"/>
  <c r="X411" i="1"/>
  <c r="Y411" i="1"/>
  <c r="W412" i="1"/>
  <c r="X412" i="1"/>
  <c r="Y412" i="1"/>
  <c r="W413" i="1"/>
  <c r="X413" i="1"/>
  <c r="Y413" i="1"/>
  <c r="W414" i="1"/>
  <c r="X414" i="1"/>
  <c r="Y414" i="1"/>
  <c r="W415" i="1"/>
  <c r="X415" i="1"/>
  <c r="Y415" i="1"/>
  <c r="W416" i="1"/>
  <c r="X416" i="1"/>
  <c r="Y416" i="1"/>
  <c r="W417" i="1"/>
  <c r="X417" i="1"/>
  <c r="Y417" i="1"/>
  <c r="W418" i="1"/>
  <c r="X418" i="1"/>
  <c r="Y418" i="1"/>
  <c r="W419" i="1"/>
  <c r="X419" i="1"/>
  <c r="Y419" i="1"/>
  <c r="W420" i="1"/>
  <c r="X420" i="1"/>
  <c r="Y420" i="1"/>
  <c r="W421" i="1"/>
  <c r="X421" i="1"/>
  <c r="Y421" i="1"/>
  <c r="W422" i="1"/>
  <c r="X422" i="1"/>
  <c r="Y422" i="1"/>
  <c r="W423" i="1"/>
  <c r="X423" i="1"/>
  <c r="Y423" i="1"/>
  <c r="W424" i="1"/>
  <c r="X424" i="1"/>
  <c r="Y424" i="1"/>
  <c r="W425" i="1"/>
  <c r="X425" i="1"/>
  <c r="Y425" i="1"/>
  <c r="W426" i="1"/>
  <c r="X426" i="1"/>
  <c r="Y426" i="1"/>
  <c r="W427" i="1"/>
  <c r="X427" i="1"/>
  <c r="Y427" i="1"/>
  <c r="W428" i="1"/>
  <c r="X428" i="1"/>
  <c r="Y428" i="1"/>
  <c r="W429" i="1"/>
  <c r="X429" i="1"/>
  <c r="Y429" i="1"/>
  <c r="W430" i="1"/>
  <c r="X430" i="1"/>
  <c r="Y430" i="1"/>
  <c r="W431" i="1"/>
  <c r="X431" i="1"/>
  <c r="Y431" i="1"/>
  <c r="W432" i="1"/>
  <c r="X432" i="1"/>
  <c r="Y432" i="1"/>
  <c r="W433" i="1"/>
  <c r="X433" i="1"/>
  <c r="Y433" i="1"/>
  <c r="W434" i="1"/>
  <c r="X434" i="1"/>
  <c r="Y434" i="1"/>
  <c r="W435" i="1"/>
  <c r="X435" i="1"/>
  <c r="Y435" i="1"/>
  <c r="W436" i="1"/>
  <c r="X436" i="1"/>
  <c r="Y436" i="1"/>
  <c r="W437" i="1"/>
  <c r="X437" i="1"/>
  <c r="Y437" i="1"/>
  <c r="W438" i="1"/>
  <c r="X438" i="1"/>
  <c r="Y438" i="1"/>
  <c r="W439" i="1"/>
  <c r="X439" i="1"/>
  <c r="Y439" i="1"/>
  <c r="W440" i="1"/>
  <c r="X440" i="1"/>
  <c r="Y440" i="1"/>
  <c r="W441" i="1"/>
  <c r="X441" i="1"/>
  <c r="Y441" i="1"/>
  <c r="W442" i="1"/>
  <c r="X442" i="1"/>
  <c r="Y442" i="1"/>
  <c r="W443" i="1"/>
  <c r="X443" i="1"/>
  <c r="Y443" i="1"/>
  <c r="W444" i="1"/>
  <c r="X444" i="1"/>
  <c r="Y444" i="1"/>
  <c r="W445" i="1"/>
  <c r="X445" i="1"/>
  <c r="Y445" i="1"/>
  <c r="W446" i="1"/>
  <c r="X446" i="1"/>
  <c r="Y446" i="1"/>
  <c r="W447" i="1"/>
  <c r="X447" i="1"/>
  <c r="Y447" i="1"/>
  <c r="W448" i="1"/>
  <c r="X448" i="1"/>
  <c r="Y448" i="1"/>
  <c r="W449" i="1"/>
  <c r="X449" i="1"/>
  <c r="Y449" i="1"/>
  <c r="W450" i="1"/>
  <c r="X450" i="1"/>
  <c r="Y450" i="1"/>
  <c r="W451" i="1"/>
  <c r="X451" i="1"/>
  <c r="Y451" i="1"/>
  <c r="W452" i="1"/>
  <c r="X452" i="1"/>
  <c r="Y452" i="1"/>
  <c r="W453" i="1"/>
  <c r="X453" i="1"/>
  <c r="Y453" i="1"/>
  <c r="W454" i="1"/>
  <c r="X454" i="1"/>
  <c r="Y454" i="1"/>
  <c r="W455" i="1"/>
  <c r="X455" i="1"/>
  <c r="Y455" i="1"/>
  <c r="W456" i="1"/>
  <c r="X456" i="1"/>
  <c r="Y456" i="1"/>
  <c r="W457" i="1"/>
  <c r="X457" i="1"/>
  <c r="Y457" i="1"/>
  <c r="W458" i="1"/>
  <c r="X458" i="1"/>
  <c r="Y458" i="1"/>
  <c r="W459" i="1"/>
  <c r="X459" i="1"/>
  <c r="Y459" i="1"/>
  <c r="W460" i="1"/>
  <c r="X460" i="1"/>
  <c r="Y460" i="1"/>
  <c r="W461" i="1"/>
  <c r="X461" i="1"/>
  <c r="Y461" i="1"/>
  <c r="W462" i="1"/>
  <c r="X462" i="1"/>
  <c r="Y462" i="1"/>
  <c r="W463" i="1"/>
  <c r="X463" i="1"/>
  <c r="Y463" i="1"/>
  <c r="W464" i="1"/>
  <c r="X464" i="1"/>
  <c r="Y464" i="1"/>
  <c r="W465" i="1"/>
  <c r="X465" i="1"/>
  <c r="Y465" i="1"/>
  <c r="W466" i="1"/>
  <c r="X466" i="1"/>
  <c r="Y466" i="1"/>
  <c r="W467" i="1"/>
  <c r="X467" i="1"/>
  <c r="Y467" i="1"/>
  <c r="W468" i="1"/>
  <c r="X468" i="1"/>
  <c r="Y468" i="1"/>
  <c r="W469" i="1"/>
  <c r="X469" i="1"/>
  <c r="Y469" i="1"/>
  <c r="W470" i="1"/>
  <c r="X470" i="1"/>
  <c r="Y470" i="1"/>
  <c r="W471" i="1"/>
  <c r="X471" i="1"/>
  <c r="Y471" i="1"/>
  <c r="W472" i="1"/>
  <c r="X472" i="1"/>
  <c r="Y472" i="1"/>
  <c r="W473" i="1"/>
  <c r="X473" i="1"/>
  <c r="Y473" i="1"/>
  <c r="W474" i="1"/>
  <c r="X474" i="1"/>
  <c r="Y474" i="1"/>
  <c r="W475" i="1"/>
  <c r="X475" i="1"/>
  <c r="Y475" i="1"/>
  <c r="W476" i="1"/>
  <c r="X476" i="1"/>
  <c r="Y476" i="1"/>
  <c r="W477" i="1"/>
  <c r="X477" i="1"/>
  <c r="Y477" i="1"/>
  <c r="W478" i="1"/>
  <c r="X478" i="1"/>
  <c r="Y478" i="1"/>
  <c r="W479" i="1"/>
  <c r="X479" i="1"/>
  <c r="Y479" i="1"/>
  <c r="W480" i="1"/>
  <c r="X480" i="1"/>
  <c r="Y480" i="1"/>
  <c r="W481" i="1"/>
  <c r="X481" i="1"/>
  <c r="Y481" i="1"/>
  <c r="W482" i="1"/>
  <c r="X482" i="1"/>
  <c r="Y482" i="1"/>
  <c r="W483" i="1"/>
  <c r="X483" i="1"/>
  <c r="Y483" i="1"/>
  <c r="W484" i="1"/>
  <c r="X484" i="1"/>
  <c r="Y484" i="1"/>
  <c r="W485" i="1"/>
  <c r="X485" i="1"/>
  <c r="Y485" i="1"/>
  <c r="W486" i="1"/>
  <c r="X486" i="1"/>
  <c r="Y486" i="1"/>
  <c r="W487" i="1"/>
  <c r="X487" i="1"/>
  <c r="Y487" i="1"/>
  <c r="W488" i="1"/>
  <c r="X488" i="1"/>
  <c r="Y488" i="1"/>
  <c r="W489" i="1"/>
  <c r="X489" i="1"/>
  <c r="Y489" i="1"/>
  <c r="W490" i="1"/>
  <c r="X490" i="1"/>
  <c r="Y490" i="1"/>
  <c r="W491" i="1"/>
  <c r="X491" i="1"/>
  <c r="Y491" i="1"/>
  <c r="W492" i="1"/>
  <c r="X492" i="1"/>
  <c r="Y492" i="1"/>
  <c r="W493" i="1"/>
  <c r="X493" i="1"/>
  <c r="Y493" i="1"/>
  <c r="W494" i="1"/>
  <c r="X494" i="1"/>
  <c r="Y494" i="1"/>
  <c r="W495" i="1"/>
  <c r="X495" i="1"/>
  <c r="Y495" i="1"/>
  <c r="W496" i="1"/>
  <c r="X496" i="1"/>
  <c r="Y496" i="1"/>
  <c r="W497" i="1"/>
  <c r="X497" i="1"/>
  <c r="Y497" i="1"/>
  <c r="W498" i="1"/>
  <c r="X498" i="1"/>
  <c r="Y498" i="1"/>
  <c r="W499" i="1"/>
  <c r="X499" i="1"/>
  <c r="Y499" i="1"/>
  <c r="W500" i="1"/>
  <c r="X500" i="1"/>
  <c r="Y500" i="1"/>
  <c r="W501" i="1"/>
  <c r="X501" i="1"/>
  <c r="Y501" i="1"/>
  <c r="W502" i="1"/>
  <c r="X502" i="1"/>
  <c r="Y502" i="1"/>
  <c r="W503" i="1"/>
  <c r="X503" i="1"/>
  <c r="Y503" i="1"/>
  <c r="W504" i="1"/>
  <c r="X504" i="1"/>
  <c r="Y504" i="1"/>
  <c r="W505" i="1"/>
  <c r="X505" i="1"/>
  <c r="Y505" i="1"/>
  <c r="W506" i="1"/>
  <c r="X506" i="1"/>
  <c r="Y506" i="1"/>
  <c r="W507" i="1"/>
  <c r="X507" i="1"/>
  <c r="Y507" i="1"/>
  <c r="W508" i="1"/>
  <c r="X508" i="1"/>
  <c r="Y508" i="1"/>
  <c r="W509" i="1"/>
  <c r="X509" i="1"/>
  <c r="Y509" i="1"/>
  <c r="W510" i="1"/>
  <c r="X510" i="1"/>
  <c r="Y510" i="1"/>
  <c r="W511" i="1"/>
  <c r="X511" i="1"/>
  <c r="Y511" i="1"/>
  <c r="W512" i="1"/>
  <c r="X512" i="1"/>
  <c r="Y512" i="1"/>
  <c r="W513" i="1"/>
  <c r="X513" i="1"/>
  <c r="Y513" i="1"/>
  <c r="W514" i="1"/>
  <c r="X514" i="1"/>
  <c r="Y514" i="1"/>
  <c r="W515" i="1"/>
  <c r="X515" i="1"/>
  <c r="Y515" i="1"/>
  <c r="W516" i="1"/>
  <c r="X516" i="1"/>
  <c r="Y516" i="1"/>
  <c r="W517" i="1"/>
  <c r="X517" i="1"/>
  <c r="Y517" i="1"/>
  <c r="W518" i="1"/>
  <c r="X518" i="1"/>
  <c r="Y518" i="1"/>
  <c r="W519" i="1"/>
  <c r="X519" i="1"/>
  <c r="Y519" i="1"/>
  <c r="W520" i="1"/>
  <c r="X520" i="1"/>
  <c r="Y520" i="1"/>
  <c r="W521" i="1"/>
  <c r="X521" i="1"/>
  <c r="Y521" i="1"/>
  <c r="W522" i="1"/>
  <c r="X522" i="1"/>
  <c r="Y522" i="1"/>
  <c r="W523" i="1"/>
  <c r="X523" i="1"/>
  <c r="Y523" i="1"/>
  <c r="W524" i="1"/>
  <c r="X524" i="1"/>
  <c r="Y524" i="1"/>
  <c r="W525" i="1"/>
  <c r="X525" i="1"/>
  <c r="Y525" i="1"/>
  <c r="W526" i="1"/>
  <c r="X526" i="1"/>
  <c r="Y526" i="1"/>
  <c r="W527" i="1"/>
  <c r="X527" i="1"/>
  <c r="Y527" i="1"/>
  <c r="W528" i="1"/>
  <c r="X528" i="1"/>
  <c r="Y528" i="1"/>
  <c r="W529" i="1"/>
  <c r="X529" i="1"/>
  <c r="Y529" i="1"/>
  <c r="W530" i="1"/>
  <c r="X530" i="1"/>
  <c r="Y530" i="1"/>
  <c r="W531" i="1"/>
  <c r="X531" i="1"/>
  <c r="Y531" i="1"/>
  <c r="W532" i="1"/>
  <c r="X532" i="1"/>
  <c r="Y532" i="1"/>
  <c r="W533" i="1"/>
  <c r="X533" i="1"/>
  <c r="Y533" i="1"/>
  <c r="W534" i="1"/>
  <c r="X534" i="1"/>
  <c r="Y534" i="1"/>
  <c r="W535" i="1"/>
  <c r="X535" i="1"/>
  <c r="Y535" i="1"/>
  <c r="W536" i="1"/>
  <c r="X536" i="1"/>
  <c r="Y536" i="1"/>
  <c r="W537" i="1"/>
  <c r="X537" i="1"/>
  <c r="Y537" i="1"/>
  <c r="W538" i="1"/>
  <c r="X538" i="1"/>
  <c r="Y538" i="1"/>
  <c r="W539" i="1"/>
  <c r="X539" i="1"/>
  <c r="Y539" i="1"/>
  <c r="W540" i="1"/>
  <c r="X540" i="1"/>
  <c r="Y540" i="1"/>
  <c r="W541" i="1"/>
  <c r="X541" i="1"/>
  <c r="Y541" i="1"/>
  <c r="W542" i="1"/>
  <c r="X542" i="1"/>
  <c r="Y542" i="1"/>
  <c r="W543" i="1"/>
  <c r="X543" i="1"/>
  <c r="Y543" i="1"/>
  <c r="W544" i="1"/>
  <c r="X544" i="1"/>
  <c r="Y544" i="1"/>
  <c r="W545" i="1"/>
  <c r="X545" i="1"/>
  <c r="Y545" i="1"/>
  <c r="W546" i="1"/>
  <c r="X546" i="1"/>
  <c r="Y546" i="1"/>
  <c r="W547" i="1"/>
  <c r="X547" i="1"/>
  <c r="Y547" i="1"/>
  <c r="W548" i="1"/>
  <c r="X548" i="1"/>
  <c r="Y548" i="1"/>
  <c r="W549" i="1"/>
  <c r="X549" i="1"/>
  <c r="Y549" i="1"/>
  <c r="W550" i="1"/>
  <c r="X550" i="1"/>
  <c r="Y550" i="1"/>
  <c r="W551" i="1"/>
  <c r="X551" i="1"/>
  <c r="Y551" i="1"/>
  <c r="Y2" i="1"/>
  <c r="X2" i="1"/>
  <c r="W2" i="1"/>
  <c r="S2" i="4"/>
  <c r="R2" i="4"/>
  <c r="V3" i="1"/>
  <c r="V4" i="1"/>
  <c r="V5" i="1"/>
  <c r="V6" i="1"/>
  <c r="V8" i="1"/>
  <c r="V9" i="1"/>
  <c r="V10" i="1"/>
  <c r="V11" i="1"/>
  <c r="V12" i="1"/>
  <c r="V14" i="1"/>
  <c r="V15" i="1"/>
  <c r="V16" i="1"/>
  <c r="V17" i="1"/>
  <c r="V18" i="1"/>
  <c r="V19" i="1"/>
  <c r="V20" i="1"/>
  <c r="V21" i="1"/>
  <c r="V23" i="1"/>
  <c r="V24" i="1"/>
  <c r="V25" i="1"/>
  <c r="V26" i="1"/>
  <c r="V27" i="1"/>
  <c r="V28" i="1"/>
  <c r="V30" i="1"/>
  <c r="V31" i="1"/>
  <c r="V32" i="1"/>
  <c r="V33" i="1"/>
  <c r="V34" i="1"/>
  <c r="V35" i="1"/>
  <c r="V37" i="1"/>
  <c r="V38" i="1"/>
  <c r="V39" i="1"/>
  <c r="V40" i="1"/>
  <c r="V42" i="1"/>
  <c r="V43" i="1"/>
  <c r="V44" i="1"/>
  <c r="V45" i="1"/>
  <c r="V46" i="1"/>
  <c r="V48" i="1"/>
  <c r="V49" i="1"/>
  <c r="V50" i="1"/>
  <c r="V51" i="1"/>
  <c r="V52" i="1"/>
  <c r="V53" i="1"/>
  <c r="V54" i="1"/>
  <c r="V56" i="1"/>
  <c r="V57" i="1"/>
  <c r="V58" i="1"/>
  <c r="V59" i="1"/>
  <c r="V60" i="1"/>
  <c r="V62" i="1"/>
  <c r="V63" i="1"/>
  <c r="V64" i="1"/>
  <c r="V65" i="1"/>
  <c r="V66" i="1"/>
  <c r="V68" i="1"/>
  <c r="V69" i="1"/>
  <c r="V70" i="1"/>
  <c r="V71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7" i="1"/>
  <c r="V88" i="1"/>
  <c r="V89" i="1"/>
  <c r="V90" i="1"/>
  <c r="V91" i="1"/>
  <c r="V92" i="1"/>
  <c r="V94" i="1"/>
  <c r="V95" i="1"/>
  <c r="V96" i="1"/>
  <c r="V97" i="1"/>
  <c r="V99" i="1"/>
  <c r="V100" i="1"/>
  <c r="V101" i="1"/>
  <c r="V102" i="1"/>
  <c r="V103" i="1"/>
  <c r="V104" i="1"/>
  <c r="V105" i="1"/>
  <c r="V106" i="1"/>
  <c r="V108" i="1"/>
  <c r="V109" i="1"/>
  <c r="V110" i="1"/>
  <c r="V111" i="1"/>
  <c r="V112" i="1"/>
  <c r="V114" i="1"/>
  <c r="V115" i="1"/>
  <c r="V116" i="1"/>
  <c r="V117" i="1"/>
  <c r="V119" i="1"/>
  <c r="V120" i="1"/>
  <c r="V121" i="1"/>
  <c r="V122" i="1"/>
  <c r="V123" i="1"/>
  <c r="V124" i="1"/>
  <c r="V126" i="1"/>
  <c r="V127" i="1"/>
  <c r="V128" i="1"/>
  <c r="V129" i="1"/>
  <c r="V131" i="1"/>
  <c r="V132" i="1"/>
  <c r="V133" i="1"/>
  <c r="V134" i="1"/>
  <c r="V135" i="1"/>
  <c r="V136" i="1"/>
  <c r="V137" i="1"/>
  <c r="V138" i="1"/>
  <c r="V140" i="1"/>
  <c r="V141" i="1"/>
  <c r="V142" i="1"/>
  <c r="V143" i="1"/>
  <c r="V144" i="1"/>
  <c r="V146" i="1"/>
  <c r="V147" i="1"/>
  <c r="V148" i="1"/>
  <c r="V149" i="1"/>
  <c r="V150" i="1"/>
  <c r="V151" i="1"/>
  <c r="V153" i="1"/>
  <c r="V154" i="1"/>
  <c r="V155" i="1"/>
  <c r="V156" i="1"/>
  <c r="V158" i="1"/>
  <c r="V159" i="1"/>
  <c r="V160" i="1"/>
  <c r="V161" i="1"/>
  <c r="V162" i="1"/>
  <c r="V163" i="1"/>
  <c r="V164" i="1"/>
  <c r="V166" i="1"/>
  <c r="V167" i="1"/>
  <c r="V168" i="1"/>
  <c r="V169" i="1"/>
  <c r="V170" i="1"/>
  <c r="V172" i="1"/>
  <c r="V173" i="1"/>
  <c r="V174" i="1"/>
  <c r="V175" i="1"/>
  <c r="V177" i="1"/>
  <c r="V178" i="1"/>
  <c r="V179" i="1"/>
  <c r="V180" i="1"/>
  <c r="V182" i="1"/>
  <c r="V183" i="1"/>
  <c r="V184" i="1"/>
  <c r="V185" i="1"/>
  <c r="V186" i="1"/>
  <c r="V188" i="1"/>
  <c r="V189" i="1"/>
  <c r="V190" i="1"/>
  <c r="V191" i="1"/>
  <c r="V192" i="1"/>
  <c r="V194" i="1"/>
  <c r="V195" i="1"/>
  <c r="V196" i="1"/>
  <c r="V197" i="1"/>
  <c r="V199" i="1"/>
  <c r="V200" i="1"/>
  <c r="V201" i="1"/>
  <c r="V202" i="1"/>
  <c r="V204" i="1"/>
  <c r="V205" i="1"/>
  <c r="V206" i="1"/>
  <c r="V207" i="1"/>
  <c r="V208" i="1"/>
  <c r="V210" i="1"/>
  <c r="V211" i="1"/>
  <c r="V212" i="1"/>
  <c r="V213" i="1"/>
  <c r="V215" i="1"/>
  <c r="V216" i="1"/>
  <c r="V217" i="1"/>
  <c r="V218" i="1"/>
  <c r="V219" i="1"/>
  <c r="V220" i="1"/>
  <c r="V221" i="1"/>
  <c r="V222" i="1"/>
  <c r="V223" i="1"/>
  <c r="V225" i="1"/>
  <c r="V226" i="1"/>
  <c r="V227" i="1"/>
  <c r="V228" i="1"/>
  <c r="V229" i="1"/>
  <c r="V230" i="1"/>
  <c r="V232" i="1"/>
  <c r="V233" i="1"/>
  <c r="V234" i="1"/>
  <c r="V235" i="1"/>
  <c r="V236" i="1"/>
  <c r="V237" i="1"/>
  <c r="V238" i="1"/>
  <c r="V239" i="1"/>
  <c r="V241" i="1"/>
  <c r="V242" i="1"/>
  <c r="V243" i="1"/>
  <c r="V244" i="1"/>
  <c r="V246" i="1"/>
  <c r="V247" i="1"/>
  <c r="V248" i="1"/>
  <c r="V249" i="1"/>
  <c r="V250" i="1"/>
  <c r="V252" i="1"/>
  <c r="V253" i="1"/>
  <c r="V254" i="1"/>
  <c r="V255" i="1"/>
  <c r="V256" i="1"/>
  <c r="V258" i="1"/>
  <c r="V259" i="1"/>
  <c r="V260" i="1"/>
  <c r="V261" i="1"/>
  <c r="V262" i="1"/>
  <c r="V264" i="1"/>
  <c r="V265" i="1"/>
  <c r="V266" i="1"/>
  <c r="V267" i="1"/>
  <c r="V268" i="1"/>
  <c r="V269" i="1"/>
  <c r="V270" i="1"/>
  <c r="V272" i="1"/>
  <c r="V273" i="1"/>
  <c r="V274" i="1"/>
  <c r="V275" i="1"/>
  <c r="V277" i="1"/>
  <c r="V278" i="1"/>
  <c r="V279" i="1"/>
  <c r="V280" i="1"/>
  <c r="V281" i="1"/>
  <c r="V282" i="1"/>
  <c r="V284" i="1"/>
  <c r="V285" i="1"/>
  <c r="V286" i="1"/>
  <c r="V287" i="1"/>
  <c r="V288" i="1"/>
  <c r="V290" i="1"/>
  <c r="V291" i="1"/>
  <c r="V292" i="1"/>
  <c r="V293" i="1"/>
  <c r="V294" i="1"/>
  <c r="V295" i="1"/>
  <c r="V297" i="1"/>
  <c r="V298" i="1"/>
  <c r="V299" i="1"/>
  <c r="V300" i="1"/>
  <c r="V302" i="1"/>
  <c r="V303" i="1"/>
  <c r="V304" i="1"/>
  <c r="V305" i="1"/>
  <c r="V306" i="1"/>
  <c r="V307" i="1"/>
  <c r="V309" i="1"/>
  <c r="V310" i="1"/>
  <c r="V311" i="1"/>
  <c r="V312" i="1"/>
  <c r="V314" i="1"/>
  <c r="V315" i="1"/>
  <c r="V316" i="1"/>
  <c r="V317" i="1"/>
  <c r="V318" i="1"/>
  <c r="V319" i="1"/>
  <c r="V320" i="1"/>
  <c r="V322" i="1"/>
  <c r="V323" i="1"/>
  <c r="V324" i="1"/>
  <c r="V325" i="1"/>
  <c r="V327" i="1"/>
  <c r="V328" i="1"/>
  <c r="V329" i="1"/>
  <c r="V330" i="1"/>
  <c r="V331" i="1"/>
  <c r="V332" i="1"/>
  <c r="V333" i="1"/>
  <c r="V334" i="1"/>
  <c r="V336" i="1"/>
  <c r="V337" i="1"/>
  <c r="V338" i="1"/>
  <c r="V339" i="1"/>
  <c r="V340" i="1"/>
  <c r="V341" i="1"/>
  <c r="V343" i="1"/>
  <c r="V344" i="1"/>
  <c r="V345" i="1"/>
  <c r="V346" i="1"/>
  <c r="V347" i="1"/>
  <c r="V348" i="1"/>
  <c r="V350" i="1"/>
  <c r="V351" i="1"/>
  <c r="V352" i="1"/>
  <c r="V353" i="1"/>
  <c r="V354" i="1"/>
  <c r="V355" i="1"/>
  <c r="V356" i="1"/>
  <c r="V358" i="1"/>
  <c r="V359" i="1"/>
  <c r="V360" i="1"/>
  <c r="V361" i="1"/>
  <c r="V362" i="1"/>
  <c r="V363" i="1"/>
  <c r="V365" i="1"/>
  <c r="V366" i="1"/>
  <c r="V367" i="1"/>
  <c r="V368" i="1"/>
  <c r="V369" i="1"/>
  <c r="V371" i="1"/>
  <c r="V372" i="1"/>
  <c r="V373" i="1"/>
  <c r="V374" i="1"/>
  <c r="V376" i="1"/>
  <c r="V377" i="1"/>
  <c r="V378" i="1"/>
  <c r="V379" i="1"/>
  <c r="V380" i="1"/>
  <c r="V381" i="1"/>
  <c r="V383" i="1"/>
  <c r="V384" i="1"/>
  <c r="V385" i="1"/>
  <c r="V386" i="1"/>
  <c r="V387" i="1"/>
  <c r="V388" i="1"/>
  <c r="V389" i="1"/>
  <c r="V390" i="1"/>
  <c r="V391" i="1"/>
  <c r="V392" i="1"/>
  <c r="V394" i="1"/>
  <c r="V395" i="1"/>
  <c r="V396" i="1"/>
  <c r="V397" i="1"/>
  <c r="V399" i="1"/>
  <c r="V400" i="1"/>
  <c r="V401" i="1"/>
  <c r="V402" i="1"/>
  <c r="V404" i="1"/>
  <c r="V405" i="1"/>
  <c r="V406" i="1"/>
  <c r="V407" i="1"/>
  <c r="V408" i="1"/>
  <c r="V409" i="1"/>
  <c r="V410" i="1"/>
  <c r="V411" i="1"/>
  <c r="V412" i="1"/>
  <c r="V414" i="1"/>
  <c r="V415" i="1"/>
  <c r="V416" i="1"/>
  <c r="V417" i="1"/>
  <c r="V418" i="1"/>
  <c r="V420" i="1"/>
  <c r="V421" i="1"/>
  <c r="V422" i="1"/>
  <c r="V423" i="1"/>
  <c r="V424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40" i="1"/>
  <c r="V441" i="1"/>
  <c r="V442" i="1"/>
  <c r="V443" i="1"/>
  <c r="V444" i="1"/>
  <c r="V446" i="1"/>
  <c r="V447" i="1"/>
  <c r="V448" i="1"/>
  <c r="V449" i="1"/>
  <c r="V451" i="1"/>
  <c r="V452" i="1"/>
  <c r="V453" i="1"/>
  <c r="V454" i="1"/>
  <c r="V455" i="1"/>
  <c r="V456" i="1"/>
  <c r="V457" i="1"/>
  <c r="V459" i="1"/>
  <c r="V460" i="1"/>
  <c r="V461" i="1"/>
  <c r="V462" i="1"/>
  <c r="V464" i="1"/>
  <c r="V465" i="1"/>
  <c r="V466" i="1"/>
  <c r="V467" i="1"/>
  <c r="V469" i="1"/>
  <c r="V470" i="1"/>
  <c r="V471" i="1"/>
  <c r="V472" i="1"/>
  <c r="V473" i="1"/>
  <c r="V474" i="1"/>
  <c r="V476" i="1"/>
  <c r="V477" i="1"/>
  <c r="V478" i="1"/>
  <c r="V479" i="1"/>
  <c r="V480" i="1"/>
  <c r="V481" i="1"/>
  <c r="V482" i="1"/>
  <c r="V483" i="1"/>
  <c r="V485" i="1"/>
  <c r="V486" i="1"/>
  <c r="V487" i="1"/>
  <c r="V488" i="1"/>
  <c r="V490" i="1"/>
  <c r="V491" i="1"/>
  <c r="V492" i="1"/>
  <c r="V493" i="1"/>
  <c r="V494" i="1"/>
  <c r="V495" i="1"/>
  <c r="V497" i="1"/>
  <c r="V498" i="1"/>
  <c r="V499" i="1"/>
  <c r="V500" i="1"/>
  <c r="V502" i="1"/>
  <c r="V503" i="1"/>
  <c r="V504" i="1"/>
  <c r="V505" i="1"/>
  <c r="V507" i="1"/>
  <c r="V508" i="1"/>
  <c r="V509" i="1"/>
  <c r="V510" i="1"/>
  <c r="V511" i="1"/>
  <c r="V513" i="1"/>
  <c r="V514" i="1"/>
  <c r="V515" i="1"/>
  <c r="V516" i="1"/>
  <c r="V517" i="1"/>
  <c r="V518" i="1"/>
  <c r="V519" i="1"/>
  <c r="V520" i="1"/>
  <c r="V522" i="1"/>
  <c r="V523" i="1"/>
  <c r="V524" i="1"/>
  <c r="V525" i="1"/>
  <c r="V526" i="1"/>
  <c r="V527" i="1"/>
  <c r="V529" i="1"/>
  <c r="V530" i="1"/>
  <c r="V531" i="1"/>
  <c r="V532" i="1"/>
  <c r="V533" i="1"/>
  <c r="V535" i="1"/>
  <c r="V536" i="1"/>
  <c r="V537" i="1"/>
  <c r="V538" i="1"/>
  <c r="V540" i="1"/>
  <c r="V541" i="1"/>
  <c r="V542" i="1"/>
  <c r="V543" i="1"/>
  <c r="V544" i="1"/>
  <c r="V545" i="1"/>
  <c r="V547" i="1"/>
  <c r="V548" i="1"/>
  <c r="V549" i="1"/>
  <c r="V550" i="1"/>
  <c r="V2" i="1"/>
  <c r="T539" i="1"/>
  <c r="T538" i="1"/>
  <c r="T537" i="1"/>
  <c r="T536" i="1"/>
  <c r="T535" i="1"/>
  <c r="T296" i="1"/>
  <c r="T295" i="1"/>
  <c r="T294" i="1"/>
  <c r="T293" i="1"/>
  <c r="T292" i="1"/>
  <c r="T224" i="1"/>
  <c r="T223" i="1"/>
  <c r="T222" i="1"/>
  <c r="T221" i="1"/>
  <c r="T220" i="1"/>
  <c r="T200" i="1"/>
  <c r="T201" i="1"/>
  <c r="T202" i="1"/>
  <c r="T203" i="1"/>
  <c r="T199" i="1"/>
  <c r="T67" i="1"/>
  <c r="T66" i="1"/>
  <c r="T65" i="1"/>
  <c r="T64" i="1"/>
  <c r="T63" i="1"/>
  <c r="T61" i="1"/>
  <c r="T60" i="1"/>
  <c r="T59" i="1"/>
  <c r="T58" i="1"/>
  <c r="T57" i="1"/>
  <c r="T55" i="1"/>
  <c r="T54" i="1"/>
  <c r="T53" i="1"/>
  <c r="T52" i="1"/>
  <c r="T51" i="1"/>
  <c r="T47" i="1"/>
  <c r="T46" i="1"/>
  <c r="T45" i="1"/>
  <c r="T44" i="1"/>
  <c r="T43" i="1"/>
  <c r="T41" i="1"/>
  <c r="T40" i="1"/>
  <c r="T39" i="1"/>
  <c r="T38" i="1"/>
  <c r="T37" i="1"/>
  <c r="T36" i="1"/>
  <c r="T35" i="1"/>
  <c r="T34" i="1"/>
  <c r="T33" i="1"/>
  <c r="T32" i="1"/>
  <c r="T29" i="1"/>
  <c r="T28" i="1"/>
  <c r="T27" i="1"/>
  <c r="T26" i="1"/>
  <c r="T25" i="1"/>
  <c r="T22" i="1"/>
  <c r="T21" i="1"/>
  <c r="T20" i="1"/>
  <c r="T19" i="1"/>
  <c r="T18" i="1"/>
  <c r="T13" i="1"/>
  <c r="T12" i="1"/>
  <c r="T11" i="1"/>
  <c r="T10" i="1"/>
  <c r="T9" i="1"/>
  <c r="T7" i="1"/>
  <c r="T6" i="1"/>
  <c r="T5" i="1"/>
  <c r="T4" i="1"/>
  <c r="T3" i="1"/>
  <c r="T551" i="1"/>
  <c r="T550" i="1"/>
  <c r="T549" i="1"/>
  <c r="T548" i="1"/>
  <c r="T547" i="1"/>
  <c r="T546" i="1"/>
  <c r="T545" i="1"/>
  <c r="T544" i="1"/>
  <c r="T543" i="1"/>
  <c r="T542" i="1"/>
  <c r="T534" i="1"/>
  <c r="T533" i="1"/>
  <c r="T532" i="1"/>
  <c r="T531" i="1"/>
  <c r="T530" i="1"/>
  <c r="T528" i="1"/>
  <c r="T527" i="1"/>
  <c r="T526" i="1"/>
  <c r="T525" i="1"/>
  <c r="T524" i="1"/>
  <c r="T521" i="1"/>
  <c r="T520" i="1"/>
  <c r="T519" i="1"/>
  <c r="T518" i="1"/>
  <c r="T517" i="1"/>
  <c r="T512" i="1"/>
  <c r="T511" i="1"/>
  <c r="T510" i="1"/>
  <c r="T509" i="1"/>
  <c r="T508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89" i="1"/>
  <c r="T488" i="1"/>
  <c r="T487" i="1"/>
  <c r="T486" i="1"/>
  <c r="T485" i="1"/>
  <c r="T484" i="1"/>
  <c r="T483" i="1"/>
  <c r="T482" i="1"/>
  <c r="T481" i="1"/>
  <c r="T480" i="1"/>
  <c r="T475" i="1"/>
  <c r="T474" i="1"/>
  <c r="T473" i="1"/>
  <c r="T472" i="1"/>
  <c r="T471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0" i="1"/>
  <c r="T449" i="1"/>
  <c r="T448" i="1"/>
  <c r="T447" i="1"/>
  <c r="T446" i="1"/>
  <c r="T445" i="1"/>
  <c r="T444" i="1"/>
  <c r="T443" i="1"/>
  <c r="T442" i="1"/>
  <c r="T441" i="1"/>
  <c r="T439" i="1"/>
  <c r="T438" i="1"/>
  <c r="T437" i="1"/>
  <c r="T436" i="1"/>
  <c r="T435" i="1"/>
  <c r="T425" i="1"/>
  <c r="T424" i="1"/>
  <c r="T423" i="1"/>
  <c r="T422" i="1"/>
  <c r="T421" i="1"/>
  <c r="T419" i="1"/>
  <c r="T418" i="1"/>
  <c r="T417" i="1"/>
  <c r="T416" i="1"/>
  <c r="T415" i="1"/>
  <c r="T413" i="1"/>
  <c r="T412" i="1"/>
  <c r="T411" i="1"/>
  <c r="T410" i="1"/>
  <c r="T409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2" i="1"/>
  <c r="T381" i="1"/>
  <c r="T380" i="1"/>
  <c r="T379" i="1"/>
  <c r="T378" i="1"/>
  <c r="T375" i="1"/>
  <c r="T374" i="1"/>
  <c r="T373" i="1"/>
  <c r="T372" i="1"/>
  <c r="T371" i="1"/>
  <c r="T370" i="1"/>
  <c r="T369" i="1"/>
  <c r="T368" i="1"/>
  <c r="T367" i="1"/>
  <c r="T366" i="1"/>
  <c r="T364" i="1"/>
  <c r="T363" i="1"/>
  <c r="T362" i="1"/>
  <c r="T361" i="1"/>
  <c r="T360" i="1"/>
  <c r="T357" i="1"/>
  <c r="T356" i="1"/>
  <c r="T355" i="1"/>
  <c r="T354" i="1"/>
  <c r="T353" i="1"/>
  <c r="T349" i="1"/>
  <c r="T348" i="1"/>
  <c r="T347" i="1"/>
  <c r="T346" i="1"/>
  <c r="T345" i="1"/>
  <c r="T342" i="1"/>
  <c r="T341" i="1"/>
  <c r="T340" i="1"/>
  <c r="T339" i="1"/>
  <c r="T338" i="1"/>
  <c r="T335" i="1"/>
  <c r="T334" i="1"/>
  <c r="T333" i="1"/>
  <c r="T332" i="1"/>
  <c r="T331" i="1"/>
  <c r="T326" i="1"/>
  <c r="T325" i="1"/>
  <c r="T324" i="1"/>
  <c r="T323" i="1"/>
  <c r="T322" i="1"/>
  <c r="T321" i="1"/>
  <c r="T320" i="1"/>
  <c r="T319" i="1"/>
  <c r="T318" i="1"/>
  <c r="T317" i="1"/>
  <c r="T313" i="1"/>
  <c r="T312" i="1"/>
  <c r="T311" i="1"/>
  <c r="T310" i="1"/>
  <c r="T309" i="1"/>
  <c r="T308" i="1"/>
  <c r="T307" i="1"/>
  <c r="T306" i="1"/>
  <c r="T305" i="1"/>
  <c r="T304" i="1"/>
  <c r="T301" i="1"/>
  <c r="T300" i="1"/>
  <c r="T299" i="1"/>
  <c r="T298" i="1"/>
  <c r="T297" i="1"/>
  <c r="T289" i="1"/>
  <c r="T288" i="1"/>
  <c r="T287" i="1"/>
  <c r="T286" i="1"/>
  <c r="T285" i="1"/>
  <c r="T283" i="1"/>
  <c r="T282" i="1"/>
  <c r="T281" i="1"/>
  <c r="T280" i="1"/>
  <c r="T279" i="1"/>
  <c r="T276" i="1"/>
  <c r="T275" i="1"/>
  <c r="T274" i="1"/>
  <c r="T273" i="1"/>
  <c r="T272" i="1"/>
  <c r="T271" i="1"/>
  <c r="T270" i="1"/>
  <c r="T269" i="1"/>
  <c r="T268" i="1"/>
  <c r="T267" i="1"/>
  <c r="T263" i="1"/>
  <c r="T262" i="1"/>
  <c r="T261" i="1"/>
  <c r="T260" i="1"/>
  <c r="T259" i="1"/>
  <c r="T257" i="1"/>
  <c r="T256" i="1"/>
  <c r="T255" i="1"/>
  <c r="T254" i="1"/>
  <c r="T253" i="1"/>
  <c r="T251" i="1"/>
  <c r="T250" i="1"/>
  <c r="T249" i="1"/>
  <c r="T248" i="1"/>
  <c r="T247" i="1"/>
  <c r="T245" i="1"/>
  <c r="T244" i="1"/>
  <c r="T243" i="1"/>
  <c r="T242" i="1"/>
  <c r="T241" i="1"/>
  <c r="T240" i="1"/>
  <c r="T239" i="1"/>
  <c r="T238" i="1"/>
  <c r="T237" i="1"/>
  <c r="T236" i="1"/>
  <c r="T231" i="1"/>
  <c r="T230" i="1"/>
  <c r="T229" i="1"/>
  <c r="T228" i="1"/>
  <c r="T227" i="1"/>
  <c r="T214" i="1"/>
  <c r="T213" i="1"/>
  <c r="T212" i="1"/>
  <c r="T211" i="1"/>
  <c r="T210" i="1"/>
  <c r="T209" i="1"/>
  <c r="T208" i="1"/>
  <c r="T207" i="1"/>
  <c r="T206" i="1"/>
  <c r="T205" i="1"/>
  <c r="T198" i="1"/>
  <c r="T197" i="1"/>
  <c r="T196" i="1"/>
  <c r="T195" i="1"/>
  <c r="T194" i="1"/>
  <c r="T193" i="1"/>
  <c r="T192" i="1"/>
  <c r="T191" i="1"/>
  <c r="T190" i="1"/>
  <c r="T189" i="1"/>
  <c r="T187" i="1"/>
  <c r="T186" i="1"/>
  <c r="T185" i="1"/>
  <c r="T184" i="1"/>
  <c r="T183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5" i="1"/>
  <c r="T164" i="1"/>
  <c r="T163" i="1"/>
  <c r="T162" i="1"/>
  <c r="T161" i="1"/>
  <c r="T157" i="1"/>
  <c r="T156" i="1"/>
  <c r="T155" i="1"/>
  <c r="T154" i="1"/>
  <c r="T153" i="1"/>
  <c r="T152" i="1"/>
  <c r="T151" i="1"/>
  <c r="T150" i="1"/>
  <c r="T149" i="1"/>
  <c r="T148" i="1"/>
  <c r="T145" i="1"/>
  <c r="T144" i="1"/>
  <c r="T143" i="1"/>
  <c r="T142" i="1"/>
  <c r="T141" i="1"/>
  <c r="T139" i="1"/>
  <c r="T138" i="1"/>
  <c r="T137" i="1"/>
  <c r="T136" i="1"/>
  <c r="T135" i="1"/>
  <c r="T130" i="1"/>
  <c r="T129" i="1"/>
  <c r="T128" i="1"/>
  <c r="T127" i="1"/>
  <c r="T126" i="1"/>
  <c r="T125" i="1"/>
  <c r="T124" i="1"/>
  <c r="T123" i="1"/>
  <c r="T122" i="1"/>
  <c r="T121" i="1"/>
  <c r="T118" i="1"/>
  <c r="T117" i="1"/>
  <c r="T116" i="1"/>
  <c r="T115" i="1"/>
  <c r="T114" i="1"/>
  <c r="T113" i="1"/>
  <c r="T112" i="1"/>
  <c r="T111" i="1"/>
  <c r="T110" i="1"/>
  <c r="T109" i="1"/>
  <c r="T107" i="1"/>
  <c r="T106" i="1"/>
  <c r="T105" i="1"/>
  <c r="T104" i="1"/>
  <c r="T103" i="1"/>
  <c r="T96" i="1"/>
  <c r="T98" i="1"/>
  <c r="T97" i="1"/>
  <c r="T95" i="1"/>
  <c r="T94" i="1"/>
  <c r="T93" i="1"/>
  <c r="T92" i="1"/>
  <c r="T91" i="1"/>
  <c r="T90" i="1"/>
  <c r="T89" i="1"/>
  <c r="T86" i="1"/>
  <c r="T85" i="1"/>
  <c r="T84" i="1"/>
  <c r="T83" i="1"/>
  <c r="T82" i="1"/>
  <c r="T68" i="1"/>
  <c r="T69" i="1"/>
  <c r="T70" i="1"/>
  <c r="T71" i="1"/>
  <c r="T72" i="1"/>
  <c r="R6" i="7" l="1"/>
  <c r="R7" i="7"/>
  <c r="U203" i="1"/>
  <c r="V203" i="1" s="1"/>
  <c r="U296" i="1"/>
  <c r="V296" i="1" s="1"/>
  <c r="U398" i="1"/>
  <c r="V398" i="1" s="1"/>
  <c r="U224" i="1"/>
  <c r="V224" i="1" s="1"/>
  <c r="U539" i="1"/>
  <c r="V539" i="1" s="1"/>
  <c r="U193" i="1"/>
  <c r="V193" i="1" s="1"/>
  <c r="U463" i="1"/>
  <c r="V463" i="1" s="1"/>
  <c r="U546" i="1"/>
  <c r="V546" i="1" s="1"/>
  <c r="U245" i="1"/>
  <c r="V245" i="1" s="1"/>
  <c r="U326" i="1"/>
  <c r="V326" i="1" s="1"/>
  <c r="U413" i="1"/>
  <c r="V413" i="1" s="1"/>
  <c r="U496" i="1"/>
  <c r="V496" i="1" s="1"/>
  <c r="U187" i="1"/>
  <c r="V187" i="1" s="1"/>
  <c r="U276" i="1"/>
  <c r="V276" i="1" s="1"/>
  <c r="U364" i="1"/>
  <c r="V364" i="1" s="1"/>
  <c r="U145" i="1"/>
  <c r="V145" i="1" s="1"/>
  <c r="U13" i="1"/>
  <c r="V13" i="1" s="1"/>
  <c r="U98" i="1"/>
  <c r="V98" i="1" s="1"/>
  <c r="U130" i="1"/>
  <c r="V130" i="1" s="1"/>
  <c r="U209" i="1"/>
  <c r="V209" i="1" s="1"/>
  <c r="U301" i="1"/>
  <c r="V301" i="1" s="1"/>
  <c r="U382" i="1"/>
  <c r="V382" i="1" s="1"/>
  <c r="U72" i="1"/>
  <c r="V72" i="1" s="1"/>
  <c r="U22" i="1"/>
  <c r="V22" i="1" s="1"/>
  <c r="U521" i="1"/>
  <c r="V521" i="1" s="1"/>
  <c r="U257" i="1"/>
  <c r="V257" i="1" s="1"/>
  <c r="U342" i="1"/>
  <c r="V342" i="1" s="1"/>
  <c r="U393" i="1"/>
  <c r="V393" i="1" s="1"/>
  <c r="U475" i="1"/>
  <c r="V475" i="1" s="1"/>
  <c r="U41" i="1"/>
  <c r="V41" i="1" s="1"/>
  <c r="U313" i="1"/>
  <c r="V313" i="1" s="1"/>
  <c r="U450" i="1"/>
  <c r="V450" i="1" s="1"/>
  <c r="U86" i="1"/>
  <c r="V86" i="1" s="1"/>
  <c r="U176" i="1"/>
  <c r="V176" i="1" s="1"/>
  <c r="U263" i="1"/>
  <c r="V263" i="1" s="1"/>
  <c r="U349" i="1"/>
  <c r="V349" i="1" s="1"/>
  <c r="U484" i="1"/>
  <c r="V484" i="1" s="1"/>
  <c r="U528" i="1"/>
  <c r="V528" i="1" s="1"/>
  <c r="U29" i="1"/>
  <c r="V29" i="1" s="1"/>
  <c r="U439" i="1"/>
  <c r="V439" i="1" s="1"/>
  <c r="U512" i="1"/>
  <c r="V512" i="1" s="1"/>
  <c r="U61" i="1"/>
  <c r="V61" i="1" s="1"/>
  <c r="U165" i="1"/>
  <c r="V165" i="1" s="1"/>
  <c r="U231" i="1"/>
  <c r="V231" i="1" s="1"/>
  <c r="U251" i="1"/>
  <c r="V251" i="1" s="1"/>
  <c r="U335" i="1"/>
  <c r="V335" i="1" s="1"/>
  <c r="U468" i="1"/>
  <c r="V468" i="1" s="1"/>
  <c r="U118" i="1"/>
  <c r="V118" i="1" s="1"/>
  <c r="U107" i="1"/>
  <c r="V107" i="1" s="1"/>
  <c r="U152" i="1"/>
  <c r="V152" i="1" s="1"/>
  <c r="U283" i="1"/>
  <c r="V283" i="1" s="1"/>
  <c r="U370" i="1"/>
  <c r="V370" i="1" s="1"/>
  <c r="U419" i="1"/>
  <c r="V419" i="1" s="1"/>
  <c r="U551" i="1"/>
  <c r="V551" i="1" s="1"/>
  <c r="U47" i="1"/>
  <c r="V47" i="1" s="1"/>
  <c r="U181" i="1"/>
  <c r="V181" i="1" s="1"/>
  <c r="U240" i="1"/>
  <c r="V240" i="1" s="1"/>
  <c r="U321" i="1"/>
  <c r="V321" i="1" s="1"/>
  <c r="U458" i="1"/>
  <c r="V458" i="1" s="1"/>
  <c r="U93" i="1"/>
  <c r="V93" i="1" s="1"/>
  <c r="U139" i="1"/>
  <c r="V139" i="1" s="1"/>
  <c r="U271" i="1"/>
  <c r="V271" i="1" s="1"/>
  <c r="U357" i="1"/>
  <c r="V357" i="1" s="1"/>
  <c r="U403" i="1"/>
  <c r="V403" i="1" s="1"/>
  <c r="U489" i="1"/>
  <c r="V489" i="1" s="1"/>
  <c r="U534" i="1"/>
  <c r="V534" i="1" s="1"/>
  <c r="U36" i="1"/>
  <c r="V36" i="1" s="1"/>
  <c r="U125" i="1"/>
  <c r="V125" i="1" s="1"/>
  <c r="U214" i="1"/>
  <c r="V214" i="1" s="1"/>
  <c r="U308" i="1"/>
  <c r="V308" i="1" s="1"/>
  <c r="U445" i="1"/>
  <c r="V445" i="1" s="1"/>
  <c r="U501" i="1"/>
  <c r="V501" i="1" s="1"/>
  <c r="U113" i="1"/>
  <c r="V113" i="1" s="1"/>
  <c r="U157" i="1"/>
  <c r="V157" i="1" s="1"/>
  <c r="U171" i="1"/>
  <c r="V171" i="1" s="1"/>
  <c r="U198" i="1"/>
  <c r="V198" i="1" s="1"/>
  <c r="U289" i="1"/>
  <c r="V289" i="1" s="1"/>
  <c r="U375" i="1"/>
  <c r="V375" i="1" s="1"/>
  <c r="U425" i="1"/>
  <c r="V425" i="1" s="1"/>
  <c r="U506" i="1"/>
  <c r="V506" i="1" s="1"/>
  <c r="U7" i="1"/>
  <c r="V7" i="1" s="1"/>
  <c r="U55" i="1"/>
  <c r="V55" i="1" s="1"/>
  <c r="U67" i="1"/>
  <c r="V67" i="1" s="1"/>
</calcChain>
</file>

<file path=xl/sharedStrings.xml><?xml version="1.0" encoding="utf-8"?>
<sst xmlns="http://schemas.openxmlformats.org/spreadsheetml/2006/main" count="2281" uniqueCount="410">
  <si>
    <t>物种</t>
    <phoneticPr fontId="1" type="noConversion"/>
  </si>
  <si>
    <t>叶片数</t>
    <phoneticPr fontId="1" type="noConversion"/>
  </si>
  <si>
    <t>干重/g</t>
    <phoneticPr fontId="1" type="noConversion"/>
  </si>
  <si>
    <t>鲜重/g</t>
    <phoneticPr fontId="1" type="noConversion"/>
  </si>
  <si>
    <t>株高/cm</t>
    <phoneticPr fontId="1" type="noConversion"/>
  </si>
  <si>
    <t>株数</t>
    <phoneticPr fontId="1" type="noConversion"/>
  </si>
  <si>
    <t>生物量/g</t>
    <phoneticPr fontId="1" type="noConversion"/>
  </si>
  <si>
    <t>叶绿素</t>
    <phoneticPr fontId="1" type="noConversion"/>
  </si>
  <si>
    <t>叶厚/mm</t>
    <phoneticPr fontId="1" type="noConversion"/>
  </si>
  <si>
    <t>叶直径/mm</t>
    <phoneticPr fontId="1" type="noConversion"/>
  </si>
  <si>
    <t>叶长度/mm</t>
    <phoneticPr fontId="1" type="noConversion"/>
  </si>
  <si>
    <t>叶面积/mm2</t>
    <phoneticPr fontId="1" type="noConversion"/>
  </si>
  <si>
    <t>饱和鲜重/g</t>
    <phoneticPr fontId="1" type="noConversion"/>
  </si>
  <si>
    <t>叶面积计算结果</t>
    <phoneticPr fontId="1" type="noConversion"/>
  </si>
  <si>
    <t>M100-1</t>
    <phoneticPr fontId="1" type="noConversion"/>
  </si>
  <si>
    <t>蒿子</t>
    <phoneticPr fontId="1" type="noConversion"/>
  </si>
  <si>
    <t>针茅</t>
    <phoneticPr fontId="1" type="noConversion"/>
  </si>
  <si>
    <t>芦苇</t>
    <phoneticPr fontId="1" type="noConversion"/>
  </si>
  <si>
    <t>红砂</t>
    <phoneticPr fontId="1" type="noConversion"/>
  </si>
  <si>
    <t>M100-2</t>
    <phoneticPr fontId="1" type="noConversion"/>
  </si>
  <si>
    <t>珍珠猪毛菜</t>
    <phoneticPr fontId="1" type="noConversion"/>
  </si>
  <si>
    <t>球形</t>
    <phoneticPr fontId="1" type="noConversion"/>
  </si>
  <si>
    <t>M100-3</t>
    <phoneticPr fontId="1" type="noConversion"/>
  </si>
  <si>
    <t>鹅绒藤</t>
    <phoneticPr fontId="1" type="noConversion"/>
  </si>
  <si>
    <t>冷蒿</t>
    <phoneticPr fontId="1" type="noConversion"/>
  </si>
  <si>
    <t>碱蓬</t>
    <phoneticPr fontId="1" type="noConversion"/>
  </si>
  <si>
    <t>M300-1</t>
    <phoneticPr fontId="1" type="noConversion"/>
  </si>
  <si>
    <t>猪毛蒿</t>
    <phoneticPr fontId="1" type="noConversion"/>
  </si>
  <si>
    <t>蝎虎驼蹄瓣</t>
    <phoneticPr fontId="1" type="noConversion"/>
  </si>
  <si>
    <t>M300-2</t>
    <phoneticPr fontId="1" type="noConversion"/>
  </si>
  <si>
    <t>甘草</t>
    <phoneticPr fontId="1" type="noConversion"/>
  </si>
  <si>
    <t>北方庭芥</t>
    <phoneticPr fontId="1" type="noConversion"/>
  </si>
  <si>
    <t>盐地碱蓬</t>
    <phoneticPr fontId="1" type="noConversion"/>
  </si>
  <si>
    <t>M300-3</t>
    <phoneticPr fontId="1" type="noConversion"/>
  </si>
  <si>
    <t>M500-1</t>
    <phoneticPr fontId="1" type="noConversion"/>
  </si>
  <si>
    <t>驼绒藜</t>
    <phoneticPr fontId="1" type="noConversion"/>
  </si>
  <si>
    <t>Y2000-2</t>
    <phoneticPr fontId="1" type="noConversion"/>
  </si>
  <si>
    <t>花花柴</t>
    <phoneticPr fontId="1" type="noConversion"/>
  </si>
  <si>
    <t>M500-2</t>
    <phoneticPr fontId="1" type="noConversion"/>
  </si>
  <si>
    <t>狗娃花</t>
    <phoneticPr fontId="1" type="noConversion"/>
  </si>
  <si>
    <t>M500-3</t>
    <phoneticPr fontId="1" type="noConversion"/>
  </si>
  <si>
    <t>M1000-1</t>
    <phoneticPr fontId="1" type="noConversion"/>
  </si>
  <si>
    <t>物种</t>
  </si>
  <si>
    <t>M100-1</t>
  </si>
  <si>
    <t>蒿子</t>
  </si>
  <si>
    <t>针茅</t>
  </si>
  <si>
    <t>芦苇</t>
  </si>
  <si>
    <t>红砂</t>
  </si>
  <si>
    <t>M100-2</t>
  </si>
  <si>
    <t>珍珠猪毛菜</t>
  </si>
  <si>
    <t>M100-3</t>
  </si>
  <si>
    <t>鹅绒藤</t>
  </si>
  <si>
    <t>冷蒿</t>
  </si>
  <si>
    <t>碱蓬</t>
  </si>
  <si>
    <t>M300-1</t>
  </si>
  <si>
    <t>猪毛蒿</t>
  </si>
  <si>
    <t>蝎虎驼蹄瓣</t>
  </si>
  <si>
    <t>甘草</t>
  </si>
  <si>
    <t>M300-2</t>
  </si>
  <si>
    <t>北方庭芥</t>
  </si>
  <si>
    <t>盐地碱蓬</t>
  </si>
  <si>
    <t>M300-3</t>
  </si>
  <si>
    <t>M500-1</t>
  </si>
  <si>
    <t>驼绒藜</t>
  </si>
  <si>
    <t>花花柴</t>
  </si>
  <si>
    <t>M500-2</t>
  </si>
  <si>
    <t>狗娃花</t>
  </si>
  <si>
    <t>M500-3</t>
  </si>
  <si>
    <t>M1000-1</t>
  </si>
  <si>
    <t>L100-1</t>
    <phoneticPr fontId="1" type="noConversion"/>
  </si>
  <si>
    <t>冰草</t>
    <phoneticPr fontId="1" type="noConversion"/>
  </si>
  <si>
    <t>苦菜</t>
    <phoneticPr fontId="1" type="noConversion"/>
  </si>
  <si>
    <t>L100-2</t>
    <phoneticPr fontId="1" type="noConversion"/>
  </si>
  <si>
    <t>稗草</t>
    <phoneticPr fontId="1" type="noConversion"/>
  </si>
  <si>
    <t>车前草</t>
    <phoneticPr fontId="1" type="noConversion"/>
  </si>
  <si>
    <t>蒲公英</t>
    <phoneticPr fontId="1" type="noConversion"/>
  </si>
  <si>
    <t>未知名3</t>
    <phoneticPr fontId="1" type="noConversion"/>
  </si>
  <si>
    <t>L100-3</t>
    <phoneticPr fontId="1" type="noConversion"/>
  </si>
  <si>
    <t>处理</t>
    <phoneticPr fontId="1" type="noConversion"/>
  </si>
  <si>
    <t>L300-1</t>
    <phoneticPr fontId="1" type="noConversion"/>
  </si>
  <si>
    <t>L300-2</t>
    <phoneticPr fontId="1" type="noConversion"/>
  </si>
  <si>
    <t>L300-3</t>
    <phoneticPr fontId="1" type="noConversion"/>
  </si>
  <si>
    <t>灯心草</t>
    <phoneticPr fontId="1" type="noConversion"/>
  </si>
  <si>
    <t>L500-1</t>
    <phoneticPr fontId="1" type="noConversion"/>
  </si>
  <si>
    <t>L500-2</t>
    <phoneticPr fontId="1" type="noConversion"/>
  </si>
  <si>
    <t>L500-3</t>
    <phoneticPr fontId="1" type="noConversion"/>
  </si>
  <si>
    <t>L1000-1</t>
    <phoneticPr fontId="1" type="noConversion"/>
  </si>
  <si>
    <t>L1000-2</t>
    <phoneticPr fontId="1" type="noConversion"/>
  </si>
  <si>
    <t>L1000-3</t>
    <phoneticPr fontId="1" type="noConversion"/>
  </si>
  <si>
    <t>L2000-1</t>
    <phoneticPr fontId="1" type="noConversion"/>
  </si>
  <si>
    <t>地稍瓜</t>
    <phoneticPr fontId="1" type="noConversion"/>
  </si>
  <si>
    <t>L2000-2</t>
    <phoneticPr fontId="1" type="noConversion"/>
  </si>
  <si>
    <t>L2000-3</t>
    <phoneticPr fontId="1" type="noConversion"/>
  </si>
  <si>
    <t>苦豆子</t>
    <phoneticPr fontId="1" type="noConversion"/>
  </si>
  <si>
    <t>M1000-2</t>
    <phoneticPr fontId="1" type="noConversion"/>
  </si>
  <si>
    <t>M1000-3</t>
    <phoneticPr fontId="1" type="noConversion"/>
  </si>
  <si>
    <t>M2000-1</t>
    <phoneticPr fontId="1" type="noConversion"/>
  </si>
  <si>
    <t>臭蒿</t>
    <phoneticPr fontId="1" type="noConversion"/>
  </si>
  <si>
    <t>M2000-2</t>
    <phoneticPr fontId="1" type="noConversion"/>
  </si>
  <si>
    <t>M2000-3</t>
    <phoneticPr fontId="1" type="noConversion"/>
  </si>
  <si>
    <t>Y100-1</t>
    <phoneticPr fontId="1" type="noConversion"/>
  </si>
  <si>
    <t>地锦草</t>
    <phoneticPr fontId="1" type="noConversion"/>
  </si>
  <si>
    <t>草木樨黄芪</t>
    <phoneticPr fontId="1" type="noConversion"/>
  </si>
  <si>
    <t>蒺藜</t>
    <phoneticPr fontId="1" type="noConversion"/>
  </si>
  <si>
    <t>Y100-2</t>
    <phoneticPr fontId="1" type="noConversion"/>
  </si>
  <si>
    <t>Y100-3</t>
    <phoneticPr fontId="1" type="noConversion"/>
  </si>
  <si>
    <t>老瓜头</t>
    <phoneticPr fontId="1" type="noConversion"/>
  </si>
  <si>
    <t>麻黄</t>
    <phoneticPr fontId="1" type="noConversion"/>
  </si>
  <si>
    <t>Y300-1</t>
    <phoneticPr fontId="1" type="noConversion"/>
  </si>
  <si>
    <t>叉枝丫葱</t>
    <phoneticPr fontId="1" type="noConversion"/>
  </si>
  <si>
    <t>白莲蒿</t>
    <phoneticPr fontId="1" type="noConversion"/>
  </si>
  <si>
    <t>角蒿</t>
    <phoneticPr fontId="1" type="noConversion"/>
  </si>
  <si>
    <t>Y300-2</t>
    <phoneticPr fontId="1" type="noConversion"/>
  </si>
  <si>
    <t>Y300-3</t>
    <phoneticPr fontId="1" type="noConversion"/>
  </si>
  <si>
    <t>兴安虫实</t>
    <phoneticPr fontId="1" type="noConversion"/>
  </si>
  <si>
    <t>蓝刺头</t>
    <phoneticPr fontId="1" type="noConversion"/>
  </si>
  <si>
    <t>Y500-1</t>
    <phoneticPr fontId="1" type="noConversion"/>
  </si>
  <si>
    <t>灰蓬</t>
    <phoneticPr fontId="1" type="noConversion"/>
  </si>
  <si>
    <t>Y500-2</t>
    <phoneticPr fontId="1" type="noConversion"/>
  </si>
  <si>
    <t>Y500-3</t>
    <phoneticPr fontId="1" type="noConversion"/>
  </si>
  <si>
    <t>Y1000-1</t>
    <phoneticPr fontId="1" type="noConversion"/>
  </si>
  <si>
    <t>Y1000-2</t>
    <phoneticPr fontId="1" type="noConversion"/>
  </si>
  <si>
    <t>Y1000-3</t>
    <phoneticPr fontId="1" type="noConversion"/>
  </si>
  <si>
    <t>天门冬</t>
    <phoneticPr fontId="1" type="noConversion"/>
  </si>
  <si>
    <t>刺沙蓬</t>
    <phoneticPr fontId="1" type="noConversion"/>
  </si>
  <si>
    <t>Y2000-1</t>
    <phoneticPr fontId="1" type="noConversion"/>
  </si>
  <si>
    <t>Y2000-3</t>
    <phoneticPr fontId="1" type="noConversion"/>
  </si>
  <si>
    <t xml:space="preserve">   </t>
    <phoneticPr fontId="1" type="noConversion"/>
  </si>
  <si>
    <t xml:space="preserve"> </t>
    <phoneticPr fontId="1" type="noConversion"/>
  </si>
  <si>
    <t>习见蓼</t>
    <phoneticPr fontId="1" type="noConversion"/>
  </si>
  <si>
    <t>未知名1</t>
    <phoneticPr fontId="1" type="noConversion"/>
  </si>
  <si>
    <t>生物量/g m2</t>
    <phoneticPr fontId="1" type="noConversion"/>
  </si>
  <si>
    <t>L100-1</t>
  </si>
  <si>
    <t>L100-2</t>
  </si>
  <si>
    <t>L100-3</t>
  </si>
  <si>
    <t>L300-1</t>
  </si>
  <si>
    <t>L300-2</t>
  </si>
  <si>
    <t>L300-3</t>
  </si>
  <si>
    <t>L500-1</t>
  </si>
  <si>
    <t>L500-2</t>
  </si>
  <si>
    <t>L500-3</t>
  </si>
  <si>
    <t>L1000-1</t>
  </si>
  <si>
    <t>L1000-2</t>
  </si>
  <si>
    <t>L1000-3</t>
  </si>
  <si>
    <t>L2000-1</t>
  </si>
  <si>
    <t>L2000-2</t>
  </si>
  <si>
    <t>L2000-3</t>
  </si>
  <si>
    <t>M1000-2</t>
  </si>
  <si>
    <t>M1000-3</t>
  </si>
  <si>
    <t>M2000-1</t>
  </si>
  <si>
    <t>M2000-2</t>
  </si>
  <si>
    <t>M2000-3</t>
  </si>
  <si>
    <t>Y100-1</t>
  </si>
  <si>
    <t>Y100-2</t>
  </si>
  <si>
    <t>Y100-3</t>
  </si>
  <si>
    <t>Y300-1</t>
  </si>
  <si>
    <t>Y300-2</t>
  </si>
  <si>
    <t>Y300-3</t>
  </si>
  <si>
    <t>Y500-1</t>
  </si>
  <si>
    <t>Y500-2</t>
  </si>
  <si>
    <t>Y500-3</t>
  </si>
  <si>
    <t>Y1000-1</t>
  </si>
  <si>
    <t>Y1000-2</t>
  </si>
  <si>
    <t>Y1000-3</t>
  </si>
  <si>
    <t>Y2000-1</t>
  </si>
  <si>
    <t>Y2000-2</t>
  </si>
  <si>
    <t>Y2000-3</t>
  </si>
  <si>
    <t>未知名</t>
    <phoneticPr fontId="1" type="noConversion"/>
  </si>
  <si>
    <t>黄芪</t>
    <phoneticPr fontId="1" type="noConversion"/>
  </si>
  <si>
    <t>黄华</t>
    <phoneticPr fontId="1" type="noConversion"/>
  </si>
  <si>
    <t>猪毛菜</t>
    <phoneticPr fontId="1" type="noConversion"/>
  </si>
  <si>
    <t>37..3</t>
    <phoneticPr fontId="1" type="noConversion"/>
  </si>
  <si>
    <t>32..6</t>
    <phoneticPr fontId="1" type="noConversion"/>
  </si>
  <si>
    <t>采样日期</t>
  </si>
  <si>
    <t>2021.8.27</t>
  </si>
  <si>
    <t>处理</t>
  </si>
  <si>
    <t>冰草</t>
  </si>
  <si>
    <t>苦菜</t>
  </si>
  <si>
    <t>稗草</t>
  </si>
  <si>
    <t>车前草</t>
  </si>
  <si>
    <t>习见廖</t>
  </si>
  <si>
    <t>蒲公英</t>
  </si>
  <si>
    <t>未知名3</t>
  </si>
  <si>
    <t>灯心草</t>
  </si>
  <si>
    <t>地稍瓜</t>
  </si>
  <si>
    <t>苦豆子</t>
  </si>
  <si>
    <t>龙蝎虎驼蹄</t>
  </si>
  <si>
    <t>臭蒿</t>
  </si>
  <si>
    <t>地锦草</t>
  </si>
  <si>
    <t>草木樨黄芪</t>
  </si>
  <si>
    <t>蒺藜</t>
  </si>
  <si>
    <t>老瓜头</t>
  </si>
  <si>
    <t>麻黄</t>
  </si>
  <si>
    <t>披针叶黄华</t>
  </si>
  <si>
    <t>叉枝丫葱</t>
  </si>
  <si>
    <t>白莲蒿</t>
  </si>
  <si>
    <t>角蒿</t>
  </si>
  <si>
    <t>兴安虫实</t>
  </si>
  <si>
    <t>蓝刺头</t>
  </si>
  <si>
    <t>灰蓬</t>
  </si>
  <si>
    <t>未知名蒿</t>
  </si>
  <si>
    <t>天门冬</t>
  </si>
  <si>
    <t>刺沙蓬</t>
  </si>
  <si>
    <t>全株有机碳(g/kg)</t>
    <phoneticPr fontId="1" type="noConversion"/>
  </si>
  <si>
    <t>全株全氮(g/kg)</t>
    <phoneticPr fontId="1" type="noConversion"/>
  </si>
  <si>
    <t>全株全磷（mg/g）</t>
    <phoneticPr fontId="1" type="noConversion"/>
  </si>
  <si>
    <t>叶片有机碳(g/kg)</t>
    <phoneticPr fontId="1" type="noConversion"/>
  </si>
  <si>
    <t>叶片全氮(g/kg)</t>
    <phoneticPr fontId="1" type="noConversion"/>
  </si>
  <si>
    <t>叶片全磷（mg/g）</t>
    <phoneticPr fontId="1" type="noConversion"/>
  </si>
  <si>
    <t>比叶面积</t>
    <phoneticPr fontId="1" type="noConversion"/>
  </si>
  <si>
    <t>叶片干物质质量</t>
    <phoneticPr fontId="1" type="noConversion"/>
  </si>
  <si>
    <t>叶面积/cm2</t>
    <phoneticPr fontId="1" type="noConversion"/>
  </si>
  <si>
    <t>叶绿素/SPAD</t>
    <phoneticPr fontId="1" type="noConversion"/>
  </si>
  <si>
    <t>习见蓼</t>
  </si>
  <si>
    <t>未知名1</t>
  </si>
  <si>
    <t>未知名</t>
  </si>
  <si>
    <t>黄芪</t>
  </si>
  <si>
    <t>黄华</t>
  </si>
  <si>
    <t>猪毛菜</t>
  </si>
  <si>
    <t>全株有机碳(g/kg)</t>
  </si>
  <si>
    <t>全株全氮(g/kg)</t>
  </si>
  <si>
    <t>叶片有机碳(g/kg)</t>
  </si>
  <si>
    <t>叶片全氮(g/kg)</t>
  </si>
  <si>
    <t xml:space="preserve">比叶面积 (cm/g) </t>
    <phoneticPr fontId="1" type="noConversion"/>
  </si>
  <si>
    <t>叶片干物质质量 (g/g)</t>
    <phoneticPr fontId="1" type="noConversion"/>
  </si>
  <si>
    <t>叶绿素(SPAD)</t>
    <phoneticPr fontId="1" type="noConversion"/>
  </si>
  <si>
    <t>叶厚(mm)</t>
    <phoneticPr fontId="1" type="noConversion"/>
  </si>
  <si>
    <t>全株全磷(mg/g)</t>
    <phoneticPr fontId="1" type="noConversion"/>
  </si>
  <si>
    <t>叶片全磷(mg/g)</t>
    <phoneticPr fontId="1" type="noConversion"/>
  </si>
  <si>
    <t>叶体积/cm3</t>
  </si>
  <si>
    <t>叶体积/cm3</t>
    <phoneticPr fontId="1" type="noConversion"/>
  </si>
  <si>
    <t>叶密度g/cm3</t>
  </si>
  <si>
    <t>叶密度g/cm3</t>
    <phoneticPr fontId="1" type="noConversion"/>
  </si>
  <si>
    <t>物种数</t>
    <phoneticPr fontId="1" type="noConversion"/>
  </si>
  <si>
    <t>FRic功能丰富度指数</t>
    <phoneticPr fontId="1" type="noConversion"/>
  </si>
  <si>
    <t>FEve功能均匀度指数</t>
    <phoneticPr fontId="1" type="noConversion"/>
  </si>
  <si>
    <t>FDiv功能分异指数</t>
    <phoneticPr fontId="1" type="noConversion"/>
  </si>
  <si>
    <t>FDis功能分散指数</t>
    <phoneticPr fontId="1" type="noConversion"/>
  </si>
  <si>
    <t>Rao's二次熵</t>
    <phoneticPr fontId="1" type="noConversion"/>
  </si>
  <si>
    <t>21年生物量/g m2</t>
    <phoneticPr fontId="1" type="noConversion"/>
  </si>
  <si>
    <t>19年生物量/g m2</t>
    <phoneticPr fontId="1" type="noConversion"/>
  </si>
  <si>
    <t>20年生物量/g m2</t>
    <phoneticPr fontId="1" type="noConversion"/>
  </si>
  <si>
    <t>平均值u</t>
    <phoneticPr fontId="1" type="noConversion"/>
  </si>
  <si>
    <t>标准差</t>
    <phoneticPr fontId="1" type="noConversion"/>
  </si>
  <si>
    <t>时间稳定性TS</t>
    <phoneticPr fontId="1" type="noConversion"/>
  </si>
  <si>
    <t>L100</t>
    <phoneticPr fontId="1" type="noConversion"/>
  </si>
  <si>
    <t>L300</t>
    <phoneticPr fontId="1" type="noConversion"/>
  </si>
  <si>
    <t>L500</t>
    <phoneticPr fontId="1" type="noConversion"/>
  </si>
  <si>
    <t>L1000</t>
    <phoneticPr fontId="1" type="noConversion"/>
  </si>
  <si>
    <t>L2000</t>
    <phoneticPr fontId="1" type="noConversion"/>
  </si>
  <si>
    <t>M100</t>
    <phoneticPr fontId="1" type="noConversion"/>
  </si>
  <si>
    <t>Y100</t>
    <phoneticPr fontId="1" type="noConversion"/>
  </si>
  <si>
    <t>M300</t>
    <phoneticPr fontId="1" type="noConversion"/>
  </si>
  <si>
    <t>M500</t>
    <phoneticPr fontId="1" type="noConversion"/>
  </si>
  <si>
    <t>M1000</t>
    <phoneticPr fontId="1" type="noConversion"/>
  </si>
  <si>
    <t>M2000</t>
    <phoneticPr fontId="1" type="noConversion"/>
  </si>
  <si>
    <t>Y300</t>
    <phoneticPr fontId="1" type="noConversion"/>
  </si>
  <si>
    <t>Y500</t>
    <phoneticPr fontId="1" type="noConversion"/>
  </si>
  <si>
    <t>Y1000</t>
    <phoneticPr fontId="1" type="noConversion"/>
  </si>
  <si>
    <t>Y2000</t>
    <phoneticPr fontId="1" type="noConversion"/>
  </si>
  <si>
    <t>21年生物量/g</t>
    <phoneticPr fontId="1" type="noConversion"/>
  </si>
  <si>
    <t>取样点</t>
    <phoneticPr fontId="1" type="noConversion"/>
  </si>
  <si>
    <t>艾草</t>
    <phoneticPr fontId="1" type="noConversion"/>
  </si>
  <si>
    <t>蒿子1</t>
    <phoneticPr fontId="1" type="noConversion"/>
  </si>
  <si>
    <t>蒿子2</t>
    <phoneticPr fontId="1" type="noConversion"/>
  </si>
  <si>
    <t>苔草</t>
    <phoneticPr fontId="1" type="noConversion"/>
  </si>
  <si>
    <t>野韭菜</t>
    <phoneticPr fontId="1" type="noConversion"/>
  </si>
  <si>
    <t>白草</t>
    <phoneticPr fontId="1" type="noConversion"/>
  </si>
  <si>
    <t>红柳</t>
    <phoneticPr fontId="1" type="noConversion"/>
  </si>
  <si>
    <t>早熟禾</t>
    <phoneticPr fontId="1" type="noConversion"/>
  </si>
  <si>
    <t>蒿子6</t>
    <phoneticPr fontId="1" type="noConversion"/>
  </si>
  <si>
    <t>胖娃娃草</t>
    <phoneticPr fontId="1" type="noConversion"/>
  </si>
  <si>
    <t>蒿子4</t>
    <phoneticPr fontId="1" type="noConversion"/>
  </si>
  <si>
    <t>骆驼刺</t>
    <phoneticPr fontId="1" type="noConversion"/>
  </si>
  <si>
    <t>中华小苦麦</t>
    <phoneticPr fontId="1" type="noConversion"/>
  </si>
  <si>
    <t>狗尾巴草</t>
    <phoneticPr fontId="1" type="noConversion"/>
  </si>
  <si>
    <t>刺蓬</t>
    <phoneticPr fontId="1" type="noConversion"/>
  </si>
  <si>
    <t>苦豆</t>
    <phoneticPr fontId="1" type="noConversion"/>
  </si>
  <si>
    <t>牛枝子</t>
    <phoneticPr fontId="1" type="noConversion"/>
  </si>
  <si>
    <t>小对叶</t>
    <phoneticPr fontId="1" type="noConversion"/>
  </si>
  <si>
    <t>20年生物量</t>
    <phoneticPr fontId="1" type="noConversion"/>
  </si>
  <si>
    <t>群落稳定性</t>
    <phoneticPr fontId="1" type="noConversion"/>
  </si>
  <si>
    <t>叶面积</t>
    <phoneticPr fontId="1" type="noConversion"/>
  </si>
  <si>
    <t>SLDM</t>
    <phoneticPr fontId="1" type="noConversion"/>
  </si>
  <si>
    <t>SLA</t>
    <phoneticPr fontId="1" type="noConversion"/>
  </si>
  <si>
    <t>CHL</t>
    <phoneticPr fontId="1" type="noConversion"/>
  </si>
  <si>
    <t>LT</t>
    <phoneticPr fontId="1" type="noConversion"/>
  </si>
  <si>
    <t>LCC</t>
    <phoneticPr fontId="1" type="noConversion"/>
  </si>
  <si>
    <t>LPC</t>
    <phoneticPr fontId="1" type="noConversion"/>
  </si>
  <si>
    <t>LD</t>
    <phoneticPr fontId="1" type="noConversion"/>
  </si>
  <si>
    <t>LNC</t>
    <phoneticPr fontId="1" type="noConversion"/>
  </si>
  <si>
    <t>叶C</t>
    <phoneticPr fontId="1" type="noConversion"/>
  </si>
  <si>
    <t>叶N</t>
    <phoneticPr fontId="1" type="noConversion"/>
  </si>
  <si>
    <t>叶P</t>
    <phoneticPr fontId="1" type="noConversion"/>
  </si>
  <si>
    <t>叶厚</t>
    <phoneticPr fontId="1" type="noConversion"/>
  </si>
  <si>
    <t>叶绿素含量</t>
    <phoneticPr fontId="1" type="noConversion"/>
  </si>
  <si>
    <t>叶干物质量</t>
    <phoneticPr fontId="1" type="noConversion"/>
  </si>
  <si>
    <t>CWM.SLA</t>
    <phoneticPr fontId="1" type="noConversion"/>
  </si>
  <si>
    <t>CWM.SLDM</t>
    <phoneticPr fontId="1" type="noConversion"/>
  </si>
  <si>
    <t>CWM.CHL</t>
    <phoneticPr fontId="1" type="noConversion"/>
  </si>
  <si>
    <t>CWM.LT</t>
    <phoneticPr fontId="1" type="noConversion"/>
  </si>
  <si>
    <t>CWM.LCC</t>
    <phoneticPr fontId="1" type="noConversion"/>
  </si>
  <si>
    <t>CWM.LNC</t>
    <phoneticPr fontId="1" type="noConversion"/>
  </si>
  <si>
    <t>CWM.LPC</t>
    <phoneticPr fontId="1" type="noConversion"/>
  </si>
  <si>
    <t>CWM.LD</t>
    <phoneticPr fontId="1" type="noConversion"/>
  </si>
  <si>
    <t>总mean</t>
  </si>
  <si>
    <t>总CV</t>
  </si>
  <si>
    <t>总SD</t>
  </si>
  <si>
    <t>FRic功能丰富度指数</t>
  </si>
  <si>
    <t>FEve功能均匀度指数</t>
  </si>
  <si>
    <t>FDis功能分散指数</t>
  </si>
  <si>
    <t>Rao's二次熵</t>
  </si>
  <si>
    <t>CWM.SLA</t>
  </si>
  <si>
    <t>CWM.SLDM</t>
  </si>
  <si>
    <t>CWM.CHL</t>
  </si>
  <si>
    <t>CWM.LT</t>
  </si>
  <si>
    <t>CWM.LCC</t>
  </si>
  <si>
    <t>CWM.LNC</t>
  </si>
  <si>
    <t>CWM.LPC</t>
  </si>
  <si>
    <t>CWM.LD</t>
  </si>
  <si>
    <t>A</t>
    <phoneticPr fontId="1" type="noConversion"/>
  </si>
  <si>
    <t>AB AB AB B A</t>
    <phoneticPr fontId="1" type="noConversion"/>
  </si>
  <si>
    <t>A B B B AB</t>
    <phoneticPr fontId="1" type="noConversion"/>
  </si>
  <si>
    <t>叶密度</t>
    <phoneticPr fontId="1" type="noConversion"/>
  </si>
  <si>
    <t>β-1，4-葡萄糖苷酶（BG）</t>
  </si>
  <si>
    <t>纤维二糖水解酶（CBH）</t>
  </si>
  <si>
    <t>β-1.4-N-乙酰基氨基葡萄糖苷酶（NAG）</t>
  </si>
  <si>
    <t>亮氨酸氨基肽酶（LAP）</t>
  </si>
  <si>
    <t>碱性磷酸酶（AKP）</t>
  </si>
  <si>
    <t>EMF</t>
  </si>
  <si>
    <t>EMF</t>
    <phoneticPr fontId="1" type="noConversion"/>
  </si>
  <si>
    <t>bio</t>
  </si>
  <si>
    <t>SOC</t>
  </si>
  <si>
    <t>TN</t>
  </si>
  <si>
    <t>TP</t>
  </si>
  <si>
    <t>NHN</t>
  </si>
  <si>
    <t>NON</t>
  </si>
  <si>
    <t>AP</t>
  </si>
  <si>
    <t>BG</t>
  </si>
  <si>
    <t>CBH</t>
  </si>
  <si>
    <t>NAG</t>
  </si>
  <si>
    <t>LAP</t>
  </si>
  <si>
    <t>MBC</t>
  </si>
  <si>
    <t>MBN</t>
  </si>
  <si>
    <t>MBP</t>
  </si>
  <si>
    <t>EMF25</t>
  </si>
  <si>
    <t>EMF25</t>
    <phoneticPr fontId="1" type="noConversion"/>
  </si>
  <si>
    <t>EMF50</t>
  </si>
  <si>
    <t>EMF50</t>
    <phoneticPr fontId="1" type="noConversion"/>
  </si>
  <si>
    <t>EMF75</t>
  </si>
  <si>
    <t>EMF75</t>
    <phoneticPr fontId="1" type="noConversion"/>
  </si>
  <si>
    <t>M mean</t>
    <phoneticPr fontId="1" type="noConversion"/>
  </si>
  <si>
    <t>M CV</t>
    <phoneticPr fontId="1" type="noConversion"/>
  </si>
  <si>
    <t>M SD</t>
    <phoneticPr fontId="1" type="noConversion"/>
  </si>
  <si>
    <t>Y mean</t>
    <phoneticPr fontId="1" type="noConversion"/>
  </si>
  <si>
    <t>Y CV</t>
    <phoneticPr fontId="1" type="noConversion"/>
  </si>
  <si>
    <t>Y SD</t>
    <phoneticPr fontId="1" type="noConversion"/>
  </si>
  <si>
    <t>L mean</t>
    <phoneticPr fontId="1" type="noConversion"/>
  </si>
  <si>
    <t>L CV</t>
    <phoneticPr fontId="1" type="noConversion"/>
  </si>
  <si>
    <t>L SD</t>
    <phoneticPr fontId="1" type="noConversion"/>
  </si>
  <si>
    <t>D100 Mean</t>
    <phoneticPr fontId="1" type="noConversion"/>
  </si>
  <si>
    <t>D100 SE</t>
    <phoneticPr fontId="1" type="noConversion"/>
  </si>
  <si>
    <t>D300 Mean</t>
    <phoneticPr fontId="1" type="noConversion"/>
  </si>
  <si>
    <t>D300 SE</t>
    <phoneticPr fontId="1" type="noConversion"/>
  </si>
  <si>
    <t>D500 Mean</t>
    <phoneticPr fontId="1" type="noConversion"/>
  </si>
  <si>
    <t>D500 SE</t>
    <phoneticPr fontId="1" type="noConversion"/>
  </si>
  <si>
    <t>D1000 Mean</t>
    <phoneticPr fontId="1" type="noConversion"/>
  </si>
  <si>
    <t>D1000 SE</t>
    <phoneticPr fontId="1" type="noConversion"/>
  </si>
  <si>
    <t>D2000 Mean</t>
    <phoneticPr fontId="1" type="noConversion"/>
  </si>
  <si>
    <t>D2000 SE</t>
    <phoneticPr fontId="1" type="noConversion"/>
  </si>
  <si>
    <t>AB AB AB  B A</t>
    <phoneticPr fontId="1" type="noConversion"/>
  </si>
  <si>
    <t>AB B AB B A</t>
    <phoneticPr fontId="1" type="noConversion"/>
  </si>
  <si>
    <t>Fric</t>
    <phoneticPr fontId="1" type="noConversion"/>
  </si>
  <si>
    <t>Feve</t>
    <phoneticPr fontId="1" type="noConversion"/>
  </si>
  <si>
    <t>Fdis</t>
    <phoneticPr fontId="1" type="noConversion"/>
  </si>
  <si>
    <t>Rao's</t>
    <phoneticPr fontId="1" type="noConversion"/>
  </si>
  <si>
    <t>PC1</t>
    <phoneticPr fontId="1" type="noConversion"/>
  </si>
  <si>
    <t>PC2</t>
  </si>
  <si>
    <t>DN</t>
  </si>
  <si>
    <t>DS</t>
  </si>
  <si>
    <t>SEA</t>
  </si>
  <si>
    <t>SC</t>
  </si>
  <si>
    <t>DBC</t>
  </si>
  <si>
    <t>SBC</t>
  </si>
  <si>
    <t>DpH</t>
  </si>
  <si>
    <t>SN</t>
  </si>
  <si>
    <t>SP</t>
  </si>
  <si>
    <t>SAV</t>
  </si>
  <si>
    <t>SpH</t>
  </si>
  <si>
    <t>VAR00003</t>
  </si>
  <si>
    <r>
      <t>.369</t>
    </r>
    <r>
      <rPr>
        <vertAlign val="superscript"/>
        <sz val="7"/>
        <color indexed="8"/>
        <rFont val="MingLiU"/>
        <family val="3"/>
        <charset val="136"/>
      </rPr>
      <t>*</t>
    </r>
  </si>
  <si>
    <t>系数</t>
    <phoneticPr fontId="1" type="noConversion"/>
  </si>
  <si>
    <t>P</t>
    <phoneticPr fontId="1" type="noConversion"/>
  </si>
  <si>
    <t>VAR00004</t>
  </si>
  <si>
    <t>VAR00005</t>
  </si>
  <si>
    <t>VAR00006</t>
  </si>
  <si>
    <t>VAR00007</t>
  </si>
  <si>
    <t>VAR00008</t>
  </si>
  <si>
    <t>VAR00009</t>
  </si>
  <si>
    <r>
      <t>.320</t>
    </r>
    <r>
      <rPr>
        <vertAlign val="superscript"/>
        <sz val="7"/>
        <color indexed="8"/>
        <rFont val="MingLiU"/>
        <family val="3"/>
        <charset val="136"/>
      </rPr>
      <t>*</t>
    </r>
  </si>
  <si>
    <t>VAR00010</t>
  </si>
  <si>
    <t>VAR00011</t>
  </si>
  <si>
    <t>VAR00012</t>
  </si>
  <si>
    <r>
      <t>.433</t>
    </r>
    <r>
      <rPr>
        <vertAlign val="superscript"/>
        <sz val="7"/>
        <color indexed="8"/>
        <rFont val="MingLiU"/>
        <family val="3"/>
        <charset val="136"/>
      </rPr>
      <t>**</t>
    </r>
  </si>
  <si>
    <t>VAR00013</t>
  </si>
  <si>
    <r>
      <t>.426</t>
    </r>
    <r>
      <rPr>
        <vertAlign val="superscript"/>
        <sz val="7"/>
        <color indexed="60"/>
        <rFont val="MingLiU"/>
        <family val="3"/>
        <charset val="136"/>
      </rPr>
      <t>**</t>
    </r>
  </si>
  <si>
    <r>
      <t>.346</t>
    </r>
    <r>
      <rPr>
        <vertAlign val="superscript"/>
        <sz val="7"/>
        <color indexed="60"/>
        <rFont val="MingLiU"/>
        <family val="3"/>
        <charset val="136"/>
      </rPr>
      <t>*</t>
    </r>
  </si>
  <si>
    <r>
      <t>.341</t>
    </r>
    <r>
      <rPr>
        <vertAlign val="superscript"/>
        <sz val="7"/>
        <color indexed="8"/>
        <rFont val="MingLiU"/>
        <family val="3"/>
        <charset val="136"/>
      </rPr>
      <t>*</t>
    </r>
    <phoneticPr fontId="1" type="noConversion"/>
  </si>
  <si>
    <t>PC2</t>
    <phoneticPr fontId="1" type="noConversion"/>
  </si>
  <si>
    <t>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</si>
</sst>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_);[Red]\(0.000\)"/>
    <numFmt numFmtId="177" formatCode="###0.0000"/>
    <numFmt numFmtId="178" formatCode="###0.00000"/>
    <numFmt numFmtId="179" formatCode="###0.000"/>
    <numFmt numFmtId="180" formatCode="0.00_ "/>
  </numFmts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name val="Arial"/>
      <family val="2"/>
    </font>
    <font>
      <sz val="7"/>
      <color indexed="60"/>
      <name val="MingLiU"/>
      <family val="3"/>
      <charset val="136"/>
    </font>
    <font>
      <vertAlign val="superscript"/>
      <sz val="7"/>
      <color indexed="8"/>
      <name val="MingLiU"/>
      <family val="3"/>
      <charset val="136"/>
    </font>
    <font>
      <sz val="7"/>
      <color indexed="8"/>
      <name val="MingLiU"/>
      <family val="3"/>
      <charset val="136"/>
    </font>
    <font>
      <vertAlign val="superscript"/>
      <sz val="7"/>
      <color indexed="60"/>
      <name val="MingLiU"/>
      <family val="3"/>
      <charset val="136"/>
    </font>
    <font>
      <sz val="7"/>
      <color indexed="8"/>
      <name val="MingLiU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1"/>
      </left>
      <right style="thin">
        <color indexed="61"/>
      </right>
      <top style="thin">
        <color indexed="63"/>
      </top>
      <bottom style="thin">
        <color indexed="62"/>
      </bottom>
      <diagonal/>
    </border>
    <border>
      <left style="thin">
        <color indexed="61"/>
      </left>
      <right style="thin">
        <color indexed="61"/>
      </right>
      <top style="thin">
        <color indexed="62"/>
      </top>
      <bottom style="thin">
        <color indexed="62"/>
      </bottom>
      <diagonal/>
    </border>
    <border>
      <left style="thin">
        <color indexed="61"/>
      </left>
      <right/>
      <top/>
      <bottom style="thin">
        <color indexed="63"/>
      </bottom>
      <diagonal/>
    </border>
    <border>
      <left style="thin">
        <color indexed="61"/>
      </left>
      <right/>
      <top style="thin">
        <color indexed="63"/>
      </top>
      <bottom style="thin">
        <color indexed="62"/>
      </bottom>
      <diagonal/>
    </border>
    <border>
      <left style="thin">
        <color indexed="61"/>
      </left>
      <right/>
      <top style="thin">
        <color indexed="62"/>
      </top>
      <bottom style="thin">
        <color indexed="62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58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/>
    <xf numFmtId="0" fontId="2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/>
    <xf numFmtId="0" fontId="4" fillId="13" borderId="1" xfId="0" applyFont="1" applyFill="1" applyBorder="1" applyAlignment="1">
      <alignment horizontal="center" vertical="center"/>
    </xf>
    <xf numFmtId="176" fontId="0" fillId="14" borderId="1" xfId="0" applyNumberFormat="1" applyFill="1" applyBorder="1" applyAlignment="1">
      <alignment horizontal="center" vertical="center"/>
    </xf>
    <xf numFmtId="176" fontId="0" fillId="0" borderId="0" xfId="0" applyNumberFormat="1"/>
    <xf numFmtId="177" fontId="8" fillId="0" borderId="4" xfId="1" applyNumberFormat="1" applyFont="1" applyBorder="1" applyAlignment="1">
      <alignment horizontal="right" vertical="top"/>
    </xf>
    <xf numFmtId="178" fontId="8" fillId="0" borderId="4" xfId="1" applyNumberFormat="1" applyFont="1" applyBorder="1" applyAlignment="1">
      <alignment horizontal="right" vertical="top"/>
    </xf>
    <xf numFmtId="0" fontId="7" fillId="0" borderId="0" xfId="1"/>
    <xf numFmtId="177" fontId="8" fillId="0" borderId="5" xfId="1" applyNumberFormat="1" applyFont="1" applyBorder="1" applyAlignment="1">
      <alignment horizontal="right" vertical="top"/>
    </xf>
    <xf numFmtId="178" fontId="8" fillId="0" borderId="5" xfId="1" applyNumberFormat="1" applyFont="1" applyBorder="1" applyAlignment="1">
      <alignment horizontal="right" vertical="top"/>
    </xf>
    <xf numFmtId="0" fontId="8" fillId="0" borderId="6" xfId="2" applyFont="1" applyBorder="1" applyAlignment="1">
      <alignment horizontal="center" wrapText="1"/>
    </xf>
    <xf numFmtId="0" fontId="7" fillId="0" borderId="0" xfId="2"/>
    <xf numFmtId="0" fontId="10" fillId="0" borderId="7" xfId="2" applyFont="1" applyBorder="1" applyAlignment="1">
      <alignment horizontal="right" vertical="top"/>
    </xf>
    <xf numFmtId="179" fontId="10" fillId="0" borderId="8" xfId="2" applyNumberFormat="1" applyFont="1" applyBorder="1" applyAlignment="1">
      <alignment horizontal="right" vertical="top"/>
    </xf>
    <xf numFmtId="179" fontId="10" fillId="0" borderId="7" xfId="2" applyNumberFormat="1" applyFont="1" applyBorder="1" applyAlignment="1">
      <alignment horizontal="right" vertical="top"/>
    </xf>
    <xf numFmtId="179" fontId="8" fillId="0" borderId="7" xfId="2" applyNumberFormat="1" applyFont="1" applyBorder="1" applyAlignment="1">
      <alignment horizontal="right" vertical="top"/>
    </xf>
    <xf numFmtId="179" fontId="8" fillId="0" borderId="8" xfId="2" applyNumberFormat="1" applyFont="1" applyBorder="1" applyAlignment="1">
      <alignment horizontal="right" vertical="top"/>
    </xf>
    <xf numFmtId="179" fontId="8" fillId="0" borderId="4" xfId="2" applyNumberFormat="1" applyFont="1" applyBorder="1" applyAlignment="1">
      <alignment horizontal="right" vertical="top"/>
    </xf>
    <xf numFmtId="0" fontId="8" fillId="0" borderId="4" xfId="2" applyFont="1" applyBorder="1" applyAlignment="1">
      <alignment horizontal="right" vertical="top"/>
    </xf>
    <xf numFmtId="179" fontId="8" fillId="0" borderId="5" xfId="2" applyNumberFormat="1" applyFont="1" applyBorder="1" applyAlignment="1">
      <alignment horizontal="right" vertical="top"/>
    </xf>
    <xf numFmtId="0" fontId="12" fillId="0" borderId="7" xfId="2" applyFont="1" applyBorder="1" applyAlignment="1">
      <alignment horizontal="right" vertical="top"/>
    </xf>
    <xf numFmtId="180" fontId="0" fillId="0" borderId="0" xfId="0" applyNumberFormat="1" applyAlignment="1">
      <alignment horizontal="center" vertical="center"/>
    </xf>
    <xf numFmtId="180" fontId="0" fillId="0" borderId="0" xfId="0" applyNumberFormat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6" fontId="0" fillId="8" borderId="1" xfId="0" applyNumberFormat="1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6" fontId="2" fillId="14" borderId="1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_FD与CWM" xfId="1" xr:uid="{E615F42C-8646-40C3-873F-B6E115360E43}"/>
    <cellStyle name="常规_性状降维" xfId="2" xr:uid="{59433FB0-0029-449A-A70F-2616D4C5CA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1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T7" sqref="T7"/>
    </sheetView>
  </sheetViews>
  <sheetFormatPr defaultRowHeight="13.95" x14ac:dyDescent="0.25"/>
  <cols>
    <col min="1" max="1" width="8.88671875" style="2"/>
    <col min="2" max="2" width="11.6640625" style="1" bestFit="1" customWidth="1"/>
    <col min="3" max="16" width="8.88671875" style="1"/>
    <col min="17" max="17" width="11.5546875" style="1" bestFit="1" customWidth="1"/>
    <col min="18" max="19" width="11.77734375" style="1" bestFit="1" customWidth="1"/>
    <col min="20" max="20" width="16.109375" style="1" bestFit="1" customWidth="1"/>
    <col min="21" max="21" width="12.88671875" style="1" bestFit="1" customWidth="1"/>
    <col min="23" max="24" width="7.88671875" bestFit="1" customWidth="1"/>
    <col min="25" max="25" width="12.21875" bestFit="1" customWidth="1"/>
  </cols>
  <sheetData>
    <row r="1" spans="1:25" x14ac:dyDescent="0.25">
      <c r="A1" s="2" t="s">
        <v>78</v>
      </c>
      <c r="B1" s="1" t="s">
        <v>0</v>
      </c>
      <c r="C1" s="1" t="s">
        <v>4</v>
      </c>
      <c r="D1" s="1" t="s">
        <v>4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</v>
      </c>
      <c r="J1" s="1" t="s">
        <v>7</v>
      </c>
      <c r="K1" s="1" t="s">
        <v>8</v>
      </c>
      <c r="L1" s="1" t="s">
        <v>8</v>
      </c>
      <c r="M1" s="1" t="s">
        <v>8</v>
      </c>
      <c r="N1" s="1" t="s">
        <v>1</v>
      </c>
      <c r="O1" s="1" t="s">
        <v>3</v>
      </c>
      <c r="P1" s="1" t="s">
        <v>2</v>
      </c>
      <c r="Q1" s="1" t="s">
        <v>12</v>
      </c>
      <c r="R1" s="1" t="s">
        <v>9</v>
      </c>
      <c r="S1" s="1" t="s">
        <v>10</v>
      </c>
      <c r="T1" s="1" t="s">
        <v>13</v>
      </c>
      <c r="U1" s="1" t="s">
        <v>11</v>
      </c>
      <c r="V1" s="15"/>
      <c r="W1" s="1" t="s">
        <v>3</v>
      </c>
      <c r="X1" s="1" t="s">
        <v>2</v>
      </c>
      <c r="Y1" s="1" t="s">
        <v>12</v>
      </c>
    </row>
    <row r="2" spans="1:25" x14ac:dyDescent="0.25">
      <c r="A2" s="12" t="s">
        <v>69</v>
      </c>
      <c r="B2" s="5" t="s">
        <v>71</v>
      </c>
      <c r="C2" s="5">
        <v>7.8</v>
      </c>
      <c r="D2" s="5">
        <v>6</v>
      </c>
      <c r="E2" s="5">
        <v>5</v>
      </c>
      <c r="F2" s="5">
        <v>49</v>
      </c>
      <c r="G2" s="5">
        <v>2.38</v>
      </c>
      <c r="H2" s="5">
        <v>28.2</v>
      </c>
      <c r="I2" s="5">
        <v>48</v>
      </c>
      <c r="J2" s="5">
        <v>32.200000000000003</v>
      </c>
      <c r="K2" s="5">
        <v>0.15</v>
      </c>
      <c r="L2" s="5">
        <v>0.2</v>
      </c>
      <c r="M2" s="5">
        <v>0.14000000000000001</v>
      </c>
      <c r="N2" s="5">
        <v>5</v>
      </c>
      <c r="O2" s="5">
        <v>0.4123</v>
      </c>
      <c r="P2" s="5">
        <v>5.3100000000000001E-2</v>
      </c>
      <c r="Q2" s="5">
        <v>0.65259999999999996</v>
      </c>
      <c r="R2" s="5"/>
      <c r="S2" s="5"/>
      <c r="T2" s="5"/>
      <c r="U2" s="5">
        <v>1829</v>
      </c>
      <c r="V2">
        <f t="shared" ref="V2:V65" si="0">U2/N2</f>
        <v>365.8</v>
      </c>
      <c r="W2">
        <f t="shared" ref="W2:W65" si="1">O2/N2</f>
        <v>8.2460000000000006E-2</v>
      </c>
      <c r="X2">
        <f t="shared" ref="X2:X65" si="2">P2/N2</f>
        <v>1.0620000000000001E-2</v>
      </c>
      <c r="Y2">
        <f t="shared" ref="Y2:Y65" si="3">Q2/N2</f>
        <v>0.13052</v>
      </c>
    </row>
    <row r="3" spans="1:25" x14ac:dyDescent="0.25">
      <c r="A3" s="12"/>
      <c r="B3" s="6" t="s">
        <v>70</v>
      </c>
      <c r="C3" s="6">
        <v>10</v>
      </c>
      <c r="D3" s="6">
        <v>13</v>
      </c>
      <c r="E3" s="6">
        <v>8</v>
      </c>
      <c r="F3" s="6">
        <v>85</v>
      </c>
      <c r="G3" s="6">
        <v>7.05</v>
      </c>
      <c r="H3" s="6">
        <v>31.5</v>
      </c>
      <c r="I3" s="6">
        <v>45.6</v>
      </c>
      <c r="J3" s="6">
        <v>38.299999999999997</v>
      </c>
      <c r="K3" s="6">
        <v>7.0000000000000007E-2</v>
      </c>
      <c r="L3" s="6">
        <v>0.14000000000000001</v>
      </c>
      <c r="M3" s="6">
        <v>0.14000000000000001</v>
      </c>
      <c r="N3" s="6">
        <v>5</v>
      </c>
      <c r="O3" s="6">
        <v>0.21790000000000001</v>
      </c>
      <c r="P3" s="6">
        <v>0.1079</v>
      </c>
      <c r="Q3" s="6">
        <v>0.39429999999999998</v>
      </c>
      <c r="R3" s="6">
        <v>0.65</v>
      </c>
      <c r="S3" s="6">
        <v>170</v>
      </c>
      <c r="T3" s="6">
        <f>(R3/2)^2*3.14*2*R3</f>
        <v>0.43116125000000005</v>
      </c>
      <c r="U3" s="6"/>
      <c r="V3">
        <f t="shared" si="0"/>
        <v>0</v>
      </c>
      <c r="W3">
        <f t="shared" si="1"/>
        <v>4.3580000000000001E-2</v>
      </c>
      <c r="X3">
        <f t="shared" si="2"/>
        <v>2.1579999999999998E-2</v>
      </c>
      <c r="Y3">
        <f t="shared" si="3"/>
        <v>7.886E-2</v>
      </c>
    </row>
    <row r="4" spans="1:25" x14ac:dyDescent="0.25">
      <c r="A4" s="12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>
        <v>0.89</v>
      </c>
      <c r="S4" s="6">
        <v>142</v>
      </c>
      <c r="T4" s="6">
        <f>(R4/2)^2*3.14*2*R4</f>
        <v>1.1068013300000001</v>
      </c>
      <c r="U4" s="6"/>
      <c r="V4" t="e">
        <f t="shared" si="0"/>
        <v>#DIV/0!</v>
      </c>
      <c r="W4" t="e">
        <f t="shared" si="1"/>
        <v>#DIV/0!</v>
      </c>
      <c r="X4" t="e">
        <f t="shared" si="2"/>
        <v>#DIV/0!</v>
      </c>
      <c r="Y4" t="e">
        <f t="shared" si="3"/>
        <v>#DIV/0!</v>
      </c>
    </row>
    <row r="5" spans="1:25" x14ac:dyDescent="0.25">
      <c r="A5" s="12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>
        <v>0.43</v>
      </c>
      <c r="S5" s="6">
        <v>132</v>
      </c>
      <c r="T5" s="6">
        <f>(R5/2)^2*3.14*2*R5</f>
        <v>0.12482598999999998</v>
      </c>
      <c r="U5" s="6"/>
      <c r="V5" t="e">
        <f t="shared" si="0"/>
        <v>#DIV/0!</v>
      </c>
      <c r="W5" t="e">
        <f t="shared" si="1"/>
        <v>#DIV/0!</v>
      </c>
      <c r="X5" t="e">
        <f t="shared" si="2"/>
        <v>#DIV/0!</v>
      </c>
      <c r="Y5" t="e">
        <f t="shared" si="3"/>
        <v>#DIV/0!</v>
      </c>
    </row>
    <row r="6" spans="1:25" x14ac:dyDescent="0.25">
      <c r="A6" s="12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>
        <v>0.4</v>
      </c>
      <c r="S6" s="6">
        <v>166</v>
      </c>
      <c r="T6" s="6">
        <f>(R6/2)^2*3.14*2*R6</f>
        <v>0.10048000000000001</v>
      </c>
      <c r="U6" s="6"/>
      <c r="V6" t="e">
        <f t="shared" si="0"/>
        <v>#DIV/0!</v>
      </c>
      <c r="W6" t="e">
        <f t="shared" si="1"/>
        <v>#DIV/0!</v>
      </c>
      <c r="X6" t="e">
        <f t="shared" si="2"/>
        <v>#DIV/0!</v>
      </c>
      <c r="Y6" t="e">
        <f t="shared" si="3"/>
        <v>#DIV/0!</v>
      </c>
    </row>
    <row r="7" spans="1:25" x14ac:dyDescent="0.25">
      <c r="A7" s="12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>
        <v>0.72</v>
      </c>
      <c r="S7" s="6">
        <v>119</v>
      </c>
      <c r="T7" s="6">
        <f>(R7/2)^2*3.14*2*R7</f>
        <v>0.58599935999999997</v>
      </c>
      <c r="U7" s="6">
        <f>AVERAGEA(T3:T7)</f>
        <v>0.46985358599999999</v>
      </c>
      <c r="V7" t="e">
        <f t="shared" si="0"/>
        <v>#DIV/0!</v>
      </c>
      <c r="W7" t="e">
        <f t="shared" si="1"/>
        <v>#DIV/0!</v>
      </c>
      <c r="X7" t="e">
        <f t="shared" si="2"/>
        <v>#DIV/0!</v>
      </c>
      <c r="Y7" t="e">
        <f t="shared" si="3"/>
        <v>#DIV/0!</v>
      </c>
    </row>
    <row r="8" spans="1:25" x14ac:dyDescent="0.25">
      <c r="A8" s="12"/>
      <c r="B8" s="7" t="s">
        <v>17</v>
      </c>
      <c r="C8" s="7">
        <v>22.3</v>
      </c>
      <c r="D8" s="7">
        <v>23</v>
      </c>
      <c r="E8" s="7">
        <v>15</v>
      </c>
      <c r="F8" s="7">
        <v>106</v>
      </c>
      <c r="G8" s="7">
        <v>22.1</v>
      </c>
      <c r="H8" s="7">
        <v>21.1</v>
      </c>
      <c r="I8" s="7">
        <v>28.7</v>
      </c>
      <c r="J8" s="7">
        <v>39.4</v>
      </c>
      <c r="K8" s="7">
        <v>0.04</v>
      </c>
      <c r="L8" s="7">
        <v>0.03</v>
      </c>
      <c r="M8" s="7">
        <v>0.02</v>
      </c>
      <c r="N8" s="7">
        <v>10</v>
      </c>
      <c r="O8" s="7">
        <v>0.20830000000000001</v>
      </c>
      <c r="P8" s="7">
        <v>9.2499999999999999E-2</v>
      </c>
      <c r="Q8" s="7">
        <v>0.26529999999999998</v>
      </c>
      <c r="R8" s="7"/>
      <c r="S8" s="7"/>
      <c r="T8" s="7"/>
      <c r="U8" s="7">
        <v>1878</v>
      </c>
      <c r="V8">
        <f t="shared" si="0"/>
        <v>187.8</v>
      </c>
      <c r="W8">
        <f t="shared" si="1"/>
        <v>2.0830000000000001E-2</v>
      </c>
      <c r="X8">
        <f t="shared" si="2"/>
        <v>9.2499999999999995E-3</v>
      </c>
      <c r="Y8">
        <f t="shared" si="3"/>
        <v>2.6529999999999998E-2</v>
      </c>
    </row>
    <row r="9" spans="1:25" x14ac:dyDescent="0.25">
      <c r="A9" s="12"/>
      <c r="B9" s="8" t="s">
        <v>15</v>
      </c>
      <c r="C9" s="8">
        <v>23</v>
      </c>
      <c r="D9" s="8">
        <v>7</v>
      </c>
      <c r="E9" s="8">
        <v>18</v>
      </c>
      <c r="F9" s="8">
        <v>1100</v>
      </c>
      <c r="G9" s="8">
        <v>90.55</v>
      </c>
      <c r="H9" s="8">
        <v>6.4</v>
      </c>
      <c r="I9" s="8">
        <v>10.3</v>
      </c>
      <c r="J9" s="8">
        <v>14.3</v>
      </c>
      <c r="K9" s="8">
        <v>0.99</v>
      </c>
      <c r="L9" s="8">
        <v>0.78</v>
      </c>
      <c r="M9" s="8">
        <v>0.67</v>
      </c>
      <c r="N9" s="8">
        <v>20</v>
      </c>
      <c r="O9" s="8">
        <v>0.32640000000000002</v>
      </c>
      <c r="P9" s="8">
        <v>2.9000000000000001E-2</v>
      </c>
      <c r="Q9" s="8">
        <v>0.4148</v>
      </c>
      <c r="R9" s="8">
        <v>1.2</v>
      </c>
      <c r="S9" s="8">
        <v>16</v>
      </c>
      <c r="T9" s="8">
        <f>(R9/2)^2*3.14*2*R9</f>
        <v>2.7129600000000003</v>
      </c>
      <c r="U9" s="8"/>
      <c r="V9">
        <f t="shared" si="0"/>
        <v>0</v>
      </c>
      <c r="W9">
        <f t="shared" si="1"/>
        <v>1.6320000000000001E-2</v>
      </c>
      <c r="X9">
        <f t="shared" si="2"/>
        <v>1.4500000000000001E-3</v>
      </c>
      <c r="Y9">
        <f t="shared" si="3"/>
        <v>2.0740000000000001E-2</v>
      </c>
    </row>
    <row r="10" spans="1:25" x14ac:dyDescent="0.25">
      <c r="A10" s="12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>
        <v>0.96</v>
      </c>
      <c r="S10" s="8">
        <v>18</v>
      </c>
      <c r="T10" s="8">
        <f>(R10/2)^2*3.14*2*R10</f>
        <v>1.38903552</v>
      </c>
      <c r="U10" s="8"/>
      <c r="V10" t="e">
        <f t="shared" si="0"/>
        <v>#DIV/0!</v>
      </c>
      <c r="W10" t="e">
        <f t="shared" si="1"/>
        <v>#DIV/0!</v>
      </c>
      <c r="X10" t="e">
        <f t="shared" si="2"/>
        <v>#DIV/0!</v>
      </c>
      <c r="Y10" t="e">
        <f t="shared" si="3"/>
        <v>#DIV/0!</v>
      </c>
    </row>
    <row r="11" spans="1:25" x14ac:dyDescent="0.25">
      <c r="A11" s="12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>
        <v>0.88</v>
      </c>
      <c r="S11" s="8">
        <v>11</v>
      </c>
      <c r="T11" s="8">
        <f>(R11/2)^2*3.14*2*R11</f>
        <v>1.06991104</v>
      </c>
      <c r="U11" s="8"/>
      <c r="V11" t="e">
        <f t="shared" si="0"/>
        <v>#DIV/0!</v>
      </c>
      <c r="W11" t="e">
        <f t="shared" si="1"/>
        <v>#DIV/0!</v>
      </c>
      <c r="X11" t="e">
        <f t="shared" si="2"/>
        <v>#DIV/0!</v>
      </c>
      <c r="Y11" t="e">
        <f t="shared" si="3"/>
        <v>#DIV/0!</v>
      </c>
    </row>
    <row r="12" spans="1:25" x14ac:dyDescent="0.25">
      <c r="A12" s="12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>
        <v>0.78</v>
      </c>
      <c r="S12" s="8">
        <v>7</v>
      </c>
      <c r="T12" s="8">
        <f>(R12/2)^2*3.14*2*R12</f>
        <v>0.74504664000000009</v>
      </c>
      <c r="U12" s="8"/>
      <c r="V12" t="e">
        <f t="shared" si="0"/>
        <v>#DIV/0!</v>
      </c>
      <c r="W12" t="e">
        <f t="shared" si="1"/>
        <v>#DIV/0!</v>
      </c>
      <c r="X12" t="e">
        <f t="shared" si="2"/>
        <v>#DIV/0!</v>
      </c>
      <c r="Y12" t="e">
        <f t="shared" si="3"/>
        <v>#DIV/0!</v>
      </c>
    </row>
    <row r="13" spans="1:25" x14ac:dyDescent="0.25">
      <c r="A13" s="12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>
        <v>0.97</v>
      </c>
      <c r="S13" s="8">
        <v>6</v>
      </c>
      <c r="T13" s="8">
        <f>(R13/2)^2*3.14*2*R13</f>
        <v>1.4328966099999998</v>
      </c>
      <c r="U13" s="8">
        <f>AVERAGEA(T9:T13)</f>
        <v>1.469969962</v>
      </c>
      <c r="V13" t="e">
        <f t="shared" si="0"/>
        <v>#DIV/0!</v>
      </c>
      <c r="W13" t="e">
        <f t="shared" si="1"/>
        <v>#DIV/0!</v>
      </c>
      <c r="X13" t="e">
        <f t="shared" si="2"/>
        <v>#DIV/0!</v>
      </c>
      <c r="Y13" t="e">
        <f t="shared" si="3"/>
        <v>#DIV/0!</v>
      </c>
    </row>
    <row r="14" spans="1:25" x14ac:dyDescent="0.25">
      <c r="A14" s="12" t="s">
        <v>72</v>
      </c>
      <c r="B14" s="5" t="s">
        <v>23</v>
      </c>
      <c r="C14" s="5">
        <v>7</v>
      </c>
      <c r="D14" s="5"/>
      <c r="E14" s="5"/>
      <c r="F14" s="5">
        <v>1</v>
      </c>
      <c r="G14" s="5">
        <v>0.01</v>
      </c>
      <c r="H14" s="5">
        <v>30.7</v>
      </c>
      <c r="I14" s="5">
        <v>33.299999999999997</v>
      </c>
      <c r="J14" s="5">
        <v>28.2</v>
      </c>
      <c r="K14" s="5">
        <v>0.19</v>
      </c>
      <c r="L14" s="5">
        <v>0.16</v>
      </c>
      <c r="M14" s="5">
        <v>0.17</v>
      </c>
      <c r="N14" s="5">
        <v>5</v>
      </c>
      <c r="O14" s="5">
        <v>5.9700000000000003E-2</v>
      </c>
      <c r="P14" s="5">
        <v>1.03E-2</v>
      </c>
      <c r="Q14" s="5">
        <v>0.12970000000000001</v>
      </c>
      <c r="R14" s="5"/>
      <c r="S14" s="5"/>
      <c r="T14" s="5"/>
      <c r="U14" s="5">
        <v>469</v>
      </c>
      <c r="V14">
        <f t="shared" si="0"/>
        <v>93.8</v>
      </c>
      <c r="W14">
        <f t="shared" si="1"/>
        <v>1.1940000000000001E-2</v>
      </c>
      <c r="X14">
        <f t="shared" si="2"/>
        <v>2.0600000000000002E-3</v>
      </c>
      <c r="Y14">
        <f t="shared" si="3"/>
        <v>2.5940000000000001E-2</v>
      </c>
    </row>
    <row r="15" spans="1:25" x14ac:dyDescent="0.25">
      <c r="A15" s="12"/>
      <c r="B15" s="6" t="s">
        <v>75</v>
      </c>
      <c r="C15" s="6">
        <v>8</v>
      </c>
      <c r="D15" s="6">
        <v>6.5</v>
      </c>
      <c r="E15" s="6">
        <v>5</v>
      </c>
      <c r="F15" s="6">
        <v>35</v>
      </c>
      <c r="G15" s="6">
        <v>3.6</v>
      </c>
      <c r="H15" s="6">
        <v>43.9</v>
      </c>
      <c r="I15" s="6">
        <v>49.5</v>
      </c>
      <c r="J15" s="6">
        <v>54.5</v>
      </c>
      <c r="K15" s="6">
        <v>0.33</v>
      </c>
      <c r="L15" s="6">
        <v>0.25</v>
      </c>
      <c r="M15" s="6">
        <v>0.25</v>
      </c>
      <c r="N15" s="6">
        <v>5</v>
      </c>
      <c r="O15" s="6">
        <v>0.57099999999999995</v>
      </c>
      <c r="P15" s="6">
        <v>7.1800000000000003E-2</v>
      </c>
      <c r="Q15" s="6">
        <v>0.71250000000000002</v>
      </c>
      <c r="R15" s="6"/>
      <c r="S15" s="6"/>
      <c r="T15" s="6"/>
      <c r="U15" s="6">
        <v>2797</v>
      </c>
      <c r="V15">
        <f t="shared" si="0"/>
        <v>559.4</v>
      </c>
      <c r="W15">
        <f t="shared" si="1"/>
        <v>0.1142</v>
      </c>
      <c r="X15">
        <f t="shared" si="2"/>
        <v>1.4360000000000001E-2</v>
      </c>
      <c r="Y15">
        <f t="shared" si="3"/>
        <v>0.14250000000000002</v>
      </c>
    </row>
    <row r="16" spans="1:25" x14ac:dyDescent="0.25">
      <c r="A16" s="12"/>
      <c r="B16" s="7" t="s">
        <v>74</v>
      </c>
      <c r="C16" s="7">
        <v>5.8</v>
      </c>
      <c r="D16" s="7">
        <v>7.5</v>
      </c>
      <c r="E16" s="7">
        <v>4.5</v>
      </c>
      <c r="F16" s="7">
        <v>7</v>
      </c>
      <c r="G16" s="7">
        <v>0.34</v>
      </c>
      <c r="H16" s="7">
        <v>56.7</v>
      </c>
      <c r="I16" s="7">
        <v>48.1</v>
      </c>
      <c r="J16" s="7">
        <v>37.5</v>
      </c>
      <c r="K16" s="7">
        <v>0.33</v>
      </c>
      <c r="L16" s="7">
        <v>0.24</v>
      </c>
      <c r="M16" s="7">
        <v>0.21</v>
      </c>
      <c r="N16" s="7">
        <v>5</v>
      </c>
      <c r="O16" s="7">
        <v>0.54979999999999996</v>
      </c>
      <c r="P16" s="7">
        <v>9.8900000000000002E-2</v>
      </c>
      <c r="Q16" s="7">
        <v>0.89570000000000005</v>
      </c>
      <c r="R16" s="7"/>
      <c r="S16" s="7"/>
      <c r="T16" s="7"/>
      <c r="U16" s="7">
        <v>2147</v>
      </c>
      <c r="V16">
        <f t="shared" si="0"/>
        <v>429.4</v>
      </c>
      <c r="W16">
        <f t="shared" si="1"/>
        <v>0.10995999999999999</v>
      </c>
      <c r="X16">
        <f t="shared" si="2"/>
        <v>1.9779999999999999E-2</v>
      </c>
      <c r="Y16">
        <f t="shared" si="3"/>
        <v>0.17914000000000002</v>
      </c>
    </row>
    <row r="17" spans="1:25" x14ac:dyDescent="0.25">
      <c r="A17" s="12"/>
      <c r="B17" s="8" t="s">
        <v>71</v>
      </c>
      <c r="C17" s="8">
        <v>15</v>
      </c>
      <c r="D17" s="8">
        <v>9.5</v>
      </c>
      <c r="E17" s="8">
        <v>4</v>
      </c>
      <c r="F17" s="8">
        <v>69</v>
      </c>
      <c r="G17" s="8">
        <v>6.53</v>
      </c>
      <c r="H17" s="8">
        <v>52.1</v>
      </c>
      <c r="I17" s="8">
        <v>49.1</v>
      </c>
      <c r="J17" s="8">
        <v>47.2</v>
      </c>
      <c r="K17" s="8">
        <v>0.36</v>
      </c>
      <c r="L17" s="8">
        <v>0.38</v>
      </c>
      <c r="M17" s="8">
        <v>0.4</v>
      </c>
      <c r="N17" s="8">
        <v>5</v>
      </c>
      <c r="O17" s="8">
        <v>0.85270000000000001</v>
      </c>
      <c r="P17" s="8">
        <v>0.10349999999999999</v>
      </c>
      <c r="Q17" s="8">
        <v>1.1639999999999999</v>
      </c>
      <c r="R17" s="8"/>
      <c r="S17" s="8"/>
      <c r="T17" s="8"/>
      <c r="U17" s="8">
        <v>4055</v>
      </c>
      <c r="V17">
        <f t="shared" si="0"/>
        <v>811</v>
      </c>
      <c r="W17">
        <f t="shared" si="1"/>
        <v>0.17054</v>
      </c>
      <c r="X17">
        <f t="shared" si="2"/>
        <v>2.07E-2</v>
      </c>
      <c r="Y17">
        <f t="shared" si="3"/>
        <v>0.23279999999999998</v>
      </c>
    </row>
    <row r="18" spans="1:25" x14ac:dyDescent="0.25">
      <c r="A18" s="12"/>
      <c r="B18" s="5" t="s">
        <v>15</v>
      </c>
      <c r="C18" s="5">
        <v>20.5</v>
      </c>
      <c r="D18" s="5">
        <v>18.5</v>
      </c>
      <c r="E18" s="5">
        <v>8</v>
      </c>
      <c r="F18" s="5">
        <v>193</v>
      </c>
      <c r="G18" s="5">
        <v>36.44</v>
      </c>
      <c r="H18" s="5">
        <v>8.1</v>
      </c>
      <c r="I18" s="5">
        <v>7.9</v>
      </c>
      <c r="J18" s="5">
        <v>6.8</v>
      </c>
      <c r="K18" s="5">
        <v>0.33</v>
      </c>
      <c r="L18" s="5">
        <v>0.64</v>
      </c>
      <c r="M18" s="5">
        <v>0.5</v>
      </c>
      <c r="N18" s="5">
        <v>20</v>
      </c>
      <c r="O18" s="5">
        <v>0.2432</v>
      </c>
      <c r="P18" s="5">
        <v>2.9100000000000001E-2</v>
      </c>
      <c r="Q18" s="5">
        <v>0.38119999999999998</v>
      </c>
      <c r="R18" s="5">
        <v>0.66</v>
      </c>
      <c r="S18" s="5">
        <v>19</v>
      </c>
      <c r="T18" s="5">
        <f>(R18/2)^2*3.14*2*R18</f>
        <v>0.45136872000000006</v>
      </c>
      <c r="U18" s="5"/>
      <c r="V18">
        <f t="shared" si="0"/>
        <v>0</v>
      </c>
      <c r="W18">
        <f t="shared" si="1"/>
        <v>1.2160000000000001E-2</v>
      </c>
      <c r="X18">
        <f t="shared" si="2"/>
        <v>1.4550000000000001E-3</v>
      </c>
      <c r="Y18">
        <f t="shared" si="3"/>
        <v>1.9060000000000001E-2</v>
      </c>
    </row>
    <row r="19" spans="1:25" x14ac:dyDescent="0.25">
      <c r="A19" s="12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>
        <v>0.89</v>
      </c>
      <c r="S19" s="5">
        <v>10</v>
      </c>
      <c r="T19" s="5">
        <f>(R19/2)^2*3.14*2*R19</f>
        <v>1.1068013300000001</v>
      </c>
      <c r="U19" s="5"/>
      <c r="V19" t="e">
        <f t="shared" si="0"/>
        <v>#DIV/0!</v>
      </c>
      <c r="W19" t="e">
        <f t="shared" si="1"/>
        <v>#DIV/0!</v>
      </c>
      <c r="X19" t="e">
        <f t="shared" si="2"/>
        <v>#DIV/0!</v>
      </c>
      <c r="Y19" t="e">
        <f t="shared" si="3"/>
        <v>#DIV/0!</v>
      </c>
    </row>
    <row r="20" spans="1:25" x14ac:dyDescent="0.25">
      <c r="A20" s="12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>
        <v>0.92</v>
      </c>
      <c r="S20" s="5">
        <v>9</v>
      </c>
      <c r="T20" s="5">
        <f>(R20/2)^2*3.14*2*R20</f>
        <v>1.2225401600000001</v>
      </c>
      <c r="U20" s="5"/>
      <c r="V20" t="e">
        <f t="shared" si="0"/>
        <v>#DIV/0!</v>
      </c>
      <c r="W20" t="e">
        <f t="shared" si="1"/>
        <v>#DIV/0!</v>
      </c>
      <c r="X20" t="e">
        <f t="shared" si="2"/>
        <v>#DIV/0!</v>
      </c>
      <c r="Y20" t="e">
        <f t="shared" si="3"/>
        <v>#DIV/0!</v>
      </c>
    </row>
    <row r="21" spans="1:25" x14ac:dyDescent="0.25">
      <c r="A21" s="12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>
        <v>0.79</v>
      </c>
      <c r="S21" s="5">
        <v>11</v>
      </c>
      <c r="T21" s="5">
        <f>(R21/2)^2*3.14*2*R21</f>
        <v>0.77407123000000022</v>
      </c>
      <c r="U21" s="5"/>
      <c r="V21" t="e">
        <f t="shared" si="0"/>
        <v>#DIV/0!</v>
      </c>
      <c r="W21" t="e">
        <f t="shared" si="1"/>
        <v>#DIV/0!</v>
      </c>
      <c r="X21" t="e">
        <f t="shared" si="2"/>
        <v>#DIV/0!</v>
      </c>
      <c r="Y21" t="e">
        <f t="shared" si="3"/>
        <v>#DIV/0!</v>
      </c>
    </row>
    <row r="22" spans="1:25" x14ac:dyDescent="0.25">
      <c r="A22" s="12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>
        <v>0.56999999999999995</v>
      </c>
      <c r="S22" s="5">
        <v>8</v>
      </c>
      <c r="T22" s="5">
        <f>(R22/2)^2*3.14*2*R22</f>
        <v>0.29075300999999998</v>
      </c>
      <c r="U22" s="5">
        <f>AVERAGEA(T18:T22)</f>
        <v>0.7691068900000001</v>
      </c>
      <c r="V22" t="e">
        <f t="shared" si="0"/>
        <v>#DIV/0!</v>
      </c>
      <c r="W22" t="e">
        <f t="shared" si="1"/>
        <v>#DIV/0!</v>
      </c>
      <c r="X22" t="e">
        <f t="shared" si="2"/>
        <v>#DIV/0!</v>
      </c>
      <c r="Y22" t="e">
        <f t="shared" si="3"/>
        <v>#DIV/0!</v>
      </c>
    </row>
    <row r="23" spans="1:25" x14ac:dyDescent="0.25">
      <c r="A23" s="12"/>
      <c r="B23" s="6" t="s">
        <v>73</v>
      </c>
      <c r="C23" s="6">
        <v>18</v>
      </c>
      <c r="D23" s="6">
        <v>15</v>
      </c>
      <c r="E23" s="6">
        <v>5</v>
      </c>
      <c r="F23" s="6">
        <v>55</v>
      </c>
      <c r="G23" s="6">
        <v>5.68</v>
      </c>
      <c r="H23" s="6">
        <v>38.200000000000003</v>
      </c>
      <c r="I23" s="6">
        <v>37.1</v>
      </c>
      <c r="J23" s="6">
        <v>33.4</v>
      </c>
      <c r="K23" s="6">
        <v>7.0000000000000007E-2</v>
      </c>
      <c r="L23" s="6">
        <v>0.11</v>
      </c>
      <c r="M23" s="6">
        <v>0.06</v>
      </c>
      <c r="N23" s="6">
        <v>5</v>
      </c>
      <c r="O23" s="6">
        <v>0.11609999999999999</v>
      </c>
      <c r="P23" s="6">
        <v>3.44E-2</v>
      </c>
      <c r="Q23" s="6">
        <v>0.19550000000000001</v>
      </c>
      <c r="R23" s="6"/>
      <c r="S23" s="6"/>
      <c r="T23" s="6"/>
      <c r="U23" s="6">
        <v>1448</v>
      </c>
      <c r="V23">
        <f t="shared" si="0"/>
        <v>289.60000000000002</v>
      </c>
      <c r="W23">
        <f t="shared" si="1"/>
        <v>2.3219999999999998E-2</v>
      </c>
      <c r="X23">
        <f t="shared" si="2"/>
        <v>6.8799999999999998E-3</v>
      </c>
      <c r="Y23">
        <f t="shared" si="3"/>
        <v>3.9100000000000003E-2</v>
      </c>
    </row>
    <row r="24" spans="1:25" x14ac:dyDescent="0.25">
      <c r="A24" s="12"/>
      <c r="B24" s="7" t="s">
        <v>129</v>
      </c>
      <c r="C24" s="7">
        <v>12.3</v>
      </c>
      <c r="D24" s="7">
        <v>15</v>
      </c>
      <c r="E24" s="7">
        <v>7.5</v>
      </c>
      <c r="F24" s="7">
        <v>308</v>
      </c>
      <c r="G24" s="7">
        <v>9.32</v>
      </c>
      <c r="H24" s="7">
        <v>8.6999999999999993</v>
      </c>
      <c r="I24" s="7">
        <v>5.9</v>
      </c>
      <c r="J24" s="7">
        <v>4.0999999999999996</v>
      </c>
      <c r="K24" s="7">
        <v>0.22</v>
      </c>
      <c r="L24" s="7">
        <v>0.15</v>
      </c>
      <c r="M24" s="7">
        <v>0.16</v>
      </c>
      <c r="N24" s="7">
        <v>20</v>
      </c>
      <c r="O24" s="7">
        <v>4.3299999999999998E-2</v>
      </c>
      <c r="P24" s="7">
        <v>1.52E-2</v>
      </c>
      <c r="Q24" s="7">
        <v>7.6399999999999996E-2</v>
      </c>
      <c r="R24" s="7"/>
      <c r="S24" s="7"/>
      <c r="T24" s="7"/>
      <c r="U24" s="7">
        <v>469</v>
      </c>
      <c r="V24">
        <f t="shared" si="0"/>
        <v>23.45</v>
      </c>
      <c r="W24">
        <f t="shared" si="1"/>
        <v>2.1649999999999998E-3</v>
      </c>
      <c r="X24">
        <f t="shared" si="2"/>
        <v>7.6000000000000004E-4</v>
      </c>
      <c r="Y24">
        <f t="shared" si="3"/>
        <v>3.8199999999999996E-3</v>
      </c>
    </row>
    <row r="25" spans="1:25" x14ac:dyDescent="0.25">
      <c r="A25" s="12"/>
      <c r="B25" s="8" t="s">
        <v>16</v>
      </c>
      <c r="C25" s="8">
        <v>10.5</v>
      </c>
      <c r="D25" s="8">
        <v>7</v>
      </c>
      <c r="E25" s="8">
        <v>8</v>
      </c>
      <c r="F25" s="8">
        <v>16</v>
      </c>
      <c r="G25" s="8">
        <v>0.48</v>
      </c>
      <c r="H25" s="8">
        <v>9.1</v>
      </c>
      <c r="I25" s="8">
        <v>9.5</v>
      </c>
      <c r="J25" s="8">
        <v>16.7</v>
      </c>
      <c r="K25" s="8">
        <v>0.15</v>
      </c>
      <c r="L25" s="8">
        <v>0.15</v>
      </c>
      <c r="M25" s="8">
        <v>0.03</v>
      </c>
      <c r="N25" s="8">
        <v>15</v>
      </c>
      <c r="O25" s="8">
        <v>4.4200000000000003E-2</v>
      </c>
      <c r="P25" s="8">
        <v>2.0500000000000001E-2</v>
      </c>
      <c r="Q25" s="8">
        <v>7.9799999999999996E-2</v>
      </c>
      <c r="R25" s="8">
        <v>0.22</v>
      </c>
      <c r="S25" s="8">
        <v>57</v>
      </c>
      <c r="T25" s="8">
        <f>(R25/2)^2*3.14*2*R25</f>
        <v>1.6717360000000001E-2</v>
      </c>
      <c r="U25" s="8"/>
      <c r="V25">
        <f t="shared" si="0"/>
        <v>0</v>
      </c>
      <c r="W25">
        <f t="shared" si="1"/>
        <v>2.9466666666666669E-3</v>
      </c>
      <c r="X25">
        <f t="shared" si="2"/>
        <v>1.3666666666666666E-3</v>
      </c>
      <c r="Y25">
        <f t="shared" si="3"/>
        <v>5.3200000000000001E-3</v>
      </c>
    </row>
    <row r="26" spans="1:25" x14ac:dyDescent="0.25">
      <c r="A26" s="12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>
        <v>0.12</v>
      </c>
      <c r="S26" s="8">
        <v>70</v>
      </c>
      <c r="T26" s="8">
        <f>(R26/2)^2*3.14*2*R26</f>
        <v>2.7129599999999999E-3</v>
      </c>
      <c r="U26" s="8"/>
      <c r="V26" t="e">
        <f t="shared" si="0"/>
        <v>#DIV/0!</v>
      </c>
      <c r="W26" t="e">
        <f t="shared" si="1"/>
        <v>#DIV/0!</v>
      </c>
      <c r="X26" t="e">
        <f t="shared" si="2"/>
        <v>#DIV/0!</v>
      </c>
      <c r="Y26" t="e">
        <f t="shared" si="3"/>
        <v>#DIV/0!</v>
      </c>
    </row>
    <row r="27" spans="1:25" x14ac:dyDescent="0.25">
      <c r="A27" s="12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>
        <v>0.15</v>
      </c>
      <c r="S27" s="8">
        <v>45</v>
      </c>
      <c r="T27" s="8">
        <f>(R27/2)^2*3.14*2*R27</f>
        <v>5.2987500000000005E-3</v>
      </c>
      <c r="U27" s="8"/>
      <c r="V27" t="e">
        <f t="shared" si="0"/>
        <v>#DIV/0!</v>
      </c>
      <c r="W27" t="e">
        <f t="shared" si="1"/>
        <v>#DIV/0!</v>
      </c>
      <c r="X27" t="e">
        <f t="shared" si="2"/>
        <v>#DIV/0!</v>
      </c>
      <c r="Y27" t="e">
        <f t="shared" si="3"/>
        <v>#DIV/0!</v>
      </c>
    </row>
    <row r="28" spans="1:25" x14ac:dyDescent="0.25">
      <c r="A28" s="12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>
        <v>0.13</v>
      </c>
      <c r="S28" s="8">
        <v>33</v>
      </c>
      <c r="T28" s="8">
        <f>(R28/2)^2*3.14*2*R28</f>
        <v>3.4492900000000007E-3</v>
      </c>
      <c r="U28" s="8"/>
      <c r="V28" t="e">
        <f t="shared" si="0"/>
        <v>#DIV/0!</v>
      </c>
      <c r="W28" t="e">
        <f t="shared" si="1"/>
        <v>#DIV/0!</v>
      </c>
      <c r="X28" t="e">
        <f t="shared" si="2"/>
        <v>#DIV/0!</v>
      </c>
      <c r="Y28" t="e">
        <f t="shared" si="3"/>
        <v>#DIV/0!</v>
      </c>
    </row>
    <row r="29" spans="1:25" x14ac:dyDescent="0.25">
      <c r="A29" s="12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>
        <v>0.09</v>
      </c>
      <c r="S29" s="8">
        <v>37</v>
      </c>
      <c r="T29" s="8">
        <f>(R29/2)^2*3.14*2*R29</f>
        <v>1.1445299999999999E-3</v>
      </c>
      <c r="U29" s="8">
        <f>AVERAGEA(T25:T29)</f>
        <v>5.8645780000000005E-3</v>
      </c>
      <c r="V29" t="e">
        <f t="shared" si="0"/>
        <v>#DIV/0!</v>
      </c>
      <c r="W29" t="e">
        <f t="shared" si="1"/>
        <v>#DIV/0!</v>
      </c>
      <c r="X29" t="e">
        <f t="shared" si="2"/>
        <v>#DIV/0!</v>
      </c>
      <c r="Y29" t="e">
        <f t="shared" si="3"/>
        <v>#DIV/0!</v>
      </c>
    </row>
    <row r="30" spans="1:25" x14ac:dyDescent="0.25">
      <c r="A30" s="12"/>
      <c r="B30" s="5" t="s">
        <v>76</v>
      </c>
      <c r="C30" s="5">
        <v>15.2</v>
      </c>
      <c r="D30" s="5">
        <v>18</v>
      </c>
      <c r="E30" s="5">
        <v>17.5</v>
      </c>
      <c r="F30" s="5">
        <v>8</v>
      </c>
      <c r="G30" s="5">
        <v>1.85</v>
      </c>
      <c r="H30" s="5">
        <v>22.1</v>
      </c>
      <c r="I30" s="5">
        <v>21.4</v>
      </c>
      <c r="J30" s="5">
        <v>24.9</v>
      </c>
      <c r="K30" s="5">
        <v>0.5</v>
      </c>
      <c r="L30" s="5">
        <v>0.57999999999999996</v>
      </c>
      <c r="M30" s="5">
        <v>0.62</v>
      </c>
      <c r="N30" s="5">
        <v>15</v>
      </c>
      <c r="O30" s="5">
        <v>0.2447</v>
      </c>
      <c r="P30" s="5">
        <v>4.7600000000000003E-2</v>
      </c>
      <c r="Q30" s="5">
        <v>0.47260000000000002</v>
      </c>
      <c r="R30" s="5"/>
      <c r="S30" s="5"/>
      <c r="T30" s="5"/>
      <c r="U30" s="5">
        <v>985</v>
      </c>
      <c r="V30">
        <f t="shared" si="0"/>
        <v>65.666666666666671</v>
      </c>
      <c r="W30">
        <f t="shared" si="1"/>
        <v>1.6313333333333332E-2</v>
      </c>
      <c r="X30">
        <f t="shared" si="2"/>
        <v>3.1733333333333336E-3</v>
      </c>
      <c r="Y30">
        <f t="shared" si="3"/>
        <v>3.1506666666666669E-2</v>
      </c>
    </row>
    <row r="31" spans="1:25" x14ac:dyDescent="0.25">
      <c r="A31" s="12"/>
      <c r="B31" s="6" t="s">
        <v>17</v>
      </c>
      <c r="C31" s="6">
        <v>30</v>
      </c>
      <c r="D31" s="6">
        <v>18</v>
      </c>
      <c r="E31" s="6">
        <v>14</v>
      </c>
      <c r="F31" s="6">
        <v>53</v>
      </c>
      <c r="G31" s="6">
        <v>10.039999999999999</v>
      </c>
      <c r="H31" s="6">
        <v>60.3</v>
      </c>
      <c r="I31" s="6">
        <v>58.6</v>
      </c>
      <c r="J31" s="6">
        <v>53</v>
      </c>
      <c r="K31" s="6">
        <v>0.1</v>
      </c>
      <c r="L31" s="6">
        <v>0.08</v>
      </c>
      <c r="M31" s="6">
        <v>0.05</v>
      </c>
      <c r="N31" s="6">
        <v>10</v>
      </c>
      <c r="O31" s="6">
        <v>0.1459</v>
      </c>
      <c r="P31" s="6">
        <v>6.0900000000000003E-2</v>
      </c>
      <c r="Q31" s="6">
        <v>0.16900000000000001</v>
      </c>
      <c r="R31" s="6"/>
      <c r="S31" s="6"/>
      <c r="T31" s="6"/>
      <c r="U31" s="6">
        <v>1214</v>
      </c>
      <c r="V31">
        <f t="shared" si="0"/>
        <v>121.4</v>
      </c>
      <c r="W31">
        <f t="shared" si="1"/>
        <v>1.4590000000000001E-2</v>
      </c>
      <c r="X31">
        <f t="shared" si="2"/>
        <v>6.0899999999999999E-3</v>
      </c>
      <c r="Y31">
        <f t="shared" si="3"/>
        <v>1.6900000000000002E-2</v>
      </c>
    </row>
    <row r="32" spans="1:25" x14ac:dyDescent="0.25">
      <c r="A32" s="12"/>
      <c r="B32" s="7" t="s">
        <v>70</v>
      </c>
      <c r="C32" s="7">
        <v>13</v>
      </c>
      <c r="D32" s="7">
        <v>11</v>
      </c>
      <c r="E32" s="7">
        <v>9</v>
      </c>
      <c r="F32" s="7">
        <v>7</v>
      </c>
      <c r="G32" s="7">
        <v>1.05</v>
      </c>
      <c r="H32" s="7">
        <v>43.6</v>
      </c>
      <c r="I32" s="7">
        <v>51.5</v>
      </c>
      <c r="J32" s="7">
        <v>53.4</v>
      </c>
      <c r="K32" s="7">
        <v>0.08</v>
      </c>
      <c r="L32" s="7">
        <v>0.02</v>
      </c>
      <c r="M32" s="7">
        <v>0.11</v>
      </c>
      <c r="N32" s="7">
        <v>5</v>
      </c>
      <c r="O32" s="7">
        <v>0.2109</v>
      </c>
      <c r="P32" s="7">
        <v>9.1899999999999996E-2</v>
      </c>
      <c r="Q32" s="7">
        <v>0.3513</v>
      </c>
      <c r="R32" s="7">
        <v>0.28999999999999998</v>
      </c>
      <c r="S32" s="7">
        <v>138</v>
      </c>
      <c r="T32" s="7">
        <f t="shared" ref="T32:T41" si="4">(R32/2)^2*3.14*2*R32</f>
        <v>3.8290729999999995E-2</v>
      </c>
      <c r="U32" s="7"/>
      <c r="V32">
        <f t="shared" si="0"/>
        <v>0</v>
      </c>
      <c r="W32">
        <f t="shared" si="1"/>
        <v>4.2180000000000002E-2</v>
      </c>
      <c r="X32">
        <f t="shared" si="2"/>
        <v>1.8380000000000001E-2</v>
      </c>
      <c r="Y32">
        <f t="shared" si="3"/>
        <v>7.0260000000000003E-2</v>
      </c>
    </row>
    <row r="33" spans="1:25" x14ac:dyDescent="0.25">
      <c r="A33" s="12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>
        <v>0.22</v>
      </c>
      <c r="S33" s="7">
        <v>114</v>
      </c>
      <c r="T33" s="7">
        <f t="shared" si="4"/>
        <v>1.6717360000000001E-2</v>
      </c>
      <c r="U33" s="7"/>
      <c r="V33" t="e">
        <f t="shared" si="0"/>
        <v>#DIV/0!</v>
      </c>
      <c r="W33" t="e">
        <f t="shared" si="1"/>
        <v>#DIV/0!</v>
      </c>
      <c r="X33" t="e">
        <f t="shared" si="2"/>
        <v>#DIV/0!</v>
      </c>
      <c r="Y33" t="e">
        <f t="shared" si="3"/>
        <v>#DIV/0!</v>
      </c>
    </row>
    <row r="34" spans="1:25" x14ac:dyDescent="0.25">
      <c r="A34" s="12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>
        <v>0.28999999999999998</v>
      </c>
      <c r="S34" s="7">
        <v>106</v>
      </c>
      <c r="T34" s="7">
        <f t="shared" si="4"/>
        <v>3.8290729999999995E-2</v>
      </c>
      <c r="U34" s="7"/>
      <c r="V34" t="e">
        <f t="shared" si="0"/>
        <v>#DIV/0!</v>
      </c>
      <c r="W34" t="e">
        <f t="shared" si="1"/>
        <v>#DIV/0!</v>
      </c>
      <c r="X34" t="e">
        <f t="shared" si="2"/>
        <v>#DIV/0!</v>
      </c>
      <c r="Y34" t="e">
        <f t="shared" si="3"/>
        <v>#DIV/0!</v>
      </c>
    </row>
    <row r="35" spans="1:25" x14ac:dyDescent="0.25">
      <c r="A35" s="12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>
        <v>0.25</v>
      </c>
      <c r="S35" s="7">
        <v>174</v>
      </c>
      <c r="T35" s="7">
        <f t="shared" si="4"/>
        <v>2.4531250000000001E-2</v>
      </c>
      <c r="U35" s="7"/>
      <c r="V35" t="e">
        <f t="shared" si="0"/>
        <v>#DIV/0!</v>
      </c>
      <c r="W35" t="e">
        <f t="shared" si="1"/>
        <v>#DIV/0!</v>
      </c>
      <c r="X35" t="e">
        <f t="shared" si="2"/>
        <v>#DIV/0!</v>
      </c>
      <c r="Y35" t="e">
        <f t="shared" si="3"/>
        <v>#DIV/0!</v>
      </c>
    </row>
    <row r="36" spans="1:25" x14ac:dyDescent="0.25">
      <c r="A36" s="12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>
        <v>0.34</v>
      </c>
      <c r="S36" s="7">
        <v>129</v>
      </c>
      <c r="T36" s="7">
        <f t="shared" si="4"/>
        <v>6.1707280000000017E-2</v>
      </c>
      <c r="U36" s="7">
        <f>AVERAGEA(T32:T36)</f>
        <v>3.5907470000000004E-2</v>
      </c>
      <c r="V36" t="e">
        <f t="shared" si="0"/>
        <v>#DIV/0!</v>
      </c>
      <c r="W36" t="e">
        <f t="shared" si="1"/>
        <v>#DIV/0!</v>
      </c>
      <c r="X36" t="e">
        <f t="shared" si="2"/>
        <v>#DIV/0!</v>
      </c>
      <c r="Y36" t="e">
        <f t="shared" si="3"/>
        <v>#DIV/0!</v>
      </c>
    </row>
    <row r="37" spans="1:25" x14ac:dyDescent="0.25">
      <c r="A37" s="12" t="s">
        <v>77</v>
      </c>
      <c r="B37" s="5" t="s">
        <v>70</v>
      </c>
      <c r="C37" s="5">
        <v>19</v>
      </c>
      <c r="D37" s="5">
        <v>13.6</v>
      </c>
      <c r="E37" s="5">
        <v>9.8000000000000007</v>
      </c>
      <c r="F37" s="5">
        <v>75</v>
      </c>
      <c r="G37" s="5">
        <v>7.71</v>
      </c>
      <c r="H37" s="5">
        <v>49.5</v>
      </c>
      <c r="I37" s="5">
        <v>53.6</v>
      </c>
      <c r="J37" s="5">
        <v>37.9</v>
      </c>
      <c r="K37" s="5">
        <v>0.33</v>
      </c>
      <c r="L37" s="5">
        <v>0.28000000000000003</v>
      </c>
      <c r="M37" s="5">
        <v>0.21</v>
      </c>
      <c r="N37" s="5">
        <v>5</v>
      </c>
      <c r="O37" s="5">
        <v>0.30580000000000002</v>
      </c>
      <c r="P37" s="5">
        <v>0.16700000000000001</v>
      </c>
      <c r="Q37" s="5">
        <v>0.60499999999999998</v>
      </c>
      <c r="R37" s="5">
        <v>0.42</v>
      </c>
      <c r="S37" s="5">
        <v>221</v>
      </c>
      <c r="T37" s="5">
        <f t="shared" si="4"/>
        <v>0.11631815999999999</v>
      </c>
      <c r="U37" s="5"/>
      <c r="V37">
        <f t="shared" si="0"/>
        <v>0</v>
      </c>
      <c r="W37">
        <f t="shared" si="1"/>
        <v>6.1160000000000006E-2</v>
      </c>
      <c r="X37">
        <f t="shared" si="2"/>
        <v>3.3399999999999999E-2</v>
      </c>
      <c r="Y37">
        <f t="shared" si="3"/>
        <v>0.121</v>
      </c>
    </row>
    <row r="38" spans="1:25" x14ac:dyDescent="0.25">
      <c r="A38" s="12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>
        <v>0.41</v>
      </c>
      <c r="S38" s="5">
        <v>193</v>
      </c>
      <c r="T38" s="5">
        <f t="shared" si="4"/>
        <v>0.10820596999999997</v>
      </c>
      <c r="U38" s="5"/>
      <c r="V38" t="e">
        <f t="shared" si="0"/>
        <v>#DIV/0!</v>
      </c>
      <c r="W38" t="e">
        <f t="shared" si="1"/>
        <v>#DIV/0!</v>
      </c>
      <c r="X38" t="e">
        <f t="shared" si="2"/>
        <v>#DIV/0!</v>
      </c>
      <c r="Y38" t="e">
        <f t="shared" si="3"/>
        <v>#DIV/0!</v>
      </c>
    </row>
    <row r="39" spans="1:25" x14ac:dyDescent="0.25">
      <c r="A39" s="12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>
        <v>0.46</v>
      </c>
      <c r="S39" s="5">
        <v>183</v>
      </c>
      <c r="T39" s="5">
        <f t="shared" si="4"/>
        <v>0.15281752000000001</v>
      </c>
      <c r="U39" s="5"/>
      <c r="V39" t="e">
        <f t="shared" si="0"/>
        <v>#DIV/0!</v>
      </c>
      <c r="W39" t="e">
        <f t="shared" si="1"/>
        <v>#DIV/0!</v>
      </c>
      <c r="X39" t="e">
        <f t="shared" si="2"/>
        <v>#DIV/0!</v>
      </c>
      <c r="Y39" t="e">
        <f t="shared" si="3"/>
        <v>#DIV/0!</v>
      </c>
    </row>
    <row r="40" spans="1:25" x14ac:dyDescent="0.25">
      <c r="A40" s="1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>
        <v>0.26</v>
      </c>
      <c r="S40" s="5">
        <v>130</v>
      </c>
      <c r="T40" s="5">
        <f t="shared" si="4"/>
        <v>2.7594320000000006E-2</v>
      </c>
      <c r="U40" s="5"/>
      <c r="V40" t="e">
        <f t="shared" si="0"/>
        <v>#DIV/0!</v>
      </c>
      <c r="W40" t="e">
        <f t="shared" si="1"/>
        <v>#DIV/0!</v>
      </c>
      <c r="X40" t="e">
        <f t="shared" si="2"/>
        <v>#DIV/0!</v>
      </c>
      <c r="Y40" t="e">
        <f t="shared" si="3"/>
        <v>#DIV/0!</v>
      </c>
    </row>
    <row r="41" spans="1:25" x14ac:dyDescent="0.25">
      <c r="A41" s="12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>
        <v>0.36</v>
      </c>
      <c r="S41" s="5">
        <v>131</v>
      </c>
      <c r="T41" s="5">
        <f t="shared" si="4"/>
        <v>7.3249919999999996E-2</v>
      </c>
      <c r="U41" s="5">
        <f>AVERAGEA(T37:T41)</f>
        <v>9.5637178000000003E-2</v>
      </c>
      <c r="V41" t="e">
        <f t="shared" si="0"/>
        <v>#DIV/0!</v>
      </c>
      <c r="W41" t="e">
        <f t="shared" si="1"/>
        <v>#DIV/0!</v>
      </c>
      <c r="X41" t="e">
        <f t="shared" si="2"/>
        <v>#DIV/0!</v>
      </c>
      <c r="Y41" t="e">
        <f t="shared" si="3"/>
        <v>#DIV/0!</v>
      </c>
    </row>
    <row r="42" spans="1:25" x14ac:dyDescent="0.25">
      <c r="A42" s="12"/>
      <c r="B42" s="6" t="s">
        <v>75</v>
      </c>
      <c r="C42" s="6">
        <v>8</v>
      </c>
      <c r="D42" s="6">
        <v>10.5</v>
      </c>
      <c r="E42" s="6">
        <v>6</v>
      </c>
      <c r="F42" s="6">
        <v>32</v>
      </c>
      <c r="G42" s="6">
        <v>0.99</v>
      </c>
      <c r="H42" s="6">
        <v>49.5</v>
      </c>
      <c r="I42" s="6">
        <v>54.1</v>
      </c>
      <c r="J42" s="6">
        <v>59.8</v>
      </c>
      <c r="K42" s="6">
        <v>0.08</v>
      </c>
      <c r="L42" s="6">
        <v>0.18</v>
      </c>
      <c r="M42" s="6">
        <v>0.09</v>
      </c>
      <c r="N42" s="6">
        <v>5</v>
      </c>
      <c r="O42" s="6">
        <v>0.435</v>
      </c>
      <c r="P42" s="6">
        <v>6.0699999999999997E-2</v>
      </c>
      <c r="Q42" s="6">
        <v>0.55840000000000001</v>
      </c>
      <c r="R42" s="6"/>
      <c r="S42" s="6"/>
      <c r="T42" s="6"/>
      <c r="U42" s="6">
        <v>2078</v>
      </c>
      <c r="V42">
        <f t="shared" si="0"/>
        <v>415.6</v>
      </c>
      <c r="W42">
        <f t="shared" si="1"/>
        <v>8.6999999999999994E-2</v>
      </c>
      <c r="X42">
        <f t="shared" si="2"/>
        <v>1.214E-2</v>
      </c>
      <c r="Y42">
        <f t="shared" si="3"/>
        <v>0.11168</v>
      </c>
    </row>
    <row r="43" spans="1:25" x14ac:dyDescent="0.25">
      <c r="A43" s="12"/>
      <c r="B43" s="7" t="s">
        <v>16</v>
      </c>
      <c r="C43" s="7">
        <v>19</v>
      </c>
      <c r="D43" s="7">
        <v>9.5</v>
      </c>
      <c r="E43" s="7">
        <v>6</v>
      </c>
      <c r="F43" s="7">
        <v>3</v>
      </c>
      <c r="G43" s="7">
        <v>0.5</v>
      </c>
      <c r="H43" s="7">
        <v>39.299999999999997</v>
      </c>
      <c r="I43" s="7">
        <v>36.4</v>
      </c>
      <c r="J43" s="7">
        <v>35</v>
      </c>
      <c r="K43" s="7">
        <v>0.44</v>
      </c>
      <c r="L43" s="7">
        <v>0.5</v>
      </c>
      <c r="M43" s="7">
        <v>0.28000000000000003</v>
      </c>
      <c r="N43" s="7">
        <v>15</v>
      </c>
      <c r="O43" s="7">
        <v>5.8400000000000001E-2</v>
      </c>
      <c r="P43" s="7">
        <v>2.9100000000000001E-2</v>
      </c>
      <c r="Q43" s="7">
        <v>0.1076</v>
      </c>
      <c r="R43" s="7">
        <v>0.32</v>
      </c>
      <c r="S43" s="7">
        <v>86</v>
      </c>
      <c r="T43" s="7">
        <f>(R43/2)^2*3.14*2*R43</f>
        <v>5.1445760000000007E-2</v>
      </c>
      <c r="U43" s="7"/>
      <c r="V43">
        <f t="shared" si="0"/>
        <v>0</v>
      </c>
      <c r="W43">
        <f t="shared" si="1"/>
        <v>3.8933333333333333E-3</v>
      </c>
      <c r="X43">
        <f t="shared" si="2"/>
        <v>1.9400000000000001E-3</v>
      </c>
      <c r="Y43">
        <f t="shared" si="3"/>
        <v>7.1733333333333336E-3</v>
      </c>
    </row>
    <row r="44" spans="1:25" x14ac:dyDescent="0.25">
      <c r="A44" s="12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>
        <v>0.19</v>
      </c>
      <c r="S44" s="7">
        <v>71</v>
      </c>
      <c r="T44" s="7">
        <f>(R44/2)^2*3.14*2*R44</f>
        <v>1.0768630000000001E-2</v>
      </c>
      <c r="U44" s="7"/>
      <c r="V44" t="e">
        <f t="shared" si="0"/>
        <v>#DIV/0!</v>
      </c>
      <c r="W44" t="e">
        <f t="shared" si="1"/>
        <v>#DIV/0!</v>
      </c>
      <c r="X44" t="e">
        <f t="shared" si="2"/>
        <v>#DIV/0!</v>
      </c>
      <c r="Y44" t="e">
        <f t="shared" si="3"/>
        <v>#DIV/0!</v>
      </c>
    </row>
    <row r="45" spans="1:25" x14ac:dyDescent="0.25">
      <c r="A45" s="12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>
        <v>0.14000000000000001</v>
      </c>
      <c r="S45" s="7">
        <v>55</v>
      </c>
      <c r="T45" s="7">
        <f>(R45/2)^2*3.14*2*R45</f>
        <v>4.3080800000000006E-3</v>
      </c>
      <c r="U45" s="7"/>
      <c r="V45" t="e">
        <f t="shared" si="0"/>
        <v>#DIV/0!</v>
      </c>
      <c r="W45" t="e">
        <f t="shared" si="1"/>
        <v>#DIV/0!</v>
      </c>
      <c r="X45" t="e">
        <f t="shared" si="2"/>
        <v>#DIV/0!</v>
      </c>
      <c r="Y45" t="e">
        <f t="shared" si="3"/>
        <v>#DIV/0!</v>
      </c>
    </row>
    <row r="46" spans="1:25" x14ac:dyDescent="0.25">
      <c r="A46" s="12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>
        <v>0.28000000000000003</v>
      </c>
      <c r="S46" s="7">
        <v>42</v>
      </c>
      <c r="T46" s="7">
        <f>(R46/2)^2*3.14*2*R46</f>
        <v>3.4464640000000005E-2</v>
      </c>
      <c r="U46" s="7"/>
      <c r="V46" t="e">
        <f t="shared" si="0"/>
        <v>#DIV/0!</v>
      </c>
      <c r="W46" t="e">
        <f t="shared" si="1"/>
        <v>#DIV/0!</v>
      </c>
      <c r="X46" t="e">
        <f t="shared" si="2"/>
        <v>#DIV/0!</v>
      </c>
      <c r="Y46" t="e">
        <f t="shared" si="3"/>
        <v>#DIV/0!</v>
      </c>
    </row>
    <row r="47" spans="1:25" x14ac:dyDescent="0.25">
      <c r="A47" s="12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>
        <v>0.44</v>
      </c>
      <c r="S47" s="7">
        <v>41</v>
      </c>
      <c r="T47" s="7">
        <f>(R47/2)^2*3.14*2*R47</f>
        <v>0.13373888</v>
      </c>
      <c r="U47" s="7">
        <f>AVERAGEA(T43:T47)</f>
        <v>4.6945198000000007E-2</v>
      </c>
      <c r="V47" t="e">
        <f t="shared" si="0"/>
        <v>#DIV/0!</v>
      </c>
      <c r="W47" t="e">
        <f t="shared" si="1"/>
        <v>#DIV/0!</v>
      </c>
      <c r="X47" t="e">
        <f t="shared" si="2"/>
        <v>#DIV/0!</v>
      </c>
      <c r="Y47" t="e">
        <f t="shared" si="3"/>
        <v>#DIV/0!</v>
      </c>
    </row>
    <row r="48" spans="1:25" x14ac:dyDescent="0.25">
      <c r="A48" s="12"/>
      <c r="B48" s="8" t="s">
        <v>71</v>
      </c>
      <c r="C48" s="8">
        <v>8</v>
      </c>
      <c r="D48" s="8"/>
      <c r="E48" s="8"/>
      <c r="F48" s="8">
        <v>1</v>
      </c>
      <c r="G48" s="8">
        <v>7.0000000000000007E-2</v>
      </c>
      <c r="H48" s="8">
        <v>17.5</v>
      </c>
      <c r="I48" s="8">
        <v>28.8</v>
      </c>
      <c r="J48" s="8">
        <v>29.2</v>
      </c>
      <c r="K48" s="8">
        <v>0.28000000000000003</v>
      </c>
      <c r="L48" s="8">
        <v>0.4</v>
      </c>
      <c r="M48" s="8">
        <v>0.17</v>
      </c>
      <c r="N48" s="8">
        <v>2</v>
      </c>
      <c r="O48" s="8">
        <v>7.7399999999999997E-2</v>
      </c>
      <c r="P48" s="8">
        <v>1.89E-2</v>
      </c>
      <c r="Q48" s="8">
        <v>0.1137</v>
      </c>
      <c r="R48" s="8"/>
      <c r="S48" s="8"/>
      <c r="T48" s="8"/>
      <c r="U48" s="8">
        <v>703</v>
      </c>
      <c r="V48">
        <f t="shared" si="0"/>
        <v>351.5</v>
      </c>
      <c r="W48">
        <f t="shared" si="1"/>
        <v>3.8699999999999998E-2</v>
      </c>
      <c r="X48">
        <f t="shared" si="2"/>
        <v>9.4500000000000001E-3</v>
      </c>
      <c r="Y48">
        <f t="shared" si="3"/>
        <v>5.6849999999999998E-2</v>
      </c>
    </row>
    <row r="49" spans="1:25" x14ac:dyDescent="0.25">
      <c r="A49" s="12"/>
      <c r="B49" s="5" t="s">
        <v>130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>
        <v>10</v>
      </c>
      <c r="O49" s="5">
        <v>0.1124</v>
      </c>
      <c r="P49" s="5">
        <v>1.9900000000000001E-2</v>
      </c>
      <c r="Q49" s="5">
        <v>0.1799</v>
      </c>
      <c r="R49" s="5"/>
      <c r="S49" s="5"/>
      <c r="T49" s="5"/>
      <c r="U49" s="5">
        <v>363</v>
      </c>
      <c r="V49">
        <f t="shared" si="0"/>
        <v>36.299999999999997</v>
      </c>
      <c r="W49">
        <f t="shared" si="1"/>
        <v>1.124E-2</v>
      </c>
      <c r="X49">
        <f t="shared" si="2"/>
        <v>1.99E-3</v>
      </c>
      <c r="Y49">
        <f t="shared" si="3"/>
        <v>1.7989999999999999E-2</v>
      </c>
    </row>
    <row r="50" spans="1:25" x14ac:dyDescent="0.25">
      <c r="A50" s="12"/>
      <c r="B50" s="6" t="s">
        <v>17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>
        <v>5</v>
      </c>
      <c r="O50" s="6">
        <v>9.1499999999999998E-2</v>
      </c>
      <c r="P50" s="6">
        <v>4.2799999999999998E-2</v>
      </c>
      <c r="Q50" s="6">
        <v>0.1081</v>
      </c>
      <c r="R50" s="6"/>
      <c r="S50" s="6"/>
      <c r="T50" s="6"/>
      <c r="U50" s="6">
        <v>783</v>
      </c>
      <c r="V50">
        <f t="shared" si="0"/>
        <v>156.6</v>
      </c>
      <c r="W50">
        <f t="shared" si="1"/>
        <v>1.83E-2</v>
      </c>
      <c r="X50">
        <f t="shared" si="2"/>
        <v>8.5599999999999999E-3</v>
      </c>
      <c r="Y50">
        <f t="shared" si="3"/>
        <v>2.162E-2</v>
      </c>
    </row>
    <row r="51" spans="1:25" x14ac:dyDescent="0.25">
      <c r="A51" s="12"/>
      <c r="B51" s="8" t="s">
        <v>15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>
        <v>20</v>
      </c>
      <c r="O51" s="8">
        <v>0.32829999999999998</v>
      </c>
      <c r="P51" s="8">
        <v>3.1099999999999999E-2</v>
      </c>
      <c r="Q51" s="8">
        <v>0.44450000000000001</v>
      </c>
      <c r="R51" s="8">
        <v>0.89</v>
      </c>
      <c r="S51" s="8">
        <v>12</v>
      </c>
      <c r="T51" s="8">
        <f>(R51/2)^2*3.14*2*R51</f>
        <v>1.1068013300000001</v>
      </c>
      <c r="U51" s="8"/>
      <c r="V51">
        <f t="shared" si="0"/>
        <v>0</v>
      </c>
      <c r="W51">
        <f t="shared" si="1"/>
        <v>1.6414999999999999E-2</v>
      </c>
      <c r="X51">
        <f t="shared" si="2"/>
        <v>1.555E-3</v>
      </c>
      <c r="Y51">
        <f t="shared" si="3"/>
        <v>2.2225000000000002E-2</v>
      </c>
    </row>
    <row r="52" spans="1:25" x14ac:dyDescent="0.25">
      <c r="A52" s="12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>
        <v>0.94</v>
      </c>
      <c r="S52" s="8">
        <v>10</v>
      </c>
      <c r="T52" s="8">
        <f>(R52/2)^2*3.14*2*R52</f>
        <v>1.3040168799999998</v>
      </c>
      <c r="U52" s="8"/>
      <c r="V52" t="e">
        <f t="shared" si="0"/>
        <v>#DIV/0!</v>
      </c>
      <c r="W52" t="e">
        <f t="shared" si="1"/>
        <v>#DIV/0!</v>
      </c>
      <c r="X52" t="e">
        <f t="shared" si="2"/>
        <v>#DIV/0!</v>
      </c>
      <c r="Y52" t="e">
        <f t="shared" si="3"/>
        <v>#DIV/0!</v>
      </c>
    </row>
    <row r="53" spans="1:25" x14ac:dyDescent="0.25">
      <c r="A53" s="12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>
        <v>0.93</v>
      </c>
      <c r="S53" s="8">
        <v>9</v>
      </c>
      <c r="T53" s="8">
        <f>(R53/2)^2*3.14*2*R53</f>
        <v>1.2628404900000003</v>
      </c>
      <c r="U53" s="8"/>
      <c r="V53" t="e">
        <f t="shared" si="0"/>
        <v>#DIV/0!</v>
      </c>
      <c r="W53" t="e">
        <f t="shared" si="1"/>
        <v>#DIV/0!</v>
      </c>
      <c r="X53" t="e">
        <f t="shared" si="2"/>
        <v>#DIV/0!</v>
      </c>
      <c r="Y53" t="e">
        <f t="shared" si="3"/>
        <v>#DIV/0!</v>
      </c>
    </row>
    <row r="54" spans="1:25" x14ac:dyDescent="0.25">
      <c r="A54" s="12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>
        <v>0.94</v>
      </c>
      <c r="S54" s="8">
        <v>9</v>
      </c>
      <c r="T54" s="8">
        <f>(R54/2)^2*3.14*2*R54</f>
        <v>1.3040168799999998</v>
      </c>
      <c r="U54" s="8"/>
      <c r="V54" t="e">
        <f t="shared" si="0"/>
        <v>#DIV/0!</v>
      </c>
      <c r="W54" t="e">
        <f t="shared" si="1"/>
        <v>#DIV/0!</v>
      </c>
      <c r="X54" t="e">
        <f t="shared" si="2"/>
        <v>#DIV/0!</v>
      </c>
      <c r="Y54" t="e">
        <f t="shared" si="3"/>
        <v>#DIV/0!</v>
      </c>
    </row>
    <row r="55" spans="1:25" x14ac:dyDescent="0.25">
      <c r="A55" s="12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>
        <v>0.97</v>
      </c>
      <c r="S55" s="8">
        <v>8</v>
      </c>
      <c r="T55" s="8">
        <f>(R55/2)^2*3.14*2*R55</f>
        <v>1.4328966099999998</v>
      </c>
      <c r="U55" s="8">
        <f>AVERAGEA(T51:T55)</f>
        <v>1.282114438</v>
      </c>
      <c r="V55" t="e">
        <f t="shared" si="0"/>
        <v>#DIV/0!</v>
      </c>
      <c r="W55" t="e">
        <f t="shared" si="1"/>
        <v>#DIV/0!</v>
      </c>
      <c r="X55" t="e">
        <f t="shared" si="2"/>
        <v>#DIV/0!</v>
      </c>
      <c r="Y55" t="e">
        <f t="shared" si="3"/>
        <v>#DIV/0!</v>
      </c>
    </row>
    <row r="56" spans="1:25" x14ac:dyDescent="0.25">
      <c r="A56" s="12" t="s">
        <v>79</v>
      </c>
      <c r="B56" s="5" t="s">
        <v>17</v>
      </c>
      <c r="C56" s="5">
        <v>26</v>
      </c>
      <c r="D56" s="5">
        <v>18</v>
      </c>
      <c r="E56" s="5">
        <v>13</v>
      </c>
      <c r="F56" s="5">
        <v>169</v>
      </c>
      <c r="G56" s="5">
        <v>60.88</v>
      </c>
      <c r="H56" s="5">
        <v>49.7</v>
      </c>
      <c r="I56" s="5">
        <v>47.2</v>
      </c>
      <c r="J56" s="5">
        <v>41.6</v>
      </c>
      <c r="K56" s="5">
        <v>0.12</v>
      </c>
      <c r="L56" s="5">
        <v>0.13</v>
      </c>
      <c r="M56" s="5">
        <v>0.09</v>
      </c>
      <c r="N56" s="5">
        <v>10</v>
      </c>
      <c r="O56" s="5">
        <v>0.1981</v>
      </c>
      <c r="P56" s="5">
        <v>8.5699999999999998E-2</v>
      </c>
      <c r="Q56" s="5">
        <v>0.2641</v>
      </c>
      <c r="R56" s="5"/>
      <c r="S56" s="5"/>
      <c r="T56" s="5"/>
      <c r="U56" s="5">
        <v>1453</v>
      </c>
      <c r="V56">
        <f t="shared" si="0"/>
        <v>145.30000000000001</v>
      </c>
      <c r="W56">
        <f t="shared" si="1"/>
        <v>1.9810000000000001E-2</v>
      </c>
      <c r="X56">
        <f t="shared" si="2"/>
        <v>8.5699999999999995E-3</v>
      </c>
      <c r="Y56">
        <f t="shared" si="3"/>
        <v>2.6409999999999999E-2</v>
      </c>
    </row>
    <row r="57" spans="1:25" x14ac:dyDescent="0.25">
      <c r="A57" s="12"/>
      <c r="B57" s="3" t="s">
        <v>15</v>
      </c>
      <c r="C57" s="3">
        <v>24.3</v>
      </c>
      <c r="D57" s="3">
        <v>17</v>
      </c>
      <c r="E57" s="3">
        <v>11</v>
      </c>
      <c r="F57" s="3">
        <v>955</v>
      </c>
      <c r="G57" s="3">
        <v>85.94</v>
      </c>
      <c r="H57" s="3">
        <v>16.100000000000001</v>
      </c>
      <c r="I57" s="3">
        <v>27.1</v>
      </c>
      <c r="J57" s="3">
        <v>29.8</v>
      </c>
      <c r="K57" s="3">
        <v>0.46</v>
      </c>
      <c r="L57" s="3">
        <v>0.32</v>
      </c>
      <c r="M57" s="3">
        <v>0.11</v>
      </c>
      <c r="N57" s="3">
        <v>20</v>
      </c>
      <c r="O57" s="3">
        <v>0.2157</v>
      </c>
      <c r="P57" s="3">
        <v>2.3099999999999999E-2</v>
      </c>
      <c r="Q57" s="3">
        <v>0.33529999999999999</v>
      </c>
      <c r="R57" s="3">
        <v>0.98</v>
      </c>
      <c r="S57" s="3">
        <v>9</v>
      </c>
      <c r="T57" s="3">
        <f>(R57/2)^2*3.14*2*R57</f>
        <v>1.4776714399999999</v>
      </c>
      <c r="U57" s="3"/>
      <c r="V57">
        <f t="shared" si="0"/>
        <v>0</v>
      </c>
      <c r="W57">
        <f t="shared" si="1"/>
        <v>1.0784999999999999E-2</v>
      </c>
      <c r="X57">
        <f t="shared" si="2"/>
        <v>1.155E-3</v>
      </c>
      <c r="Y57">
        <f t="shared" si="3"/>
        <v>1.6764999999999999E-2</v>
      </c>
    </row>
    <row r="58" spans="1:25" x14ac:dyDescent="0.25">
      <c r="A58" s="1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>
        <v>0.88</v>
      </c>
      <c r="S58" s="3">
        <v>10</v>
      </c>
      <c r="T58" s="3">
        <f>(R58/2)^2*3.14*2*R58</f>
        <v>1.06991104</v>
      </c>
      <c r="U58" s="3"/>
      <c r="V58" t="e">
        <f t="shared" si="0"/>
        <v>#DIV/0!</v>
      </c>
      <c r="W58" t="e">
        <f t="shared" si="1"/>
        <v>#DIV/0!</v>
      </c>
      <c r="X58" t="e">
        <f t="shared" si="2"/>
        <v>#DIV/0!</v>
      </c>
      <c r="Y58" t="e">
        <f t="shared" si="3"/>
        <v>#DIV/0!</v>
      </c>
    </row>
    <row r="59" spans="1:25" x14ac:dyDescent="0.25">
      <c r="A59" s="12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>
        <v>0.8</v>
      </c>
      <c r="S59" s="3">
        <v>8</v>
      </c>
      <c r="T59" s="3">
        <f>(R59/2)^2*3.14*2*R59</f>
        <v>0.80384000000000011</v>
      </c>
      <c r="U59" s="3"/>
      <c r="V59" t="e">
        <f t="shared" si="0"/>
        <v>#DIV/0!</v>
      </c>
      <c r="W59" t="e">
        <f t="shared" si="1"/>
        <v>#DIV/0!</v>
      </c>
      <c r="X59" t="e">
        <f t="shared" si="2"/>
        <v>#DIV/0!</v>
      </c>
      <c r="Y59" t="e">
        <f t="shared" si="3"/>
        <v>#DIV/0!</v>
      </c>
    </row>
    <row r="60" spans="1:25" x14ac:dyDescent="0.25">
      <c r="A60" s="12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>
        <v>0.68</v>
      </c>
      <c r="S60" s="3">
        <v>7</v>
      </c>
      <c r="T60" s="3">
        <f>(R60/2)^2*3.14*2*R60</f>
        <v>0.49365824000000014</v>
      </c>
      <c r="U60" s="3"/>
      <c r="V60" t="e">
        <f t="shared" si="0"/>
        <v>#DIV/0!</v>
      </c>
      <c r="W60" t="e">
        <f t="shared" si="1"/>
        <v>#DIV/0!</v>
      </c>
      <c r="X60" t="e">
        <f t="shared" si="2"/>
        <v>#DIV/0!</v>
      </c>
      <c r="Y60" t="e">
        <f t="shared" si="3"/>
        <v>#DIV/0!</v>
      </c>
    </row>
    <row r="61" spans="1:25" x14ac:dyDescent="0.25">
      <c r="A61" s="1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>
        <v>0.62</v>
      </c>
      <c r="S61" s="3">
        <v>6</v>
      </c>
      <c r="T61" s="3">
        <f>(R61/2)^2*3.14*2*R61</f>
        <v>0.37417496</v>
      </c>
      <c r="U61" s="3">
        <f>AVERAGEA(T57:T61)</f>
        <v>0.84385113600000017</v>
      </c>
      <c r="V61" t="e">
        <f t="shared" si="0"/>
        <v>#DIV/0!</v>
      </c>
      <c r="W61" t="e">
        <f t="shared" si="1"/>
        <v>#DIV/0!</v>
      </c>
      <c r="X61" t="e">
        <f t="shared" si="2"/>
        <v>#DIV/0!</v>
      </c>
      <c r="Y61" t="e">
        <f t="shared" si="3"/>
        <v>#DIV/0!</v>
      </c>
    </row>
    <row r="62" spans="1:25" x14ac:dyDescent="0.25">
      <c r="A62" s="12" t="s">
        <v>80</v>
      </c>
      <c r="B62" s="5" t="s">
        <v>17</v>
      </c>
      <c r="C62" s="5">
        <v>24</v>
      </c>
      <c r="D62" s="5">
        <v>15</v>
      </c>
      <c r="E62" s="5">
        <v>25.5</v>
      </c>
      <c r="F62" s="5">
        <v>181</v>
      </c>
      <c r="G62" s="5">
        <v>81.099999999999994</v>
      </c>
      <c r="H62" s="5">
        <v>48.2</v>
      </c>
      <c r="I62" s="5">
        <v>39.5</v>
      </c>
      <c r="J62" s="5">
        <v>53.1</v>
      </c>
      <c r="K62" s="5">
        <v>0.12</v>
      </c>
      <c r="L62" s="5">
        <v>0.1</v>
      </c>
      <c r="M62" s="5">
        <v>0.12</v>
      </c>
      <c r="N62" s="5">
        <v>5</v>
      </c>
      <c r="O62" s="5">
        <v>0.15529999999999999</v>
      </c>
      <c r="P62" s="5">
        <v>7.0499999999999993E-2</v>
      </c>
      <c r="Q62" s="5">
        <v>0.18279999999999999</v>
      </c>
      <c r="R62" s="5"/>
      <c r="S62" s="5"/>
      <c r="T62" s="5"/>
      <c r="U62" s="5">
        <v>1328</v>
      </c>
      <c r="V62">
        <f t="shared" si="0"/>
        <v>265.60000000000002</v>
      </c>
      <c r="W62">
        <f t="shared" si="1"/>
        <v>3.1059999999999997E-2</v>
      </c>
      <c r="X62">
        <f t="shared" si="2"/>
        <v>1.4099999999999998E-2</v>
      </c>
      <c r="Y62">
        <f t="shared" si="3"/>
        <v>3.6559999999999995E-2</v>
      </c>
    </row>
    <row r="63" spans="1:25" x14ac:dyDescent="0.25">
      <c r="A63" s="12"/>
      <c r="B63" s="6" t="s">
        <v>70</v>
      </c>
      <c r="C63" s="6">
        <v>26</v>
      </c>
      <c r="D63" s="6">
        <v>22</v>
      </c>
      <c r="E63" s="6">
        <v>30</v>
      </c>
      <c r="F63" s="6">
        <v>33</v>
      </c>
      <c r="G63" s="6">
        <v>11.74</v>
      </c>
      <c r="H63" s="6">
        <v>53.7</v>
      </c>
      <c r="I63" s="6">
        <v>62.9</v>
      </c>
      <c r="J63" s="6">
        <v>61.4</v>
      </c>
      <c r="K63" s="6">
        <v>0.22</v>
      </c>
      <c r="L63" s="6">
        <v>0.16</v>
      </c>
      <c r="M63" s="6">
        <v>0.09</v>
      </c>
      <c r="N63" s="6">
        <v>5</v>
      </c>
      <c r="O63" s="6">
        <v>0.32200000000000001</v>
      </c>
      <c r="P63" s="6">
        <v>0.15129999999999999</v>
      </c>
      <c r="Q63" s="6">
        <v>0.50390000000000001</v>
      </c>
      <c r="R63" s="6">
        <v>0.51</v>
      </c>
      <c r="S63" s="6">
        <v>157</v>
      </c>
      <c r="T63" s="6">
        <f t="shared" ref="T63:T72" si="5">(R63/2)^2*3.14*2*R63</f>
        <v>0.20826207000000002</v>
      </c>
      <c r="U63" s="6"/>
      <c r="V63">
        <f t="shared" si="0"/>
        <v>0</v>
      </c>
      <c r="W63">
        <f t="shared" si="1"/>
        <v>6.4399999999999999E-2</v>
      </c>
      <c r="X63">
        <f t="shared" si="2"/>
        <v>3.0259999999999999E-2</v>
      </c>
      <c r="Y63">
        <f t="shared" si="3"/>
        <v>0.10078000000000001</v>
      </c>
    </row>
    <row r="64" spans="1:25" x14ac:dyDescent="0.25">
      <c r="A64" s="12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>
        <v>0.47</v>
      </c>
      <c r="S64" s="6">
        <v>152</v>
      </c>
      <c r="T64" s="6">
        <f t="shared" si="5"/>
        <v>0.16300210999999998</v>
      </c>
      <c r="U64" s="6"/>
      <c r="V64" t="e">
        <f t="shared" si="0"/>
        <v>#DIV/0!</v>
      </c>
      <c r="W64" t="e">
        <f t="shared" si="1"/>
        <v>#DIV/0!</v>
      </c>
      <c r="X64" t="e">
        <f t="shared" si="2"/>
        <v>#DIV/0!</v>
      </c>
      <c r="Y64" t="e">
        <f t="shared" si="3"/>
        <v>#DIV/0!</v>
      </c>
    </row>
    <row r="65" spans="1:25" x14ac:dyDescent="0.25">
      <c r="A65" s="12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>
        <v>0.43</v>
      </c>
      <c r="S65" s="6">
        <v>186</v>
      </c>
      <c r="T65" s="6">
        <f t="shared" si="5"/>
        <v>0.12482598999999998</v>
      </c>
      <c r="U65" s="6"/>
      <c r="V65" t="e">
        <f t="shared" si="0"/>
        <v>#DIV/0!</v>
      </c>
      <c r="W65" t="e">
        <f t="shared" si="1"/>
        <v>#DIV/0!</v>
      </c>
      <c r="X65" t="e">
        <f t="shared" si="2"/>
        <v>#DIV/0!</v>
      </c>
      <c r="Y65" t="e">
        <f t="shared" si="3"/>
        <v>#DIV/0!</v>
      </c>
    </row>
    <row r="66" spans="1:25" x14ac:dyDescent="0.25">
      <c r="A66" s="12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>
        <v>0.55000000000000004</v>
      </c>
      <c r="S66" s="6">
        <v>192</v>
      </c>
      <c r="T66" s="6">
        <f t="shared" si="5"/>
        <v>0.2612087500000001</v>
      </c>
      <c r="U66" s="6"/>
      <c r="V66" t="e">
        <f t="shared" ref="V66:V129" si="6">U66/N66</f>
        <v>#DIV/0!</v>
      </c>
      <c r="W66" t="e">
        <f t="shared" ref="W66:W129" si="7">O66/N66</f>
        <v>#DIV/0!</v>
      </c>
      <c r="X66" t="e">
        <f t="shared" ref="X66:X129" si="8">P66/N66</f>
        <v>#DIV/0!</v>
      </c>
      <c r="Y66" t="e">
        <f t="shared" ref="Y66:Y129" si="9">Q66/N66</f>
        <v>#DIV/0!</v>
      </c>
    </row>
    <row r="67" spans="1:25" x14ac:dyDescent="0.25">
      <c r="A67" s="12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>
        <v>0.59</v>
      </c>
      <c r="S67" s="6">
        <v>212</v>
      </c>
      <c r="T67" s="6">
        <f t="shared" si="5"/>
        <v>0.32244502999999991</v>
      </c>
      <c r="U67" s="6">
        <f>AVERAGEA(T63:T67)</f>
        <v>0.21594879000000003</v>
      </c>
      <c r="V67" t="e">
        <f t="shared" si="6"/>
        <v>#DIV/0!</v>
      </c>
      <c r="W67" t="e">
        <f t="shared" si="7"/>
        <v>#DIV/0!</v>
      </c>
      <c r="X67" t="e">
        <f t="shared" si="8"/>
        <v>#DIV/0!</v>
      </c>
      <c r="Y67" t="e">
        <f t="shared" si="9"/>
        <v>#DIV/0!</v>
      </c>
    </row>
    <row r="68" spans="1:25" x14ac:dyDescent="0.25">
      <c r="A68" s="12"/>
      <c r="B68" s="7" t="s">
        <v>15</v>
      </c>
      <c r="C68" s="7">
        <v>26.5</v>
      </c>
      <c r="D68" s="7">
        <v>21</v>
      </c>
      <c r="E68" s="7">
        <v>10</v>
      </c>
      <c r="F68" s="7">
        <v>536</v>
      </c>
      <c r="G68" s="7">
        <v>62</v>
      </c>
      <c r="H68" s="7">
        <v>23.1</v>
      </c>
      <c r="I68" s="7">
        <v>19.3</v>
      </c>
      <c r="J68" s="7">
        <v>17.399999999999999</v>
      </c>
      <c r="K68" s="7">
        <v>0.24</v>
      </c>
      <c r="L68" s="7">
        <v>0.41</v>
      </c>
      <c r="M68" s="7">
        <v>0.16</v>
      </c>
      <c r="N68" s="7">
        <v>20</v>
      </c>
      <c r="O68" s="7">
        <v>0.1956</v>
      </c>
      <c r="P68" s="7">
        <v>2.5999999999999999E-2</v>
      </c>
      <c r="Q68" s="7">
        <v>0.33329999999999999</v>
      </c>
      <c r="R68" s="7">
        <v>0.8</v>
      </c>
      <c r="S68" s="7">
        <v>10</v>
      </c>
      <c r="T68" s="7">
        <f t="shared" si="5"/>
        <v>0.80384000000000011</v>
      </c>
      <c r="U68" s="7"/>
      <c r="V68">
        <f t="shared" si="6"/>
        <v>0</v>
      </c>
      <c r="W68">
        <f t="shared" si="7"/>
        <v>9.7800000000000005E-3</v>
      </c>
      <c r="X68">
        <f t="shared" si="8"/>
        <v>1.2999999999999999E-3</v>
      </c>
      <c r="Y68">
        <f t="shared" si="9"/>
        <v>1.6664999999999999E-2</v>
      </c>
    </row>
    <row r="69" spans="1:25" x14ac:dyDescent="0.25">
      <c r="A69" s="12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>
        <v>0.85</v>
      </c>
      <c r="S69" s="7">
        <v>11</v>
      </c>
      <c r="T69" s="7">
        <f t="shared" si="5"/>
        <v>0.96417624999999996</v>
      </c>
      <c r="U69" s="7"/>
      <c r="V69" t="e">
        <f t="shared" si="6"/>
        <v>#DIV/0!</v>
      </c>
      <c r="W69" t="e">
        <f t="shared" si="7"/>
        <v>#DIV/0!</v>
      </c>
      <c r="X69" t="e">
        <f t="shared" si="8"/>
        <v>#DIV/0!</v>
      </c>
      <c r="Y69" t="e">
        <f t="shared" si="9"/>
        <v>#DIV/0!</v>
      </c>
    </row>
    <row r="70" spans="1:25" x14ac:dyDescent="0.25">
      <c r="A70" s="12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>
        <v>0.74</v>
      </c>
      <c r="S70" s="7">
        <v>9</v>
      </c>
      <c r="T70" s="7">
        <f t="shared" si="5"/>
        <v>0.63620167999999999</v>
      </c>
      <c r="U70" s="7"/>
      <c r="V70" t="e">
        <f t="shared" si="6"/>
        <v>#DIV/0!</v>
      </c>
      <c r="W70" t="e">
        <f t="shared" si="7"/>
        <v>#DIV/0!</v>
      </c>
      <c r="X70" t="e">
        <f t="shared" si="8"/>
        <v>#DIV/0!</v>
      </c>
      <c r="Y70" t="e">
        <f t="shared" si="9"/>
        <v>#DIV/0!</v>
      </c>
    </row>
    <row r="71" spans="1:25" x14ac:dyDescent="0.25">
      <c r="A71" s="12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>
        <v>0.68</v>
      </c>
      <c r="S71" s="7">
        <v>9</v>
      </c>
      <c r="T71" s="7">
        <f t="shared" si="5"/>
        <v>0.49365824000000014</v>
      </c>
      <c r="U71" s="7"/>
      <c r="V71" t="e">
        <f t="shared" si="6"/>
        <v>#DIV/0!</v>
      </c>
      <c r="W71" t="e">
        <f t="shared" si="7"/>
        <v>#DIV/0!</v>
      </c>
      <c r="X71" t="e">
        <f t="shared" si="8"/>
        <v>#DIV/0!</v>
      </c>
      <c r="Y71" t="e">
        <f t="shared" si="9"/>
        <v>#DIV/0!</v>
      </c>
    </row>
    <row r="72" spans="1:25" x14ac:dyDescent="0.25">
      <c r="A72" s="12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>
        <v>0.64</v>
      </c>
      <c r="S72" s="7">
        <v>9</v>
      </c>
      <c r="T72" s="7">
        <f t="shared" si="5"/>
        <v>0.41156608000000006</v>
      </c>
      <c r="U72" s="7">
        <f>AVERAGEA(T68:T72)</f>
        <v>0.66188845000000007</v>
      </c>
      <c r="V72" t="e">
        <f t="shared" si="6"/>
        <v>#DIV/0!</v>
      </c>
      <c r="W72" t="e">
        <f t="shared" si="7"/>
        <v>#DIV/0!</v>
      </c>
      <c r="X72" t="e">
        <f t="shared" si="8"/>
        <v>#DIV/0!</v>
      </c>
      <c r="Y72" t="e">
        <f t="shared" si="9"/>
        <v>#DIV/0!</v>
      </c>
    </row>
    <row r="73" spans="1:25" x14ac:dyDescent="0.25">
      <c r="A73" s="12" t="s">
        <v>81</v>
      </c>
      <c r="B73" s="5" t="s">
        <v>17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>
        <v>10</v>
      </c>
      <c r="O73" s="5">
        <v>0.24460000000000001</v>
      </c>
      <c r="P73" s="5">
        <v>8.9300000000000004E-2</v>
      </c>
      <c r="Q73" s="5">
        <v>0.27600000000000002</v>
      </c>
      <c r="R73" s="5"/>
      <c r="S73" s="5"/>
      <c r="T73" s="5"/>
      <c r="U73" s="5">
        <v>1868</v>
      </c>
      <c r="V73">
        <f t="shared" si="6"/>
        <v>186.8</v>
      </c>
      <c r="W73">
        <f t="shared" si="7"/>
        <v>2.4460000000000003E-2</v>
      </c>
      <c r="X73">
        <f t="shared" si="8"/>
        <v>8.9300000000000004E-3</v>
      </c>
      <c r="Y73">
        <f t="shared" si="9"/>
        <v>2.7600000000000003E-2</v>
      </c>
    </row>
    <row r="74" spans="1:25" x14ac:dyDescent="0.25">
      <c r="A74" s="12"/>
      <c r="B74" s="6" t="s">
        <v>129</v>
      </c>
      <c r="C74" s="6">
        <v>14</v>
      </c>
      <c r="D74" s="6">
        <v>16</v>
      </c>
      <c r="E74" s="6">
        <v>8</v>
      </c>
      <c r="F74" s="6">
        <v>41</v>
      </c>
      <c r="G74" s="6">
        <v>4.91</v>
      </c>
      <c r="H74" s="6">
        <v>59.5</v>
      </c>
      <c r="I74" s="6">
        <v>31.2</v>
      </c>
      <c r="J74" s="6">
        <v>37.4</v>
      </c>
      <c r="K74" s="6">
        <v>0.23</v>
      </c>
      <c r="L74" s="6">
        <v>0.11</v>
      </c>
      <c r="M74" s="6">
        <v>0.13</v>
      </c>
      <c r="N74" s="6">
        <v>20</v>
      </c>
      <c r="O74" s="6">
        <v>7.0999999999999994E-2</v>
      </c>
      <c r="P74" s="6">
        <v>1.72E-2</v>
      </c>
      <c r="Q74" s="6">
        <v>0.1532</v>
      </c>
      <c r="R74" s="6"/>
      <c r="S74" s="6"/>
      <c r="T74" s="6"/>
      <c r="U74" s="6">
        <v>615</v>
      </c>
      <c r="V74">
        <f t="shared" si="6"/>
        <v>30.75</v>
      </c>
      <c r="W74">
        <f t="shared" si="7"/>
        <v>3.5499999999999998E-3</v>
      </c>
      <c r="X74">
        <f t="shared" si="8"/>
        <v>8.5999999999999998E-4</v>
      </c>
      <c r="Y74">
        <f t="shared" si="9"/>
        <v>7.6600000000000001E-3</v>
      </c>
    </row>
    <row r="75" spans="1:25" x14ac:dyDescent="0.25">
      <c r="A75" s="12"/>
      <c r="B75" s="7" t="s">
        <v>82</v>
      </c>
      <c r="C75" s="7">
        <v>28</v>
      </c>
      <c r="D75" s="7">
        <v>17.5</v>
      </c>
      <c r="E75" s="7">
        <v>16</v>
      </c>
      <c r="F75" s="7">
        <v>21</v>
      </c>
      <c r="G75" s="7">
        <v>3.04</v>
      </c>
      <c r="H75" s="7">
        <v>17.600000000000001</v>
      </c>
      <c r="I75" s="7">
        <v>28.5</v>
      </c>
      <c r="J75" s="7">
        <v>29</v>
      </c>
      <c r="K75" s="7">
        <v>0.18</v>
      </c>
      <c r="L75" s="7">
        <v>7.0000000000000007E-2</v>
      </c>
      <c r="M75" s="7">
        <v>0.25</v>
      </c>
      <c r="N75" s="7">
        <v>5</v>
      </c>
      <c r="O75" s="7">
        <v>2.9600000000000001E-2</v>
      </c>
      <c r="P75" s="7">
        <v>5.7099999999999998E-2</v>
      </c>
      <c r="Q75" s="7">
        <v>0.41749999999999998</v>
      </c>
      <c r="R75" s="7"/>
      <c r="S75" s="7"/>
      <c r="T75" s="7"/>
      <c r="U75" s="7">
        <v>1747</v>
      </c>
      <c r="V75">
        <f t="shared" si="6"/>
        <v>349.4</v>
      </c>
      <c r="W75">
        <f t="shared" si="7"/>
        <v>5.9199999999999999E-3</v>
      </c>
      <c r="X75">
        <f t="shared" si="8"/>
        <v>1.142E-2</v>
      </c>
      <c r="Y75">
        <f t="shared" si="9"/>
        <v>8.3499999999999991E-2</v>
      </c>
    </row>
    <row r="76" spans="1:25" x14ac:dyDescent="0.25">
      <c r="A76" s="12"/>
      <c r="B76" s="8" t="s">
        <v>73</v>
      </c>
      <c r="C76" s="8">
        <v>41</v>
      </c>
      <c r="D76" s="8">
        <v>33</v>
      </c>
      <c r="E76" s="8">
        <v>19.5</v>
      </c>
      <c r="F76" s="8">
        <v>212</v>
      </c>
      <c r="G76" s="8">
        <v>41.58</v>
      </c>
      <c r="H76" s="8">
        <v>37</v>
      </c>
      <c r="I76" s="8">
        <v>32.6</v>
      </c>
      <c r="J76" s="8">
        <v>39.6</v>
      </c>
      <c r="K76" s="8">
        <v>0.12</v>
      </c>
      <c r="L76" s="8">
        <v>0.11</v>
      </c>
      <c r="M76" s="8">
        <v>0.11</v>
      </c>
      <c r="N76" s="8">
        <v>5</v>
      </c>
      <c r="O76" s="8">
        <v>0.14410000000000001</v>
      </c>
      <c r="P76" s="8">
        <v>4.3299999999999998E-2</v>
      </c>
      <c r="Q76" s="8">
        <v>0.23569999999999999</v>
      </c>
      <c r="R76" s="8"/>
      <c r="S76" s="8"/>
      <c r="T76" s="8"/>
      <c r="U76" s="8">
        <v>1508</v>
      </c>
      <c r="V76">
        <f t="shared" si="6"/>
        <v>301.60000000000002</v>
      </c>
      <c r="W76">
        <f t="shared" si="7"/>
        <v>2.8820000000000002E-2</v>
      </c>
      <c r="X76">
        <f t="shared" si="8"/>
        <v>8.6599999999999993E-3</v>
      </c>
      <c r="Y76">
        <f t="shared" si="9"/>
        <v>4.7140000000000001E-2</v>
      </c>
    </row>
    <row r="77" spans="1:25" x14ac:dyDescent="0.25">
      <c r="A77" s="12" t="s">
        <v>83</v>
      </c>
      <c r="B77" s="5" t="s">
        <v>70</v>
      </c>
      <c r="C77" s="5">
        <v>17</v>
      </c>
      <c r="D77" s="5">
        <v>8</v>
      </c>
      <c r="E77" s="5">
        <v>15</v>
      </c>
      <c r="F77" s="5">
        <v>223</v>
      </c>
      <c r="G77" s="5">
        <v>24.69</v>
      </c>
      <c r="H77" s="5">
        <v>43.8</v>
      </c>
      <c r="I77" s="5">
        <v>32.4</v>
      </c>
      <c r="J77" s="5">
        <v>48.9</v>
      </c>
      <c r="K77" s="5">
        <v>0.13</v>
      </c>
      <c r="L77" s="5">
        <v>0.19</v>
      </c>
      <c r="M77" s="5">
        <v>0.13</v>
      </c>
      <c r="N77" s="5">
        <v>5</v>
      </c>
      <c r="O77" s="5">
        <v>0.24529999999999999</v>
      </c>
      <c r="P77" s="5">
        <v>7.9000000000000001E-2</v>
      </c>
      <c r="Q77" s="5">
        <v>0.3246</v>
      </c>
      <c r="R77" s="5"/>
      <c r="S77" s="5"/>
      <c r="T77" s="5"/>
      <c r="U77" s="5">
        <v>1735</v>
      </c>
      <c r="V77">
        <f t="shared" si="6"/>
        <v>347</v>
      </c>
      <c r="W77">
        <f t="shared" si="7"/>
        <v>4.9059999999999999E-2</v>
      </c>
      <c r="X77">
        <f t="shared" si="8"/>
        <v>1.5800000000000002E-2</v>
      </c>
      <c r="Y77">
        <f t="shared" si="9"/>
        <v>6.4920000000000005E-2</v>
      </c>
    </row>
    <row r="78" spans="1:25" x14ac:dyDescent="0.25">
      <c r="A78" s="12"/>
      <c r="B78" s="6" t="s">
        <v>71</v>
      </c>
      <c r="C78" s="6">
        <v>9</v>
      </c>
      <c r="D78" s="6">
        <v>6.5</v>
      </c>
      <c r="E78" s="6">
        <v>5</v>
      </c>
      <c r="F78" s="6">
        <v>56</v>
      </c>
      <c r="G78" s="6">
        <v>7.12</v>
      </c>
      <c r="H78" s="6">
        <v>38.9</v>
      </c>
      <c r="I78" s="6">
        <v>40.5</v>
      </c>
      <c r="J78" s="6">
        <v>40.200000000000003</v>
      </c>
      <c r="K78" s="6">
        <v>0.18</v>
      </c>
      <c r="L78" s="6">
        <v>0.14000000000000001</v>
      </c>
      <c r="M78" s="6">
        <v>0.16</v>
      </c>
      <c r="N78" s="6">
        <v>5</v>
      </c>
      <c r="O78" s="6">
        <v>0.68910000000000005</v>
      </c>
      <c r="P78" s="6">
        <v>0.11</v>
      </c>
      <c r="Q78" s="6">
        <v>6.2600000000000003E-2</v>
      </c>
      <c r="R78" s="6"/>
      <c r="S78" s="6"/>
      <c r="T78" s="6"/>
      <c r="U78" s="6">
        <v>3241</v>
      </c>
      <c r="V78">
        <f t="shared" si="6"/>
        <v>648.20000000000005</v>
      </c>
      <c r="W78">
        <f t="shared" si="7"/>
        <v>0.13782</v>
      </c>
      <c r="X78">
        <f t="shared" si="8"/>
        <v>2.1999999999999999E-2</v>
      </c>
      <c r="Y78">
        <f t="shared" si="9"/>
        <v>1.252E-2</v>
      </c>
    </row>
    <row r="79" spans="1:25" x14ac:dyDescent="0.25">
      <c r="A79" s="12"/>
      <c r="B79" s="7" t="s">
        <v>17</v>
      </c>
      <c r="C79" s="7">
        <v>20</v>
      </c>
      <c r="D79" s="7">
        <v>24</v>
      </c>
      <c r="E79" s="7">
        <v>12.5</v>
      </c>
      <c r="F79" s="7">
        <v>16</v>
      </c>
      <c r="G79" s="7">
        <v>4.93</v>
      </c>
      <c r="H79" s="7">
        <v>48</v>
      </c>
      <c r="I79" s="7">
        <v>48.1</v>
      </c>
      <c r="J79" s="7">
        <v>50.2</v>
      </c>
      <c r="K79" s="7">
        <v>0.09</v>
      </c>
      <c r="L79" s="7">
        <v>0.11</v>
      </c>
      <c r="M79" s="7">
        <v>0.13</v>
      </c>
      <c r="N79" s="7">
        <v>10</v>
      </c>
      <c r="O79" s="7">
        <v>0.17519999999999999</v>
      </c>
      <c r="P79" s="7">
        <v>8.0399999999999999E-2</v>
      </c>
      <c r="Q79" s="7">
        <v>0.192</v>
      </c>
      <c r="R79" s="7"/>
      <c r="S79" s="7"/>
      <c r="T79" s="7"/>
      <c r="U79" s="7">
        <v>1452</v>
      </c>
      <c r="V79">
        <f t="shared" si="6"/>
        <v>145.19999999999999</v>
      </c>
      <c r="W79">
        <f t="shared" si="7"/>
        <v>1.7520000000000001E-2</v>
      </c>
      <c r="X79">
        <f t="shared" si="8"/>
        <v>8.0400000000000003E-3</v>
      </c>
      <c r="Y79">
        <f t="shared" si="9"/>
        <v>1.9200000000000002E-2</v>
      </c>
    </row>
    <row r="80" spans="1:25" x14ac:dyDescent="0.25">
      <c r="A80" s="12"/>
      <c r="B80" s="8" t="s">
        <v>75</v>
      </c>
      <c r="C80" s="8">
        <v>6</v>
      </c>
      <c r="D80" s="8">
        <v>4</v>
      </c>
      <c r="E80" s="8">
        <v>3</v>
      </c>
      <c r="F80" s="8">
        <v>3</v>
      </c>
      <c r="G80" s="8">
        <v>0.82</v>
      </c>
      <c r="H80" s="8">
        <v>48.8</v>
      </c>
      <c r="I80" s="8">
        <v>54.1</v>
      </c>
      <c r="J80" s="8">
        <v>51.7</v>
      </c>
      <c r="K80" s="8">
        <v>0.14000000000000001</v>
      </c>
      <c r="L80" s="8">
        <v>0.2</v>
      </c>
      <c r="M80" s="8">
        <v>0.09</v>
      </c>
      <c r="N80" s="8">
        <v>5</v>
      </c>
      <c r="O80" s="8">
        <v>0.14940000000000001</v>
      </c>
      <c r="P80" s="8">
        <v>2.29E-2</v>
      </c>
      <c r="Q80" s="8">
        <v>0.1087</v>
      </c>
      <c r="R80" s="8"/>
      <c r="S80" s="8"/>
      <c r="T80" s="8"/>
      <c r="U80" s="8">
        <v>872</v>
      </c>
      <c r="V80">
        <f t="shared" si="6"/>
        <v>174.4</v>
      </c>
      <c r="W80">
        <f t="shared" si="7"/>
        <v>2.988E-2</v>
      </c>
      <c r="X80">
        <f t="shared" si="8"/>
        <v>4.5799999999999999E-3</v>
      </c>
      <c r="Y80">
        <f t="shared" si="9"/>
        <v>2.1740000000000002E-2</v>
      </c>
    </row>
    <row r="81" spans="1:25" x14ac:dyDescent="0.25">
      <c r="A81" s="12"/>
      <c r="B81" s="5" t="s">
        <v>35</v>
      </c>
      <c r="C81" s="5">
        <v>12.5</v>
      </c>
      <c r="D81" s="5">
        <v>13</v>
      </c>
      <c r="E81" s="5">
        <v>13</v>
      </c>
      <c r="F81" s="5">
        <v>15</v>
      </c>
      <c r="G81" s="5">
        <v>4.2699999999999996</v>
      </c>
      <c r="H81" s="5">
        <v>43.9</v>
      </c>
      <c r="I81" s="5">
        <v>41.8</v>
      </c>
      <c r="J81" s="5">
        <v>41.4</v>
      </c>
      <c r="K81" s="5">
        <v>0.12</v>
      </c>
      <c r="L81" s="5">
        <v>0.09</v>
      </c>
      <c r="M81" s="5">
        <v>0.12</v>
      </c>
      <c r="N81" s="5">
        <v>15</v>
      </c>
      <c r="O81" s="5">
        <v>8.0299999999999996E-2</v>
      </c>
      <c r="P81" s="5">
        <v>1.8700000000000001E-2</v>
      </c>
      <c r="Q81" s="5">
        <v>0.1346</v>
      </c>
      <c r="R81" s="5"/>
      <c r="S81" s="5"/>
      <c r="T81" s="5"/>
      <c r="U81" s="5">
        <v>912</v>
      </c>
      <c r="V81">
        <f t="shared" si="6"/>
        <v>60.8</v>
      </c>
      <c r="W81">
        <f t="shared" si="7"/>
        <v>5.3533333333333332E-3</v>
      </c>
      <c r="X81">
        <f t="shared" si="8"/>
        <v>1.2466666666666668E-3</v>
      </c>
      <c r="Y81">
        <f t="shared" si="9"/>
        <v>8.9733333333333332E-3</v>
      </c>
    </row>
    <row r="82" spans="1:25" x14ac:dyDescent="0.25">
      <c r="A82" s="12"/>
      <c r="B82" s="3" t="s">
        <v>15</v>
      </c>
      <c r="C82" s="3">
        <v>22</v>
      </c>
      <c r="D82" s="3">
        <v>16.5</v>
      </c>
      <c r="E82" s="3">
        <v>11</v>
      </c>
      <c r="F82" s="3">
        <v>552</v>
      </c>
      <c r="G82" s="3">
        <v>65.540000000000006</v>
      </c>
      <c r="H82" s="3">
        <v>15.4</v>
      </c>
      <c r="I82" s="3">
        <v>17.5</v>
      </c>
      <c r="J82" s="3">
        <v>12.1</v>
      </c>
      <c r="K82" s="3">
        <v>0.35</v>
      </c>
      <c r="L82" s="3">
        <v>0.75</v>
      </c>
      <c r="M82" s="3">
        <v>0.38</v>
      </c>
      <c r="N82" s="3">
        <v>20</v>
      </c>
      <c r="O82" s="3">
        <v>0.17910000000000001</v>
      </c>
      <c r="P82" s="3">
        <v>2.1000000000000001E-2</v>
      </c>
      <c r="Q82" s="3">
        <v>0.37959999999999999</v>
      </c>
      <c r="R82" s="3">
        <v>1.31</v>
      </c>
      <c r="S82" s="3">
        <v>12.17</v>
      </c>
      <c r="T82" s="3">
        <f>(R82/2)^2*3.14*2*R82</f>
        <v>3.5295028700000008</v>
      </c>
      <c r="U82" s="3"/>
      <c r="V82">
        <f t="shared" si="6"/>
        <v>0</v>
      </c>
      <c r="W82">
        <f t="shared" si="7"/>
        <v>8.9550000000000012E-3</v>
      </c>
      <c r="X82">
        <f t="shared" si="8"/>
        <v>1.0500000000000002E-3</v>
      </c>
      <c r="Y82">
        <f t="shared" si="9"/>
        <v>1.898E-2</v>
      </c>
    </row>
    <row r="83" spans="1:25" x14ac:dyDescent="0.25">
      <c r="A83" s="12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>
        <v>1.35</v>
      </c>
      <c r="S83" s="3">
        <v>9.08</v>
      </c>
      <c r="T83" s="3">
        <f>(R83/2)^2*3.14*2*R83</f>
        <v>3.8627887500000009</v>
      </c>
      <c r="U83" s="3"/>
      <c r="V83" t="e">
        <f t="shared" si="6"/>
        <v>#DIV/0!</v>
      </c>
      <c r="W83" t="e">
        <f t="shared" si="7"/>
        <v>#DIV/0!</v>
      </c>
      <c r="X83" t="e">
        <f t="shared" si="8"/>
        <v>#DIV/0!</v>
      </c>
      <c r="Y83" t="e">
        <f t="shared" si="9"/>
        <v>#DIV/0!</v>
      </c>
    </row>
    <row r="84" spans="1:25" x14ac:dyDescent="0.25">
      <c r="A84" s="12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>
        <v>0.8</v>
      </c>
      <c r="S84" s="3">
        <v>9.43</v>
      </c>
      <c r="T84" s="3">
        <f>(R84/2)^2*3.14*2*R84</f>
        <v>0.80384000000000011</v>
      </c>
      <c r="U84" s="3"/>
      <c r="V84" t="e">
        <f t="shared" si="6"/>
        <v>#DIV/0!</v>
      </c>
      <c r="W84" t="e">
        <f t="shared" si="7"/>
        <v>#DIV/0!</v>
      </c>
      <c r="X84" t="e">
        <f t="shared" si="8"/>
        <v>#DIV/0!</v>
      </c>
      <c r="Y84" t="e">
        <f t="shared" si="9"/>
        <v>#DIV/0!</v>
      </c>
    </row>
    <row r="85" spans="1:25" x14ac:dyDescent="0.25">
      <c r="A85" s="12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>
        <v>0.98</v>
      </c>
      <c r="S85" s="3">
        <v>7.78</v>
      </c>
      <c r="T85" s="3">
        <f>(R85/2)^2*3.14*2*R85</f>
        <v>1.4776714399999999</v>
      </c>
      <c r="U85" s="3"/>
      <c r="V85" t="e">
        <f t="shared" si="6"/>
        <v>#DIV/0!</v>
      </c>
      <c r="W85" t="e">
        <f t="shared" si="7"/>
        <v>#DIV/0!</v>
      </c>
      <c r="X85" t="e">
        <f t="shared" si="8"/>
        <v>#DIV/0!</v>
      </c>
      <c r="Y85" t="e">
        <f t="shared" si="9"/>
        <v>#DIV/0!</v>
      </c>
    </row>
    <row r="86" spans="1:25" x14ac:dyDescent="0.25">
      <c r="A86" s="12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>
        <v>1.05</v>
      </c>
      <c r="S86" s="3">
        <v>4.34</v>
      </c>
      <c r="T86" s="3">
        <f>(R86/2)^2*3.14*2*R86</f>
        <v>1.8174712500000001</v>
      </c>
      <c r="U86" s="3">
        <f>AVERAGEA(T82:T86)</f>
        <v>2.2982548620000007</v>
      </c>
      <c r="V86" t="e">
        <f t="shared" si="6"/>
        <v>#DIV/0!</v>
      </c>
      <c r="W86" t="e">
        <f t="shared" si="7"/>
        <v>#DIV/0!</v>
      </c>
      <c r="X86" t="e">
        <f t="shared" si="8"/>
        <v>#DIV/0!</v>
      </c>
      <c r="Y86" t="e">
        <f t="shared" si="9"/>
        <v>#DIV/0!</v>
      </c>
    </row>
    <row r="87" spans="1:25" x14ac:dyDescent="0.25">
      <c r="A87" s="12" t="s">
        <v>84</v>
      </c>
      <c r="B87" s="13" t="s">
        <v>17</v>
      </c>
      <c r="C87" s="13">
        <v>12</v>
      </c>
      <c r="D87" s="13">
        <v>11</v>
      </c>
      <c r="E87" s="13">
        <v>10</v>
      </c>
      <c r="F87" s="13">
        <v>105</v>
      </c>
      <c r="G87" s="13">
        <v>20.190000000000001</v>
      </c>
      <c r="H87" s="13">
        <v>36.1</v>
      </c>
      <c r="I87" s="13">
        <v>37.9</v>
      </c>
      <c r="J87" s="13">
        <v>38.1</v>
      </c>
      <c r="K87" s="13">
        <v>0.12</v>
      </c>
      <c r="L87" s="13">
        <v>0.13</v>
      </c>
      <c r="M87" s="13">
        <v>0.13</v>
      </c>
      <c r="N87" s="13">
        <v>10</v>
      </c>
      <c r="O87" s="13">
        <v>0.18820000000000001</v>
      </c>
      <c r="P87" s="13">
        <v>8.6900000000000005E-2</v>
      </c>
      <c r="Q87" s="13">
        <v>0.21740000000000001</v>
      </c>
      <c r="R87" s="13"/>
      <c r="S87" s="13"/>
      <c r="T87" s="13"/>
      <c r="U87" s="13">
        <v>1292</v>
      </c>
      <c r="V87">
        <f t="shared" si="6"/>
        <v>129.19999999999999</v>
      </c>
      <c r="W87">
        <f t="shared" si="7"/>
        <v>1.882E-2</v>
      </c>
      <c r="X87">
        <f t="shared" si="8"/>
        <v>8.6899999999999998E-3</v>
      </c>
      <c r="Y87">
        <f t="shared" si="9"/>
        <v>2.1740000000000002E-2</v>
      </c>
    </row>
    <row r="88" spans="1:25" x14ac:dyDescent="0.25">
      <c r="A88" s="12"/>
      <c r="B88" s="6" t="s">
        <v>71</v>
      </c>
      <c r="C88" s="6">
        <v>11.1</v>
      </c>
      <c r="D88" s="6">
        <v>7</v>
      </c>
      <c r="E88" s="6">
        <v>7</v>
      </c>
      <c r="F88" s="6">
        <v>36</v>
      </c>
      <c r="G88" s="6">
        <v>3.53</v>
      </c>
      <c r="H88" s="6">
        <v>41.6</v>
      </c>
      <c r="I88" s="6">
        <v>34</v>
      </c>
      <c r="J88" s="6">
        <v>49.5</v>
      </c>
      <c r="K88" s="6">
        <v>0.14000000000000001</v>
      </c>
      <c r="L88" s="6">
        <v>0.17</v>
      </c>
      <c r="M88" s="6">
        <v>0.13</v>
      </c>
      <c r="N88" s="6">
        <v>5</v>
      </c>
      <c r="O88" s="6">
        <v>0.5333</v>
      </c>
      <c r="P88" s="6">
        <v>7.3999999999999996E-2</v>
      </c>
      <c r="Q88" s="6">
        <v>0.82550000000000001</v>
      </c>
      <c r="R88" s="6"/>
      <c r="S88" s="6"/>
      <c r="T88" s="6"/>
      <c r="U88" s="6">
        <v>1952</v>
      </c>
      <c r="V88">
        <f t="shared" si="6"/>
        <v>390.4</v>
      </c>
      <c r="W88">
        <f t="shared" si="7"/>
        <v>0.10666</v>
      </c>
      <c r="X88">
        <f t="shared" si="8"/>
        <v>1.4799999999999999E-2</v>
      </c>
      <c r="Y88">
        <f t="shared" si="9"/>
        <v>0.1651</v>
      </c>
    </row>
    <row r="89" spans="1:25" x14ac:dyDescent="0.25">
      <c r="A89" s="12"/>
      <c r="B89" s="7" t="s">
        <v>70</v>
      </c>
      <c r="C89" s="7">
        <v>18.5</v>
      </c>
      <c r="D89" s="7">
        <v>20</v>
      </c>
      <c r="E89" s="7">
        <v>12</v>
      </c>
      <c r="F89" s="7">
        <v>107</v>
      </c>
      <c r="G89" s="7">
        <v>14.23</v>
      </c>
      <c r="H89" s="7">
        <v>48.6</v>
      </c>
      <c r="I89" s="7">
        <v>35.700000000000003</v>
      </c>
      <c r="J89" s="7">
        <v>42.3</v>
      </c>
      <c r="K89" s="7">
        <v>0.13</v>
      </c>
      <c r="L89" s="7">
        <v>0.19</v>
      </c>
      <c r="M89" s="7">
        <v>0.16</v>
      </c>
      <c r="N89" s="7">
        <v>5</v>
      </c>
      <c r="O89" s="7">
        <v>0.48899999999999999</v>
      </c>
      <c r="P89" s="7">
        <v>0.18540000000000001</v>
      </c>
      <c r="Q89" s="7">
        <v>0.67369999999999997</v>
      </c>
      <c r="R89" s="7">
        <v>0.7</v>
      </c>
      <c r="S89" s="7">
        <v>275</v>
      </c>
      <c r="T89" s="7">
        <f t="shared" ref="T89:T98" si="10">(R89/2)^2*3.14*2*R89</f>
        <v>0.53850999999999993</v>
      </c>
      <c r="U89" s="7"/>
      <c r="V89">
        <f t="shared" si="6"/>
        <v>0</v>
      </c>
      <c r="W89">
        <f t="shared" si="7"/>
        <v>9.7799999999999998E-2</v>
      </c>
      <c r="X89">
        <f t="shared" si="8"/>
        <v>3.7080000000000002E-2</v>
      </c>
      <c r="Y89">
        <f t="shared" si="9"/>
        <v>0.13474</v>
      </c>
    </row>
    <row r="90" spans="1:25" x14ac:dyDescent="0.25">
      <c r="A90" s="12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>
        <v>0.45</v>
      </c>
      <c r="S90" s="7">
        <v>211</v>
      </c>
      <c r="T90" s="7">
        <f t="shared" si="10"/>
        <v>0.14306625000000001</v>
      </c>
      <c r="U90" s="7"/>
      <c r="V90" t="e">
        <f t="shared" si="6"/>
        <v>#DIV/0!</v>
      </c>
      <c r="W90" t="e">
        <f t="shared" si="7"/>
        <v>#DIV/0!</v>
      </c>
      <c r="X90" t="e">
        <f t="shared" si="8"/>
        <v>#DIV/0!</v>
      </c>
      <c r="Y90" t="e">
        <f t="shared" si="9"/>
        <v>#DIV/0!</v>
      </c>
    </row>
    <row r="91" spans="1:25" x14ac:dyDescent="0.25">
      <c r="A91" s="12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>
        <v>0.44</v>
      </c>
      <c r="S91" s="7">
        <v>192</v>
      </c>
      <c r="T91" s="7">
        <f t="shared" si="10"/>
        <v>0.13373888</v>
      </c>
      <c r="U91" s="7"/>
      <c r="V91" t="e">
        <f t="shared" si="6"/>
        <v>#DIV/0!</v>
      </c>
      <c r="W91" t="e">
        <f t="shared" si="7"/>
        <v>#DIV/0!</v>
      </c>
      <c r="X91" t="e">
        <f t="shared" si="8"/>
        <v>#DIV/0!</v>
      </c>
      <c r="Y91" t="e">
        <f t="shared" si="9"/>
        <v>#DIV/0!</v>
      </c>
    </row>
    <row r="92" spans="1:25" x14ac:dyDescent="0.25">
      <c r="A92" s="12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>
        <v>0.49</v>
      </c>
      <c r="S92" s="7">
        <v>142</v>
      </c>
      <c r="T92" s="7">
        <f t="shared" si="10"/>
        <v>0.18470892999999999</v>
      </c>
      <c r="U92" s="7"/>
      <c r="V92" t="e">
        <f t="shared" si="6"/>
        <v>#DIV/0!</v>
      </c>
      <c r="W92" t="e">
        <f t="shared" si="7"/>
        <v>#DIV/0!</v>
      </c>
      <c r="X92" t="e">
        <f t="shared" si="8"/>
        <v>#DIV/0!</v>
      </c>
      <c r="Y92" t="e">
        <f t="shared" si="9"/>
        <v>#DIV/0!</v>
      </c>
    </row>
    <row r="93" spans="1:25" x14ac:dyDescent="0.25">
      <c r="A93" s="12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>
        <v>0.48</v>
      </c>
      <c r="S93" s="7">
        <v>276</v>
      </c>
      <c r="T93" s="7">
        <f t="shared" si="10"/>
        <v>0.17362944</v>
      </c>
      <c r="U93" s="7">
        <f>AVERAGEA(T89:T93)</f>
        <v>0.23473069999999999</v>
      </c>
      <c r="V93" t="e">
        <f t="shared" si="6"/>
        <v>#DIV/0!</v>
      </c>
      <c r="W93" t="e">
        <f t="shared" si="7"/>
        <v>#DIV/0!</v>
      </c>
      <c r="X93" t="e">
        <f t="shared" si="8"/>
        <v>#DIV/0!</v>
      </c>
      <c r="Y93" t="e">
        <f t="shared" si="9"/>
        <v>#DIV/0!</v>
      </c>
    </row>
    <row r="94" spans="1:25" x14ac:dyDescent="0.25">
      <c r="A94" s="12"/>
      <c r="B94" s="8" t="s">
        <v>15</v>
      </c>
      <c r="C94" s="8">
        <v>17.5</v>
      </c>
      <c r="D94" s="8">
        <v>16</v>
      </c>
      <c r="E94" s="8">
        <v>5.5</v>
      </c>
      <c r="F94" s="8">
        <v>437</v>
      </c>
      <c r="G94" s="8">
        <v>32.04</v>
      </c>
      <c r="H94" s="8">
        <v>15</v>
      </c>
      <c r="I94" s="8">
        <v>21.9</v>
      </c>
      <c r="J94" s="8">
        <v>17</v>
      </c>
      <c r="K94" s="8">
        <v>0.65</v>
      </c>
      <c r="L94" s="8">
        <v>0.67</v>
      </c>
      <c r="M94" s="8">
        <v>0.88</v>
      </c>
      <c r="N94" s="8">
        <v>20</v>
      </c>
      <c r="O94" s="8">
        <v>0.26</v>
      </c>
      <c r="P94" s="8">
        <v>3.2199999999999999E-2</v>
      </c>
      <c r="Q94" s="8">
        <v>0.41260000000000002</v>
      </c>
      <c r="R94" s="8">
        <v>0.73</v>
      </c>
      <c r="S94" s="8">
        <v>14</v>
      </c>
      <c r="T94" s="8">
        <f t="shared" si="10"/>
        <v>0.61075668999999988</v>
      </c>
      <c r="U94" s="8"/>
      <c r="V94">
        <f t="shared" si="6"/>
        <v>0</v>
      </c>
      <c r="W94">
        <f t="shared" si="7"/>
        <v>1.3000000000000001E-2</v>
      </c>
      <c r="X94">
        <f t="shared" si="8"/>
        <v>1.6099999999999999E-3</v>
      </c>
      <c r="Y94">
        <f t="shared" si="9"/>
        <v>2.0630000000000003E-2</v>
      </c>
    </row>
    <row r="95" spans="1:25" x14ac:dyDescent="0.25">
      <c r="A95" s="12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>
        <v>0.92</v>
      </c>
      <c r="S95" s="8">
        <v>12</v>
      </c>
      <c r="T95" s="8">
        <f t="shared" si="10"/>
        <v>1.2225401600000001</v>
      </c>
      <c r="U95" s="8"/>
      <c r="V95" t="e">
        <f t="shared" si="6"/>
        <v>#DIV/0!</v>
      </c>
      <c r="W95" t="e">
        <f t="shared" si="7"/>
        <v>#DIV/0!</v>
      </c>
      <c r="X95" t="e">
        <f t="shared" si="8"/>
        <v>#DIV/0!</v>
      </c>
      <c r="Y95" t="e">
        <f t="shared" si="9"/>
        <v>#DIV/0!</v>
      </c>
    </row>
    <row r="96" spans="1:25" x14ac:dyDescent="0.25">
      <c r="A96" s="12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>
        <v>0.88</v>
      </c>
      <c r="S96" s="8">
        <v>9</v>
      </c>
      <c r="T96" s="8">
        <f t="shared" si="10"/>
        <v>1.06991104</v>
      </c>
      <c r="U96" s="8"/>
      <c r="V96" t="e">
        <f t="shared" si="6"/>
        <v>#DIV/0!</v>
      </c>
      <c r="W96" t="e">
        <f t="shared" si="7"/>
        <v>#DIV/0!</v>
      </c>
      <c r="X96" t="e">
        <f t="shared" si="8"/>
        <v>#DIV/0!</v>
      </c>
      <c r="Y96" t="e">
        <f t="shared" si="9"/>
        <v>#DIV/0!</v>
      </c>
    </row>
    <row r="97" spans="1:25" x14ac:dyDescent="0.25">
      <c r="A97" s="12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>
        <v>0.77</v>
      </c>
      <c r="S97" s="8">
        <v>11</v>
      </c>
      <c r="T97" s="8">
        <f t="shared" si="10"/>
        <v>0.71675681000000002</v>
      </c>
      <c r="U97" s="8"/>
      <c r="V97" t="e">
        <f t="shared" si="6"/>
        <v>#DIV/0!</v>
      </c>
      <c r="W97" t="e">
        <f t="shared" si="7"/>
        <v>#DIV/0!</v>
      </c>
      <c r="X97" t="e">
        <f t="shared" si="8"/>
        <v>#DIV/0!</v>
      </c>
      <c r="Y97" t="e">
        <f t="shared" si="9"/>
        <v>#DIV/0!</v>
      </c>
    </row>
    <row r="98" spans="1:25" x14ac:dyDescent="0.25">
      <c r="A98" s="12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>
        <v>0.76</v>
      </c>
      <c r="S98" s="8">
        <v>6</v>
      </c>
      <c r="T98" s="8">
        <f t="shared" si="10"/>
        <v>0.68919232000000008</v>
      </c>
      <c r="U98" s="8">
        <f>AVERAGEA(T94:T98)</f>
        <v>0.86183140400000013</v>
      </c>
      <c r="V98" t="e">
        <f t="shared" si="6"/>
        <v>#DIV/0!</v>
      </c>
      <c r="W98" t="e">
        <f t="shared" si="7"/>
        <v>#DIV/0!</v>
      </c>
      <c r="X98" t="e">
        <f t="shared" si="8"/>
        <v>#DIV/0!</v>
      </c>
      <c r="Y98" t="e">
        <f t="shared" si="9"/>
        <v>#DIV/0!</v>
      </c>
    </row>
    <row r="99" spans="1:25" x14ac:dyDescent="0.25">
      <c r="A99" s="12" t="s">
        <v>85</v>
      </c>
      <c r="B99" s="5" t="s">
        <v>23</v>
      </c>
      <c r="C99" s="5">
        <v>21.5</v>
      </c>
      <c r="D99" s="5">
        <v>18</v>
      </c>
      <c r="E99" s="5">
        <v>6</v>
      </c>
      <c r="F99" s="5">
        <v>3</v>
      </c>
      <c r="G99" s="5">
        <v>1.4</v>
      </c>
      <c r="H99" s="5">
        <v>34.299999999999997</v>
      </c>
      <c r="I99" s="5">
        <v>34.5</v>
      </c>
      <c r="J99" s="5">
        <v>35.299999999999997</v>
      </c>
      <c r="K99" s="5">
        <v>0.22</v>
      </c>
      <c r="L99" s="5">
        <v>0.28000000000000003</v>
      </c>
      <c r="M99" s="5">
        <v>0.22</v>
      </c>
      <c r="N99" s="5">
        <v>6</v>
      </c>
      <c r="O99" s="5">
        <v>0.33329999999999999</v>
      </c>
      <c r="P99" s="5">
        <v>5.4199999999999998E-2</v>
      </c>
      <c r="Q99" s="5">
        <v>0.55879999999999996</v>
      </c>
      <c r="R99" s="5"/>
      <c r="S99" s="5"/>
      <c r="T99" s="5"/>
      <c r="U99" s="5">
        <v>1643</v>
      </c>
      <c r="V99">
        <f t="shared" si="6"/>
        <v>273.83333333333331</v>
      </c>
      <c r="W99">
        <f t="shared" si="7"/>
        <v>5.5549999999999995E-2</v>
      </c>
      <c r="X99">
        <f t="shared" si="8"/>
        <v>9.0333333333333325E-3</v>
      </c>
      <c r="Y99">
        <f t="shared" si="9"/>
        <v>9.3133333333333332E-2</v>
      </c>
    </row>
    <row r="100" spans="1:25" x14ac:dyDescent="0.25">
      <c r="A100" s="12"/>
      <c r="B100" s="6" t="s">
        <v>70</v>
      </c>
      <c r="C100" s="6">
        <v>21</v>
      </c>
      <c r="D100" s="6">
        <v>14</v>
      </c>
      <c r="E100" s="6">
        <v>16</v>
      </c>
      <c r="F100" s="6">
        <v>33</v>
      </c>
      <c r="G100" s="6">
        <v>15.09</v>
      </c>
      <c r="H100" s="6">
        <v>48.3</v>
      </c>
      <c r="I100" s="6">
        <v>67.5</v>
      </c>
      <c r="J100" s="6">
        <v>48.4</v>
      </c>
      <c r="K100" s="6">
        <v>0.12</v>
      </c>
      <c r="L100" s="6">
        <v>0.09</v>
      </c>
      <c r="M100" s="6">
        <v>0.13</v>
      </c>
      <c r="N100" s="6">
        <v>5</v>
      </c>
      <c r="O100" s="6">
        <v>0.41</v>
      </c>
      <c r="P100" s="6">
        <v>0.1196</v>
      </c>
      <c r="Q100" s="6">
        <v>0.60309999999999997</v>
      </c>
      <c r="R100" s="6"/>
      <c r="S100" s="6"/>
      <c r="T100" s="6"/>
      <c r="U100" s="6">
        <v>2725</v>
      </c>
      <c r="V100">
        <f t="shared" si="6"/>
        <v>545</v>
      </c>
      <c r="W100">
        <f t="shared" si="7"/>
        <v>8.199999999999999E-2</v>
      </c>
      <c r="X100">
        <f t="shared" si="8"/>
        <v>2.392E-2</v>
      </c>
      <c r="Y100">
        <f t="shared" si="9"/>
        <v>0.12061999999999999</v>
      </c>
    </row>
    <row r="101" spans="1:25" x14ac:dyDescent="0.25">
      <c r="A101" s="12"/>
      <c r="B101" s="7" t="s">
        <v>71</v>
      </c>
      <c r="C101" s="7">
        <v>14</v>
      </c>
      <c r="D101" s="7">
        <v>11.5</v>
      </c>
      <c r="E101" s="7">
        <v>14.8</v>
      </c>
      <c r="F101" s="7">
        <v>55</v>
      </c>
      <c r="G101" s="7">
        <v>8.3699999999999992</v>
      </c>
      <c r="H101" s="7">
        <v>39.200000000000003</v>
      </c>
      <c r="I101" s="7">
        <v>44.5</v>
      </c>
      <c r="J101" s="7">
        <v>39</v>
      </c>
      <c r="K101" s="7">
        <v>0.27</v>
      </c>
      <c r="L101" s="7">
        <v>0.28000000000000003</v>
      </c>
      <c r="M101" s="7">
        <v>0.22</v>
      </c>
      <c r="N101" s="7">
        <v>5</v>
      </c>
      <c r="O101" s="7">
        <v>0.94020000000000004</v>
      </c>
      <c r="P101" s="7">
        <v>9.1200000000000003E-2</v>
      </c>
      <c r="Q101" s="7">
        <v>1.1428</v>
      </c>
      <c r="R101" s="7"/>
      <c r="S101" s="7"/>
      <c r="T101" s="7"/>
      <c r="U101" s="7">
        <v>3151</v>
      </c>
      <c r="V101">
        <f t="shared" si="6"/>
        <v>630.20000000000005</v>
      </c>
      <c r="W101">
        <f t="shared" si="7"/>
        <v>0.18804000000000001</v>
      </c>
      <c r="X101">
        <f t="shared" si="8"/>
        <v>1.8239999999999999E-2</v>
      </c>
      <c r="Y101">
        <f t="shared" si="9"/>
        <v>0.22856000000000001</v>
      </c>
    </row>
    <row r="102" spans="1:25" x14ac:dyDescent="0.25">
      <c r="A102" s="12"/>
      <c r="B102" s="8" t="s">
        <v>17</v>
      </c>
      <c r="C102" s="8">
        <v>21</v>
      </c>
      <c r="D102" s="8">
        <v>15</v>
      </c>
      <c r="E102" s="8">
        <v>10</v>
      </c>
      <c r="F102" s="8">
        <v>171</v>
      </c>
      <c r="G102" s="8">
        <v>60.23</v>
      </c>
      <c r="H102" s="8">
        <v>39.700000000000003</v>
      </c>
      <c r="I102" s="8">
        <v>43.2</v>
      </c>
      <c r="J102" s="8">
        <v>40.5</v>
      </c>
      <c r="K102" s="8">
        <v>0.08</v>
      </c>
      <c r="L102" s="8">
        <v>0.11</v>
      </c>
      <c r="M102" s="8">
        <v>0.12</v>
      </c>
      <c r="N102" s="8">
        <v>10</v>
      </c>
      <c r="O102" s="8">
        <v>0.1246</v>
      </c>
      <c r="P102" s="8">
        <v>4.5499999999999999E-2</v>
      </c>
      <c r="Q102" s="8">
        <v>0.17899999999999999</v>
      </c>
      <c r="R102" s="8"/>
      <c r="S102" s="8"/>
      <c r="T102" s="8"/>
      <c r="U102" s="8">
        <v>831</v>
      </c>
      <c r="V102">
        <f t="shared" si="6"/>
        <v>83.1</v>
      </c>
      <c r="W102">
        <f t="shared" si="7"/>
        <v>1.2460000000000001E-2</v>
      </c>
      <c r="X102">
        <f t="shared" si="8"/>
        <v>4.5500000000000002E-3</v>
      </c>
      <c r="Y102">
        <f t="shared" si="9"/>
        <v>1.7899999999999999E-2</v>
      </c>
    </row>
    <row r="103" spans="1:25" x14ac:dyDescent="0.25">
      <c r="A103" s="12"/>
      <c r="B103" s="3" t="s">
        <v>15</v>
      </c>
      <c r="C103" s="3">
        <v>26</v>
      </c>
      <c r="D103" s="3">
        <v>21.5</v>
      </c>
      <c r="E103" s="3">
        <v>10</v>
      </c>
      <c r="F103" s="3">
        <v>530</v>
      </c>
      <c r="G103" s="3">
        <v>79.599999999999994</v>
      </c>
      <c r="H103" s="3">
        <v>16.5</v>
      </c>
      <c r="I103" s="3">
        <v>16.2</v>
      </c>
      <c r="J103" s="3">
        <v>22.1</v>
      </c>
      <c r="K103" s="3">
        <v>0.34</v>
      </c>
      <c r="L103" s="3">
        <v>0.49</v>
      </c>
      <c r="M103" s="3">
        <v>0.9</v>
      </c>
      <c r="N103" s="3">
        <v>20</v>
      </c>
      <c r="O103" s="3">
        <v>0.2787</v>
      </c>
      <c r="P103" s="3">
        <v>2.1600000000000001E-2</v>
      </c>
      <c r="Q103" s="3">
        <v>0.38950000000000001</v>
      </c>
      <c r="R103" s="3">
        <v>1.0900000000000001</v>
      </c>
      <c r="S103" s="3">
        <v>14.18</v>
      </c>
      <c r="T103" s="3">
        <f>(R103/2)^2*3.14*2*R103</f>
        <v>2.0331955300000004</v>
      </c>
      <c r="U103" s="3"/>
      <c r="V103">
        <f t="shared" si="6"/>
        <v>0</v>
      </c>
      <c r="W103">
        <f t="shared" si="7"/>
        <v>1.3934999999999999E-2</v>
      </c>
      <c r="X103">
        <f t="shared" si="8"/>
        <v>1.08E-3</v>
      </c>
      <c r="Y103">
        <f t="shared" si="9"/>
        <v>1.9474999999999999E-2</v>
      </c>
    </row>
    <row r="104" spans="1:25" x14ac:dyDescent="0.25">
      <c r="A104" s="12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>
        <v>1.2</v>
      </c>
      <c r="S104" s="3">
        <v>11.24</v>
      </c>
      <c r="T104" s="3">
        <f>(R104/2)^2*3.14*2*R104</f>
        <v>2.7129600000000003</v>
      </c>
      <c r="U104" s="3"/>
      <c r="V104" t="e">
        <f t="shared" si="6"/>
        <v>#DIV/0!</v>
      </c>
      <c r="W104" t="e">
        <f t="shared" si="7"/>
        <v>#DIV/0!</v>
      </c>
      <c r="X104" t="e">
        <f t="shared" si="8"/>
        <v>#DIV/0!</v>
      </c>
      <c r="Y104" t="e">
        <f t="shared" si="9"/>
        <v>#DIV/0!</v>
      </c>
    </row>
    <row r="105" spans="1:25" x14ac:dyDescent="0.25">
      <c r="A105" s="12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>
        <v>1.1100000000000001</v>
      </c>
      <c r="S105" s="3">
        <v>12.14</v>
      </c>
      <c r="T105" s="3">
        <f>(R105/2)^2*3.14*2*R105</f>
        <v>2.1471806700000005</v>
      </c>
      <c r="U105" s="3"/>
      <c r="V105" t="e">
        <f t="shared" si="6"/>
        <v>#DIV/0!</v>
      </c>
      <c r="W105" t="e">
        <f t="shared" si="7"/>
        <v>#DIV/0!</v>
      </c>
      <c r="X105" t="e">
        <f t="shared" si="8"/>
        <v>#DIV/0!</v>
      </c>
      <c r="Y105" t="e">
        <f t="shared" si="9"/>
        <v>#DIV/0!</v>
      </c>
    </row>
    <row r="106" spans="1:25" x14ac:dyDescent="0.25">
      <c r="A106" s="12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>
        <v>1.56</v>
      </c>
      <c r="S106" s="3">
        <v>15.14</v>
      </c>
      <c r="T106" s="3">
        <f>(R106/2)^2*3.14*2*R106</f>
        <v>5.9603731200000007</v>
      </c>
      <c r="U106" s="3"/>
      <c r="V106" t="e">
        <f t="shared" si="6"/>
        <v>#DIV/0!</v>
      </c>
      <c r="W106" t="e">
        <f t="shared" si="7"/>
        <v>#DIV/0!</v>
      </c>
      <c r="X106" t="e">
        <f t="shared" si="8"/>
        <v>#DIV/0!</v>
      </c>
      <c r="Y106" t="e">
        <f t="shared" si="9"/>
        <v>#DIV/0!</v>
      </c>
    </row>
    <row r="107" spans="1:25" x14ac:dyDescent="0.25">
      <c r="A107" s="12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>
        <v>1.17</v>
      </c>
      <c r="S107" s="3">
        <v>17.43</v>
      </c>
      <c r="T107" s="3">
        <f>(R107/2)^2*3.14*2*R107</f>
        <v>2.5145324099999997</v>
      </c>
      <c r="U107" s="3">
        <f>AVERAGEA(T103:T107)</f>
        <v>3.0736483460000006</v>
      </c>
      <c r="V107" t="e">
        <f t="shared" si="6"/>
        <v>#DIV/0!</v>
      </c>
      <c r="W107" t="e">
        <f t="shared" si="7"/>
        <v>#DIV/0!</v>
      </c>
      <c r="X107" t="e">
        <f t="shared" si="8"/>
        <v>#DIV/0!</v>
      </c>
      <c r="Y107" t="e">
        <f t="shared" si="9"/>
        <v>#DIV/0!</v>
      </c>
    </row>
    <row r="108" spans="1:25" x14ac:dyDescent="0.25">
      <c r="A108" s="12" t="s">
        <v>86</v>
      </c>
      <c r="B108" s="5" t="s">
        <v>17</v>
      </c>
      <c r="C108" s="5">
        <v>35</v>
      </c>
      <c r="D108" s="5">
        <v>18.5</v>
      </c>
      <c r="E108" s="5">
        <v>12</v>
      </c>
      <c r="F108" s="5">
        <v>118</v>
      </c>
      <c r="G108" s="5">
        <v>57.89</v>
      </c>
      <c r="H108" s="5">
        <v>39.1</v>
      </c>
      <c r="I108" s="5">
        <v>39.5</v>
      </c>
      <c r="J108" s="5">
        <v>31.2</v>
      </c>
      <c r="K108" s="5">
        <v>0.15</v>
      </c>
      <c r="L108" s="5">
        <v>0.16</v>
      </c>
      <c r="M108" s="5">
        <v>0.12</v>
      </c>
      <c r="N108" s="5">
        <v>10</v>
      </c>
      <c r="O108" s="5">
        <v>0.1638</v>
      </c>
      <c r="P108" s="5">
        <v>7.9899999999999999E-2</v>
      </c>
      <c r="Q108" s="5">
        <v>0.21809999999999999</v>
      </c>
      <c r="R108" s="5"/>
      <c r="S108" s="5"/>
      <c r="T108" s="5"/>
      <c r="U108" s="5">
        <v>1552</v>
      </c>
      <c r="V108">
        <f t="shared" si="6"/>
        <v>155.19999999999999</v>
      </c>
      <c r="W108">
        <f t="shared" si="7"/>
        <v>1.6379999999999999E-2</v>
      </c>
      <c r="X108">
        <f t="shared" si="8"/>
        <v>7.9900000000000006E-3</v>
      </c>
      <c r="Y108">
        <f t="shared" si="9"/>
        <v>2.181E-2</v>
      </c>
    </row>
    <row r="109" spans="1:25" x14ac:dyDescent="0.25">
      <c r="A109" s="12"/>
      <c r="B109" s="8" t="s">
        <v>15</v>
      </c>
      <c r="C109" s="8">
        <v>19</v>
      </c>
      <c r="D109" s="8">
        <v>12</v>
      </c>
      <c r="E109" s="8">
        <v>15</v>
      </c>
      <c r="F109" s="8">
        <v>1350</v>
      </c>
      <c r="G109" s="8">
        <v>99.7</v>
      </c>
      <c r="H109" s="8">
        <v>21.9</v>
      </c>
      <c r="I109" s="8">
        <v>11.4</v>
      </c>
      <c r="J109" s="8">
        <v>17.600000000000001</v>
      </c>
      <c r="K109" s="8">
        <v>1.36</v>
      </c>
      <c r="L109" s="8">
        <v>1.02</v>
      </c>
      <c r="M109" s="8">
        <v>1.44</v>
      </c>
      <c r="N109" s="8">
        <v>20</v>
      </c>
      <c r="O109" s="8">
        <v>0.46560000000000001</v>
      </c>
      <c r="P109" s="8">
        <v>3.2099999999999997E-2</v>
      </c>
      <c r="Q109" s="8">
        <v>0.54469999999999996</v>
      </c>
      <c r="R109" s="8">
        <v>2.35</v>
      </c>
      <c r="S109" s="8">
        <v>16.13</v>
      </c>
      <c r="T109" s="8">
        <f t="shared" ref="T109:T118" si="11">(R109/2)^2*3.14*2*R109</f>
        <v>20.375263750000006</v>
      </c>
      <c r="U109" s="8"/>
      <c r="V109">
        <f t="shared" si="6"/>
        <v>0</v>
      </c>
      <c r="W109">
        <f t="shared" si="7"/>
        <v>2.3280000000000002E-2</v>
      </c>
      <c r="X109">
        <f t="shared" si="8"/>
        <v>1.6049999999999999E-3</v>
      </c>
      <c r="Y109">
        <f t="shared" si="9"/>
        <v>2.7234999999999999E-2</v>
      </c>
    </row>
    <row r="110" spans="1:25" x14ac:dyDescent="0.25">
      <c r="A110" s="12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>
        <v>2.06</v>
      </c>
      <c r="S110" s="8">
        <v>13.68</v>
      </c>
      <c r="T110" s="8">
        <f t="shared" si="11"/>
        <v>13.724651120000001</v>
      </c>
      <c r="U110" s="8"/>
      <c r="V110" t="e">
        <f t="shared" si="6"/>
        <v>#DIV/0!</v>
      </c>
      <c r="W110" t="e">
        <f t="shared" si="7"/>
        <v>#DIV/0!</v>
      </c>
      <c r="X110" t="e">
        <f t="shared" si="8"/>
        <v>#DIV/0!</v>
      </c>
      <c r="Y110" t="e">
        <f t="shared" si="9"/>
        <v>#DIV/0!</v>
      </c>
    </row>
    <row r="111" spans="1:25" x14ac:dyDescent="0.25">
      <c r="A111" s="12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>
        <v>1.75</v>
      </c>
      <c r="S111" s="8">
        <v>14.21</v>
      </c>
      <c r="T111" s="8">
        <f t="shared" si="11"/>
        <v>8.4142187499999999</v>
      </c>
      <c r="U111" s="8"/>
      <c r="V111" t="e">
        <f t="shared" si="6"/>
        <v>#DIV/0!</v>
      </c>
      <c r="W111" t="e">
        <f t="shared" si="7"/>
        <v>#DIV/0!</v>
      </c>
      <c r="X111" t="e">
        <f t="shared" si="8"/>
        <v>#DIV/0!</v>
      </c>
      <c r="Y111" t="e">
        <f t="shared" si="9"/>
        <v>#DIV/0!</v>
      </c>
    </row>
    <row r="112" spans="1:25" x14ac:dyDescent="0.25">
      <c r="A112" s="12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>
        <v>1.5</v>
      </c>
      <c r="S112" s="8">
        <v>10.79</v>
      </c>
      <c r="T112" s="8">
        <f t="shared" si="11"/>
        <v>5.2987500000000001</v>
      </c>
      <c r="U112" s="8"/>
      <c r="V112" t="e">
        <f t="shared" si="6"/>
        <v>#DIV/0!</v>
      </c>
      <c r="W112" t="e">
        <f t="shared" si="7"/>
        <v>#DIV/0!</v>
      </c>
      <c r="X112" t="e">
        <f t="shared" si="8"/>
        <v>#DIV/0!</v>
      </c>
      <c r="Y112" t="e">
        <f t="shared" si="9"/>
        <v>#DIV/0!</v>
      </c>
    </row>
    <row r="113" spans="1:25" x14ac:dyDescent="0.25">
      <c r="A113" s="12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>
        <v>1.98</v>
      </c>
      <c r="S113" s="8">
        <v>7.35</v>
      </c>
      <c r="T113" s="8">
        <f t="shared" si="11"/>
        <v>12.18695544</v>
      </c>
      <c r="U113" s="8">
        <f>AVERAGEA(T109:T113)</f>
        <v>11.999967812000001</v>
      </c>
      <c r="V113" t="e">
        <f t="shared" si="6"/>
        <v>#DIV/0!</v>
      </c>
      <c r="W113" t="e">
        <f t="shared" si="7"/>
        <v>#DIV/0!</v>
      </c>
      <c r="X113" t="e">
        <f t="shared" si="8"/>
        <v>#DIV/0!</v>
      </c>
      <c r="Y113" t="e">
        <f t="shared" si="9"/>
        <v>#DIV/0!</v>
      </c>
    </row>
    <row r="114" spans="1:25" x14ac:dyDescent="0.25">
      <c r="A114" s="12" t="s">
        <v>87</v>
      </c>
      <c r="B114" s="5" t="s">
        <v>15</v>
      </c>
      <c r="C114" s="5">
        <v>26</v>
      </c>
      <c r="D114" s="5">
        <v>15</v>
      </c>
      <c r="E114" s="5">
        <v>5</v>
      </c>
      <c r="F114" s="5">
        <v>2823</v>
      </c>
      <c r="G114" s="5">
        <v>213.57</v>
      </c>
      <c r="H114" s="5">
        <v>7.2</v>
      </c>
      <c r="I114" s="5">
        <v>15.8</v>
      </c>
      <c r="J114" s="5">
        <v>10.1</v>
      </c>
      <c r="K114" s="5">
        <v>0.34</v>
      </c>
      <c r="L114" s="5">
        <v>0.33</v>
      </c>
      <c r="M114" s="5">
        <v>0.38</v>
      </c>
      <c r="N114" s="5">
        <v>20</v>
      </c>
      <c r="O114" s="5">
        <v>0.21929999999999999</v>
      </c>
      <c r="P114" s="5">
        <v>1.9699999999999999E-2</v>
      </c>
      <c r="Q114" s="5">
        <v>0.25829999999999997</v>
      </c>
      <c r="R114" s="5">
        <v>1.22</v>
      </c>
      <c r="S114" s="5">
        <v>11</v>
      </c>
      <c r="T114" s="5">
        <f t="shared" si="11"/>
        <v>2.8508813599999998</v>
      </c>
      <c r="U114" s="5"/>
      <c r="V114">
        <f t="shared" si="6"/>
        <v>0</v>
      </c>
      <c r="W114">
        <f t="shared" si="7"/>
        <v>1.0964999999999999E-2</v>
      </c>
      <c r="X114">
        <f t="shared" si="8"/>
        <v>9.8499999999999998E-4</v>
      </c>
      <c r="Y114">
        <f t="shared" si="9"/>
        <v>1.2914999999999999E-2</v>
      </c>
    </row>
    <row r="115" spans="1:25" x14ac:dyDescent="0.25">
      <c r="A115" s="12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>
        <v>1.05</v>
      </c>
      <c r="S115" s="5">
        <v>10</v>
      </c>
      <c r="T115" s="5">
        <f t="shared" si="11"/>
        <v>1.8174712500000001</v>
      </c>
      <c r="U115" s="5"/>
      <c r="V115" t="e">
        <f t="shared" si="6"/>
        <v>#DIV/0!</v>
      </c>
      <c r="W115" t="e">
        <f t="shared" si="7"/>
        <v>#DIV/0!</v>
      </c>
      <c r="X115" t="e">
        <f t="shared" si="8"/>
        <v>#DIV/0!</v>
      </c>
      <c r="Y115" t="e">
        <f t="shared" si="9"/>
        <v>#DIV/0!</v>
      </c>
    </row>
    <row r="116" spans="1:25" x14ac:dyDescent="0.25">
      <c r="A116" s="12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>
        <v>0.99</v>
      </c>
      <c r="S116" s="5">
        <v>6</v>
      </c>
      <c r="T116" s="5">
        <f t="shared" si="11"/>
        <v>1.52336943</v>
      </c>
      <c r="U116" s="5"/>
      <c r="V116" t="e">
        <f t="shared" si="6"/>
        <v>#DIV/0!</v>
      </c>
      <c r="W116" t="e">
        <f t="shared" si="7"/>
        <v>#DIV/0!</v>
      </c>
      <c r="X116" t="e">
        <f t="shared" si="8"/>
        <v>#DIV/0!</v>
      </c>
      <c r="Y116" t="e">
        <f t="shared" si="9"/>
        <v>#DIV/0!</v>
      </c>
    </row>
    <row r="117" spans="1:25" x14ac:dyDescent="0.25">
      <c r="A117" s="12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>
        <v>0.66</v>
      </c>
      <c r="S117" s="5">
        <v>8</v>
      </c>
      <c r="T117" s="5">
        <f t="shared" si="11"/>
        <v>0.45136872000000006</v>
      </c>
      <c r="U117" s="5"/>
      <c r="V117" t="e">
        <f t="shared" si="6"/>
        <v>#DIV/0!</v>
      </c>
      <c r="W117" t="e">
        <f t="shared" si="7"/>
        <v>#DIV/0!</v>
      </c>
      <c r="X117" t="e">
        <f t="shared" si="8"/>
        <v>#DIV/0!</v>
      </c>
      <c r="Y117" t="e">
        <f t="shared" si="9"/>
        <v>#DIV/0!</v>
      </c>
    </row>
    <row r="118" spans="1:25" x14ac:dyDescent="0.25">
      <c r="A118" s="12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>
        <v>1.02</v>
      </c>
      <c r="S118" s="5">
        <v>6</v>
      </c>
      <c r="T118" s="5">
        <f t="shared" si="11"/>
        <v>1.6660965600000002</v>
      </c>
      <c r="U118" s="5">
        <f>AVERAGEA(T114:T118)</f>
        <v>1.661837464</v>
      </c>
      <c r="V118" t="e">
        <f t="shared" si="6"/>
        <v>#DIV/0!</v>
      </c>
      <c r="W118" t="e">
        <f t="shared" si="7"/>
        <v>#DIV/0!</v>
      </c>
      <c r="X118" t="e">
        <f t="shared" si="8"/>
        <v>#DIV/0!</v>
      </c>
      <c r="Y118" t="e">
        <f t="shared" si="9"/>
        <v>#DIV/0!</v>
      </c>
    </row>
    <row r="119" spans="1:25" x14ac:dyDescent="0.25">
      <c r="A119" s="12"/>
      <c r="B119" s="3" t="s">
        <v>17</v>
      </c>
      <c r="C119" s="3">
        <v>32</v>
      </c>
      <c r="D119" s="3">
        <v>28</v>
      </c>
      <c r="E119" s="3">
        <v>12</v>
      </c>
      <c r="F119" s="3">
        <v>106</v>
      </c>
      <c r="G119" s="3">
        <v>52.06</v>
      </c>
      <c r="H119" s="3">
        <v>29.8</v>
      </c>
      <c r="I119" s="3">
        <v>39.5</v>
      </c>
      <c r="J119" s="3">
        <v>42.2</v>
      </c>
      <c r="K119" s="3">
        <v>0.1</v>
      </c>
      <c r="L119" s="3">
        <v>0.11</v>
      </c>
      <c r="M119" s="3">
        <v>0.13</v>
      </c>
      <c r="N119" s="3">
        <v>5</v>
      </c>
      <c r="O119" s="3">
        <v>0.1232</v>
      </c>
      <c r="P119" s="3">
        <v>5.1400000000000001E-2</v>
      </c>
      <c r="Q119" s="3">
        <v>0.13600000000000001</v>
      </c>
      <c r="R119" s="3"/>
      <c r="S119" s="3"/>
      <c r="T119" s="3"/>
      <c r="U119" s="3">
        <v>1174</v>
      </c>
      <c r="V119">
        <f t="shared" si="6"/>
        <v>234.8</v>
      </c>
      <c r="W119">
        <f t="shared" si="7"/>
        <v>2.4640000000000002E-2</v>
      </c>
      <c r="X119">
        <f t="shared" si="8"/>
        <v>1.0280000000000001E-2</v>
      </c>
      <c r="Y119">
        <f t="shared" si="9"/>
        <v>2.7200000000000002E-2</v>
      </c>
    </row>
    <row r="120" spans="1:25" x14ac:dyDescent="0.25">
      <c r="A120" s="12" t="s">
        <v>88</v>
      </c>
      <c r="B120" s="5" t="s">
        <v>75</v>
      </c>
      <c r="C120" s="5">
        <v>8.5</v>
      </c>
      <c r="D120" s="5">
        <v>4.5</v>
      </c>
      <c r="E120" s="5">
        <v>6</v>
      </c>
      <c r="F120" s="5">
        <v>5</v>
      </c>
      <c r="G120" s="5">
        <v>0.8</v>
      </c>
      <c r="H120" s="5">
        <v>44.4</v>
      </c>
      <c r="I120" s="5">
        <v>36.799999999999997</v>
      </c>
      <c r="J120" s="5">
        <v>50</v>
      </c>
      <c r="K120" s="5">
        <v>0.4</v>
      </c>
      <c r="L120" s="5">
        <v>0.41</v>
      </c>
      <c r="M120" s="5">
        <v>0.36</v>
      </c>
      <c r="N120" s="5">
        <v>5</v>
      </c>
      <c r="O120" s="5">
        <v>0.32329999999999998</v>
      </c>
      <c r="P120" s="5">
        <v>4.3700000000000003E-2</v>
      </c>
      <c r="Q120" s="5">
        <v>0.41449999999999998</v>
      </c>
      <c r="R120" s="5"/>
      <c r="S120" s="5"/>
      <c r="T120" s="5"/>
      <c r="U120" s="5">
        <v>1644</v>
      </c>
      <c r="V120">
        <f t="shared" si="6"/>
        <v>328.8</v>
      </c>
      <c r="W120">
        <f t="shared" si="7"/>
        <v>6.4659999999999995E-2</v>
      </c>
      <c r="X120">
        <f t="shared" si="8"/>
        <v>8.7400000000000012E-3</v>
      </c>
      <c r="Y120">
        <f t="shared" si="9"/>
        <v>8.2900000000000001E-2</v>
      </c>
    </row>
    <row r="121" spans="1:25" x14ac:dyDescent="0.25">
      <c r="A121" s="12"/>
      <c r="B121" s="6" t="s">
        <v>15</v>
      </c>
      <c r="C121" s="6">
        <v>20</v>
      </c>
      <c r="D121" s="6">
        <v>12</v>
      </c>
      <c r="E121" s="6">
        <v>6</v>
      </c>
      <c r="F121" s="6">
        <v>1837</v>
      </c>
      <c r="G121" s="6">
        <v>116.02</v>
      </c>
      <c r="H121" s="6">
        <v>17.600000000000001</v>
      </c>
      <c r="I121" s="6">
        <v>19.3</v>
      </c>
      <c r="J121" s="6">
        <v>16.8</v>
      </c>
      <c r="K121" s="6">
        <v>0.33</v>
      </c>
      <c r="L121" s="6">
        <v>0.51</v>
      </c>
      <c r="M121" s="6">
        <v>0.41</v>
      </c>
      <c r="N121" s="6">
        <v>15</v>
      </c>
      <c r="O121" s="6">
        <v>0.22309999999999999</v>
      </c>
      <c r="P121" s="6">
        <v>1.84E-2</v>
      </c>
      <c r="Q121" s="6">
        <v>0.34499999999999997</v>
      </c>
      <c r="R121" s="6">
        <v>1.88</v>
      </c>
      <c r="S121" s="6">
        <v>12.49</v>
      </c>
      <c r="T121" s="6">
        <f t="shared" ref="T121:T130" si="12">(R121/2)^2*3.14*2*R121</f>
        <v>10.432135039999999</v>
      </c>
      <c r="U121" s="6"/>
      <c r="V121">
        <f t="shared" si="6"/>
        <v>0</v>
      </c>
      <c r="W121">
        <f t="shared" si="7"/>
        <v>1.4873333333333332E-2</v>
      </c>
      <c r="X121">
        <f t="shared" si="8"/>
        <v>1.2266666666666667E-3</v>
      </c>
      <c r="Y121">
        <f t="shared" si="9"/>
        <v>2.3E-2</v>
      </c>
    </row>
    <row r="122" spans="1:25" x14ac:dyDescent="0.25">
      <c r="A122" s="12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>
        <v>1.87</v>
      </c>
      <c r="S122" s="6">
        <v>12.22</v>
      </c>
      <c r="T122" s="6">
        <f t="shared" si="12"/>
        <v>10.266548710000002</v>
      </c>
      <c r="U122" s="6"/>
      <c r="V122" t="e">
        <f t="shared" si="6"/>
        <v>#DIV/0!</v>
      </c>
      <c r="W122" t="e">
        <f t="shared" si="7"/>
        <v>#DIV/0!</v>
      </c>
      <c r="X122" t="e">
        <f t="shared" si="8"/>
        <v>#DIV/0!</v>
      </c>
      <c r="Y122" t="e">
        <f t="shared" si="9"/>
        <v>#DIV/0!</v>
      </c>
    </row>
    <row r="123" spans="1:25" x14ac:dyDescent="0.25">
      <c r="A123" s="12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>
        <v>1.65</v>
      </c>
      <c r="S123" s="6">
        <v>11.81</v>
      </c>
      <c r="T123" s="6">
        <f t="shared" si="12"/>
        <v>7.0526362499999982</v>
      </c>
      <c r="U123" s="6"/>
      <c r="V123" t="e">
        <f t="shared" si="6"/>
        <v>#DIV/0!</v>
      </c>
      <c r="W123" t="e">
        <f t="shared" si="7"/>
        <v>#DIV/0!</v>
      </c>
      <c r="X123" t="e">
        <f t="shared" si="8"/>
        <v>#DIV/0!</v>
      </c>
      <c r="Y123" t="e">
        <f t="shared" si="9"/>
        <v>#DIV/0!</v>
      </c>
    </row>
    <row r="124" spans="1:25" x14ac:dyDescent="0.25">
      <c r="A124" s="12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>
        <v>1.29</v>
      </c>
      <c r="S124" s="6">
        <v>8.31</v>
      </c>
      <c r="T124" s="6">
        <f t="shared" si="12"/>
        <v>3.3703017300000004</v>
      </c>
      <c r="U124" s="6"/>
      <c r="V124" t="e">
        <f t="shared" si="6"/>
        <v>#DIV/0!</v>
      </c>
      <c r="W124" t="e">
        <f t="shared" si="7"/>
        <v>#DIV/0!</v>
      </c>
      <c r="X124" t="e">
        <f t="shared" si="8"/>
        <v>#DIV/0!</v>
      </c>
      <c r="Y124" t="e">
        <f t="shared" si="9"/>
        <v>#DIV/0!</v>
      </c>
    </row>
    <row r="125" spans="1:25" x14ac:dyDescent="0.25">
      <c r="A125" s="12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>
        <v>1.48</v>
      </c>
      <c r="S125" s="6">
        <v>6.69</v>
      </c>
      <c r="T125" s="6">
        <f t="shared" si="12"/>
        <v>5.0896134399999999</v>
      </c>
      <c r="U125" s="6">
        <f>AVERAGEA(T121:T125)</f>
        <v>7.242247034</v>
      </c>
      <c r="V125" t="e">
        <f t="shared" si="6"/>
        <v>#DIV/0!</v>
      </c>
      <c r="W125" t="e">
        <f t="shared" si="7"/>
        <v>#DIV/0!</v>
      </c>
      <c r="X125" t="e">
        <f t="shared" si="8"/>
        <v>#DIV/0!</v>
      </c>
      <c r="Y125" t="e">
        <f t="shared" si="9"/>
        <v>#DIV/0!</v>
      </c>
    </row>
    <row r="126" spans="1:25" x14ac:dyDescent="0.25">
      <c r="A126" s="12"/>
      <c r="B126" s="7" t="s">
        <v>16</v>
      </c>
      <c r="C126" s="7">
        <v>7</v>
      </c>
      <c r="D126" s="7">
        <v>4</v>
      </c>
      <c r="E126" s="7">
        <v>5.5</v>
      </c>
      <c r="F126" s="7">
        <v>3</v>
      </c>
      <c r="G126" s="7">
        <v>0.45</v>
      </c>
      <c r="H126" s="7">
        <v>21</v>
      </c>
      <c r="I126" s="7">
        <v>15.9</v>
      </c>
      <c r="J126" s="7">
        <v>14.3</v>
      </c>
      <c r="K126" s="7">
        <v>0.49</v>
      </c>
      <c r="L126" s="7">
        <v>0.56000000000000005</v>
      </c>
      <c r="M126" s="7">
        <v>0.37</v>
      </c>
      <c r="N126" s="7">
        <v>15</v>
      </c>
      <c r="O126" s="7">
        <v>5.8500000000000003E-2</v>
      </c>
      <c r="P126" s="7">
        <v>2.3800000000000002E-2</v>
      </c>
      <c r="Q126" s="7">
        <v>9.4899999999999998E-2</v>
      </c>
      <c r="R126" s="7">
        <v>0.32</v>
      </c>
      <c r="S126" s="7">
        <v>40</v>
      </c>
      <c r="T126" s="7">
        <f t="shared" si="12"/>
        <v>5.1445760000000007E-2</v>
      </c>
      <c r="U126" s="7"/>
      <c r="V126">
        <f t="shared" si="6"/>
        <v>0</v>
      </c>
      <c r="W126">
        <f t="shared" si="7"/>
        <v>3.9000000000000003E-3</v>
      </c>
      <c r="X126">
        <f t="shared" si="8"/>
        <v>1.5866666666666668E-3</v>
      </c>
      <c r="Y126">
        <f t="shared" si="9"/>
        <v>6.3266666666666662E-3</v>
      </c>
    </row>
    <row r="127" spans="1:25" x14ac:dyDescent="0.25">
      <c r="A127" s="12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>
        <v>0.28000000000000003</v>
      </c>
      <c r="S127" s="7">
        <v>46</v>
      </c>
      <c r="T127" s="7">
        <f t="shared" si="12"/>
        <v>3.4464640000000005E-2</v>
      </c>
      <c r="U127" s="7"/>
      <c r="V127" t="e">
        <f t="shared" si="6"/>
        <v>#DIV/0!</v>
      </c>
      <c r="W127" t="e">
        <f t="shared" si="7"/>
        <v>#DIV/0!</v>
      </c>
      <c r="X127" t="e">
        <f t="shared" si="8"/>
        <v>#DIV/0!</v>
      </c>
      <c r="Y127" t="e">
        <f t="shared" si="9"/>
        <v>#DIV/0!</v>
      </c>
    </row>
    <row r="128" spans="1:25" x14ac:dyDescent="0.25">
      <c r="A128" s="1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>
        <v>0.31</v>
      </c>
      <c r="S128" s="7">
        <v>39</v>
      </c>
      <c r="T128" s="7">
        <f t="shared" si="12"/>
        <v>4.677187E-2</v>
      </c>
      <c r="U128" s="7"/>
      <c r="V128" t="e">
        <f t="shared" si="6"/>
        <v>#DIV/0!</v>
      </c>
      <c r="W128" t="e">
        <f t="shared" si="7"/>
        <v>#DIV/0!</v>
      </c>
      <c r="X128" t="e">
        <f t="shared" si="8"/>
        <v>#DIV/0!</v>
      </c>
      <c r="Y128" t="e">
        <f t="shared" si="9"/>
        <v>#DIV/0!</v>
      </c>
    </row>
    <row r="129" spans="1:25" x14ac:dyDescent="0.25">
      <c r="A129" s="12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>
        <v>0.28999999999999998</v>
      </c>
      <c r="S129" s="7">
        <v>29.5</v>
      </c>
      <c r="T129" s="7">
        <f t="shared" si="12"/>
        <v>3.8290729999999995E-2</v>
      </c>
      <c r="U129" s="7"/>
      <c r="V129" t="e">
        <f t="shared" si="6"/>
        <v>#DIV/0!</v>
      </c>
      <c r="W129" t="e">
        <f t="shared" si="7"/>
        <v>#DIV/0!</v>
      </c>
      <c r="X129" t="e">
        <f t="shared" si="8"/>
        <v>#DIV/0!</v>
      </c>
      <c r="Y129" t="e">
        <f t="shared" si="9"/>
        <v>#DIV/0!</v>
      </c>
    </row>
    <row r="130" spans="1:25" x14ac:dyDescent="0.25">
      <c r="A130" s="12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>
        <v>0.26</v>
      </c>
      <c r="S130" s="7">
        <v>37.5</v>
      </c>
      <c r="T130" s="7">
        <f t="shared" si="12"/>
        <v>2.7594320000000006E-2</v>
      </c>
      <c r="U130" s="7">
        <f>AVERAGEA(T126:T130)</f>
        <v>3.9713464000000004E-2</v>
      </c>
      <c r="V130" t="e">
        <f t="shared" ref="V130:V193" si="13">U130/N130</f>
        <v>#DIV/0!</v>
      </c>
      <c r="W130" t="e">
        <f t="shared" ref="W130:W193" si="14">O130/N130</f>
        <v>#DIV/0!</v>
      </c>
      <c r="X130" t="e">
        <f t="shared" ref="X130:X193" si="15">P130/N130</f>
        <v>#DIV/0!</v>
      </c>
      <c r="Y130" t="e">
        <f t="shared" ref="Y130:Y193" si="16">Q130/N130</f>
        <v>#DIV/0!</v>
      </c>
    </row>
    <row r="131" spans="1:25" x14ac:dyDescent="0.25">
      <c r="A131" s="12"/>
      <c r="B131" s="8" t="s">
        <v>71</v>
      </c>
      <c r="C131" s="8">
        <v>12</v>
      </c>
      <c r="D131" s="8">
        <v>6.8</v>
      </c>
      <c r="E131" s="8">
        <v>4.8</v>
      </c>
      <c r="F131" s="8">
        <v>144</v>
      </c>
      <c r="G131" s="8">
        <v>22.53</v>
      </c>
      <c r="H131" s="8">
        <v>27</v>
      </c>
      <c r="I131" s="8">
        <v>37.1</v>
      </c>
      <c r="J131" s="8">
        <v>39.5</v>
      </c>
      <c r="K131" s="8">
        <v>0.28000000000000003</v>
      </c>
      <c r="L131" s="8">
        <v>0.39</v>
      </c>
      <c r="M131" s="8">
        <v>0.54</v>
      </c>
      <c r="N131" s="8">
        <v>5</v>
      </c>
      <c r="O131" s="8">
        <v>0.47389999999999999</v>
      </c>
      <c r="P131" s="8">
        <v>0.74399999999999999</v>
      </c>
      <c r="Q131" s="8">
        <v>0.7107</v>
      </c>
      <c r="R131" s="8"/>
      <c r="S131" s="8"/>
      <c r="T131" s="8"/>
      <c r="U131" s="8">
        <v>2080</v>
      </c>
      <c r="V131">
        <f t="shared" si="13"/>
        <v>416</v>
      </c>
      <c r="W131">
        <f t="shared" si="14"/>
        <v>9.4780000000000003E-2</v>
      </c>
      <c r="X131">
        <f t="shared" si="15"/>
        <v>0.14879999999999999</v>
      </c>
      <c r="Y131">
        <f t="shared" si="16"/>
        <v>0.14213999999999999</v>
      </c>
    </row>
    <row r="132" spans="1:25" x14ac:dyDescent="0.25">
      <c r="A132" s="12"/>
      <c r="B132" s="3" t="s">
        <v>17</v>
      </c>
      <c r="C132" s="3">
        <v>22</v>
      </c>
      <c r="D132" s="3">
        <v>11</v>
      </c>
      <c r="E132" s="3">
        <v>7</v>
      </c>
      <c r="F132" s="3">
        <v>183</v>
      </c>
      <c r="G132" s="3">
        <v>41.82</v>
      </c>
      <c r="H132" s="3">
        <v>49.2</v>
      </c>
      <c r="I132" s="3">
        <v>30</v>
      </c>
      <c r="J132" s="3">
        <v>29</v>
      </c>
      <c r="K132" s="3">
        <v>0.15</v>
      </c>
      <c r="L132" s="3">
        <v>0.15</v>
      </c>
      <c r="M132" s="3">
        <v>0.17</v>
      </c>
      <c r="N132" s="3">
        <v>10</v>
      </c>
      <c r="O132" s="3">
        <v>0.14580000000000001</v>
      </c>
      <c r="P132" s="3">
        <v>7.1800000000000003E-2</v>
      </c>
      <c r="Q132" s="3">
        <v>0.1908</v>
      </c>
      <c r="R132" s="3"/>
      <c r="S132" s="3"/>
      <c r="T132" s="3"/>
      <c r="U132" s="3">
        <v>1292</v>
      </c>
      <c r="V132">
        <f t="shared" si="13"/>
        <v>129.19999999999999</v>
      </c>
      <c r="W132">
        <f t="shared" si="14"/>
        <v>1.4580000000000001E-2</v>
      </c>
      <c r="X132">
        <f t="shared" si="15"/>
        <v>7.1800000000000006E-3</v>
      </c>
      <c r="Y132">
        <f t="shared" si="16"/>
        <v>1.908E-2</v>
      </c>
    </row>
    <row r="133" spans="1:25" x14ac:dyDescent="0.25">
      <c r="A133" s="12" t="s">
        <v>89</v>
      </c>
      <c r="B133" s="5" t="s">
        <v>90</v>
      </c>
      <c r="C133" s="5">
        <v>5</v>
      </c>
      <c r="D133" s="5">
        <v>9</v>
      </c>
      <c r="E133" s="5">
        <v>6.5</v>
      </c>
      <c r="F133" s="5">
        <v>4</v>
      </c>
      <c r="G133" s="5">
        <v>0.47</v>
      </c>
      <c r="H133" s="5">
        <v>42.2</v>
      </c>
      <c r="I133" s="5">
        <v>26.6</v>
      </c>
      <c r="J133" s="5">
        <v>34.5</v>
      </c>
      <c r="K133" s="5">
        <v>0.13</v>
      </c>
      <c r="L133" s="5">
        <v>0.14000000000000001</v>
      </c>
      <c r="M133" s="5">
        <v>0.16</v>
      </c>
      <c r="N133" s="5">
        <v>5</v>
      </c>
      <c r="O133" s="5">
        <v>0.1736</v>
      </c>
      <c r="P133" s="5">
        <v>1.84E-2</v>
      </c>
      <c r="Q133" s="5">
        <v>0.27329999999999999</v>
      </c>
      <c r="R133" s="5"/>
      <c r="S133" s="5"/>
      <c r="T133" s="5"/>
      <c r="U133" s="5">
        <v>467</v>
      </c>
      <c r="V133">
        <f t="shared" si="13"/>
        <v>93.4</v>
      </c>
      <c r="W133">
        <f t="shared" si="14"/>
        <v>3.4720000000000001E-2</v>
      </c>
      <c r="X133">
        <f t="shared" si="15"/>
        <v>3.6800000000000001E-3</v>
      </c>
      <c r="Y133">
        <f t="shared" si="16"/>
        <v>5.466E-2</v>
      </c>
    </row>
    <row r="134" spans="1:25" x14ac:dyDescent="0.25">
      <c r="A134" s="12"/>
      <c r="B134" s="6" t="s">
        <v>23</v>
      </c>
      <c r="C134" s="6">
        <v>6</v>
      </c>
      <c r="D134" s="6">
        <v>4</v>
      </c>
      <c r="E134" s="6">
        <v>5</v>
      </c>
      <c r="F134" s="6">
        <v>1</v>
      </c>
      <c r="G134" s="6">
        <v>7.0000000000000007E-2</v>
      </c>
      <c r="H134" s="6">
        <v>34.200000000000003</v>
      </c>
      <c r="I134" s="6">
        <v>35.799999999999997</v>
      </c>
      <c r="J134" s="6">
        <v>33.6</v>
      </c>
      <c r="K134" s="6">
        <v>0.43</v>
      </c>
      <c r="L134" s="6">
        <v>0.48</v>
      </c>
      <c r="M134" s="6">
        <v>0.44</v>
      </c>
      <c r="N134" s="6">
        <v>3</v>
      </c>
      <c r="O134" s="6">
        <v>0.2621</v>
      </c>
      <c r="P134" s="6">
        <v>2.9000000000000001E-2</v>
      </c>
      <c r="Q134" s="6">
        <v>0.39229999999999998</v>
      </c>
      <c r="R134" s="6"/>
      <c r="S134" s="6"/>
      <c r="T134" s="6"/>
      <c r="U134" s="6">
        <v>883</v>
      </c>
      <c r="V134">
        <f t="shared" si="13"/>
        <v>294.33333333333331</v>
      </c>
      <c r="W134">
        <f t="shared" si="14"/>
        <v>8.7366666666666662E-2</v>
      </c>
      <c r="X134">
        <f t="shared" si="15"/>
        <v>9.6666666666666672E-3</v>
      </c>
      <c r="Y134">
        <f t="shared" si="16"/>
        <v>0.13076666666666667</v>
      </c>
    </row>
    <row r="135" spans="1:25" x14ac:dyDescent="0.25">
      <c r="A135" s="12"/>
      <c r="B135" s="7" t="s">
        <v>70</v>
      </c>
      <c r="C135" s="7">
        <v>45</v>
      </c>
      <c r="D135" s="7">
        <v>31</v>
      </c>
      <c r="E135" s="7">
        <v>12</v>
      </c>
      <c r="F135" s="7">
        <v>263</v>
      </c>
      <c r="G135" s="7">
        <v>84.92</v>
      </c>
      <c r="H135" s="7">
        <v>30.2</v>
      </c>
      <c r="I135" s="7">
        <v>42.2</v>
      </c>
      <c r="J135" s="7">
        <v>41.1</v>
      </c>
      <c r="K135" s="7">
        <v>0.27</v>
      </c>
      <c r="L135" s="7">
        <v>0.27</v>
      </c>
      <c r="M135" s="7">
        <v>0.23</v>
      </c>
      <c r="N135" s="7">
        <v>5</v>
      </c>
      <c r="O135" s="7">
        <v>0.56810000000000005</v>
      </c>
      <c r="P135" s="7">
        <v>0.31869999999999998</v>
      </c>
      <c r="Q135" s="7">
        <v>1.0079</v>
      </c>
      <c r="R135" s="7">
        <v>0.76</v>
      </c>
      <c r="S135" s="7">
        <v>197</v>
      </c>
      <c r="T135" s="7">
        <f>(R135/2)^2*3.14*2*R135</f>
        <v>0.68919232000000008</v>
      </c>
      <c r="U135" s="7"/>
      <c r="V135">
        <f t="shared" si="13"/>
        <v>0</v>
      </c>
      <c r="W135">
        <f t="shared" si="14"/>
        <v>0.11362000000000001</v>
      </c>
      <c r="X135">
        <f t="shared" si="15"/>
        <v>6.3739999999999991E-2</v>
      </c>
      <c r="Y135">
        <f t="shared" si="16"/>
        <v>0.20158000000000001</v>
      </c>
    </row>
    <row r="136" spans="1:25" x14ac:dyDescent="0.25">
      <c r="A136" s="12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>
        <v>0.61</v>
      </c>
      <c r="S136" s="7">
        <v>239</v>
      </c>
      <c r="T136" s="7">
        <f>(R136/2)^2*3.14*2*R136</f>
        <v>0.35636016999999998</v>
      </c>
      <c r="U136" s="7"/>
      <c r="V136" t="e">
        <f t="shared" si="13"/>
        <v>#DIV/0!</v>
      </c>
      <c r="W136" t="e">
        <f t="shared" si="14"/>
        <v>#DIV/0!</v>
      </c>
      <c r="X136" t="e">
        <f t="shared" si="15"/>
        <v>#DIV/0!</v>
      </c>
      <c r="Y136" t="e">
        <f t="shared" si="16"/>
        <v>#DIV/0!</v>
      </c>
    </row>
    <row r="137" spans="1:25" x14ac:dyDescent="0.25">
      <c r="A137" s="12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>
        <v>0.81</v>
      </c>
      <c r="S137" s="7">
        <v>314</v>
      </c>
      <c r="T137" s="7">
        <f>(R137/2)^2*3.14*2*R137</f>
        <v>0.83436237000000013</v>
      </c>
      <c r="U137" s="7"/>
      <c r="V137" t="e">
        <f t="shared" si="13"/>
        <v>#DIV/0!</v>
      </c>
      <c r="W137" t="e">
        <f t="shared" si="14"/>
        <v>#DIV/0!</v>
      </c>
      <c r="X137" t="e">
        <f t="shared" si="15"/>
        <v>#DIV/0!</v>
      </c>
      <c r="Y137" t="e">
        <f t="shared" si="16"/>
        <v>#DIV/0!</v>
      </c>
    </row>
    <row r="138" spans="1:25" x14ac:dyDescent="0.25">
      <c r="A138" s="12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>
        <v>0.73</v>
      </c>
      <c r="S138" s="7">
        <v>322</v>
      </c>
      <c r="T138" s="7">
        <f>(R138/2)^2*3.14*2*R138</f>
        <v>0.61075668999999988</v>
      </c>
      <c r="U138" s="7"/>
      <c r="V138" t="e">
        <f t="shared" si="13"/>
        <v>#DIV/0!</v>
      </c>
      <c r="W138" t="e">
        <f t="shared" si="14"/>
        <v>#DIV/0!</v>
      </c>
      <c r="X138" t="e">
        <f t="shared" si="15"/>
        <v>#DIV/0!</v>
      </c>
      <c r="Y138" t="e">
        <f t="shared" si="16"/>
        <v>#DIV/0!</v>
      </c>
    </row>
    <row r="139" spans="1:25" x14ac:dyDescent="0.25">
      <c r="A139" s="12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>
        <v>0.83</v>
      </c>
      <c r="S139" s="7">
        <v>356</v>
      </c>
      <c r="T139" s="7">
        <f>(R139/2)^2*3.14*2*R139</f>
        <v>0.89770558999999983</v>
      </c>
      <c r="U139" s="7">
        <f>AVERAGEA(T135:T139)</f>
        <v>0.67767542799999991</v>
      </c>
      <c r="V139" t="e">
        <f t="shared" si="13"/>
        <v>#DIV/0!</v>
      </c>
      <c r="W139" t="e">
        <f t="shared" si="14"/>
        <v>#DIV/0!</v>
      </c>
      <c r="X139" t="e">
        <f t="shared" si="15"/>
        <v>#DIV/0!</v>
      </c>
      <c r="Y139" t="e">
        <f t="shared" si="16"/>
        <v>#DIV/0!</v>
      </c>
    </row>
    <row r="140" spans="1:25" x14ac:dyDescent="0.25">
      <c r="A140" s="12"/>
      <c r="B140" s="8" t="s">
        <v>17</v>
      </c>
      <c r="C140" s="8">
        <v>48</v>
      </c>
      <c r="D140" s="8">
        <v>29</v>
      </c>
      <c r="E140" s="8">
        <v>7</v>
      </c>
      <c r="F140" s="8">
        <v>27</v>
      </c>
      <c r="G140" s="8">
        <v>25.95</v>
      </c>
      <c r="H140" s="8">
        <v>41.7</v>
      </c>
      <c r="I140" s="8">
        <v>36.9</v>
      </c>
      <c r="J140" s="8">
        <v>45.2</v>
      </c>
      <c r="K140" s="8">
        <v>0.19</v>
      </c>
      <c r="L140" s="8">
        <v>0.24</v>
      </c>
      <c r="M140" s="8">
        <v>0.22</v>
      </c>
      <c r="N140" s="8">
        <v>10</v>
      </c>
      <c r="O140" s="8">
        <v>0.14749999999999999</v>
      </c>
      <c r="P140" s="8">
        <v>7.2099999999999997E-2</v>
      </c>
      <c r="Q140" s="8">
        <v>0.19850000000000001</v>
      </c>
      <c r="R140" s="8"/>
      <c r="S140" s="8"/>
      <c r="T140" s="8"/>
      <c r="U140" s="8">
        <v>1229</v>
      </c>
      <c r="V140">
        <f t="shared" si="13"/>
        <v>122.9</v>
      </c>
      <c r="W140">
        <f t="shared" si="14"/>
        <v>1.4749999999999999E-2</v>
      </c>
      <c r="X140">
        <f t="shared" si="15"/>
        <v>7.2099999999999994E-3</v>
      </c>
      <c r="Y140">
        <f t="shared" si="16"/>
        <v>1.985E-2</v>
      </c>
    </row>
    <row r="141" spans="1:25" x14ac:dyDescent="0.25">
      <c r="A141" s="12"/>
      <c r="B141" s="3" t="s">
        <v>15</v>
      </c>
      <c r="C141" s="3">
        <v>20</v>
      </c>
      <c r="D141" s="3">
        <v>31</v>
      </c>
      <c r="E141" s="3">
        <v>5</v>
      </c>
      <c r="F141" s="3">
        <v>51</v>
      </c>
      <c r="G141" s="3">
        <v>13.47</v>
      </c>
      <c r="H141" s="3">
        <v>12.1</v>
      </c>
      <c r="I141" s="3">
        <v>23.2</v>
      </c>
      <c r="J141" s="3">
        <v>24.8</v>
      </c>
      <c r="K141" s="3">
        <v>2.5499999999999998</v>
      </c>
      <c r="L141" s="3">
        <v>1.64</v>
      </c>
      <c r="M141" s="3">
        <v>1.06</v>
      </c>
      <c r="N141" s="3">
        <v>20</v>
      </c>
      <c r="O141" s="3">
        <v>0.25769999999999998</v>
      </c>
      <c r="P141" s="3">
        <v>2.7099999999999999E-2</v>
      </c>
      <c r="Q141" s="3">
        <v>0.47289999999999999</v>
      </c>
      <c r="R141" s="3">
        <v>1.02</v>
      </c>
      <c r="S141" s="3">
        <v>16.45</v>
      </c>
      <c r="T141" s="3">
        <f>(R141/2)^2*3.14*2*R141</f>
        <v>1.6660965600000002</v>
      </c>
      <c r="U141" s="3"/>
      <c r="V141">
        <f t="shared" si="13"/>
        <v>0</v>
      </c>
      <c r="W141">
        <f t="shared" si="14"/>
        <v>1.2884999999999999E-2</v>
      </c>
      <c r="X141">
        <f t="shared" si="15"/>
        <v>1.3549999999999999E-3</v>
      </c>
      <c r="Y141">
        <f t="shared" si="16"/>
        <v>2.3644999999999999E-2</v>
      </c>
    </row>
    <row r="142" spans="1:25" x14ac:dyDescent="0.25">
      <c r="A142" s="12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>
        <v>1.1399999999999999</v>
      </c>
      <c r="S142" s="3">
        <v>15.25</v>
      </c>
      <c r="T142" s="3">
        <f>(R142/2)^2*3.14*2*R142</f>
        <v>2.3260240799999998</v>
      </c>
      <c r="U142" s="3"/>
      <c r="V142" t="e">
        <f t="shared" si="13"/>
        <v>#DIV/0!</v>
      </c>
      <c r="W142" t="e">
        <f t="shared" si="14"/>
        <v>#DIV/0!</v>
      </c>
      <c r="X142" t="e">
        <f t="shared" si="15"/>
        <v>#DIV/0!</v>
      </c>
      <c r="Y142" t="e">
        <f t="shared" si="16"/>
        <v>#DIV/0!</v>
      </c>
    </row>
    <row r="143" spans="1:25" x14ac:dyDescent="0.25">
      <c r="A143" s="12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>
        <v>1.1100000000000001</v>
      </c>
      <c r="S143" s="3">
        <v>14.11</v>
      </c>
      <c r="T143" s="3">
        <f>(R143/2)^2*3.14*2*R143</f>
        <v>2.1471806700000005</v>
      </c>
      <c r="U143" s="3"/>
      <c r="V143" t="e">
        <f t="shared" si="13"/>
        <v>#DIV/0!</v>
      </c>
      <c r="W143" t="e">
        <f t="shared" si="14"/>
        <v>#DIV/0!</v>
      </c>
      <c r="X143" t="e">
        <f t="shared" si="15"/>
        <v>#DIV/0!</v>
      </c>
      <c r="Y143" t="e">
        <f t="shared" si="16"/>
        <v>#DIV/0!</v>
      </c>
    </row>
    <row r="144" spans="1:25" x14ac:dyDescent="0.25">
      <c r="A144" s="12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>
        <v>1.07</v>
      </c>
      <c r="S144" s="3">
        <v>14.16</v>
      </c>
      <c r="T144" s="3">
        <f>(R144/2)^2*3.14*2*R144</f>
        <v>1.9233175100000002</v>
      </c>
      <c r="U144" s="3"/>
      <c r="V144" t="e">
        <f t="shared" si="13"/>
        <v>#DIV/0!</v>
      </c>
      <c r="W144" t="e">
        <f t="shared" si="14"/>
        <v>#DIV/0!</v>
      </c>
      <c r="X144" t="e">
        <f t="shared" si="15"/>
        <v>#DIV/0!</v>
      </c>
      <c r="Y144" t="e">
        <f t="shared" si="16"/>
        <v>#DIV/0!</v>
      </c>
    </row>
    <row r="145" spans="1:25" x14ac:dyDescent="0.25">
      <c r="A145" s="12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>
        <v>1.03</v>
      </c>
      <c r="S145" s="3">
        <v>14.57</v>
      </c>
      <c r="T145" s="3">
        <f>(R145/2)^2*3.14*2*R145</f>
        <v>1.7155813900000001</v>
      </c>
      <c r="U145" s="3">
        <f>AVERAGEA(T141:T145)</f>
        <v>1.9556400420000002</v>
      </c>
      <c r="V145" t="e">
        <f t="shared" si="13"/>
        <v>#DIV/0!</v>
      </c>
      <c r="W145" t="e">
        <f t="shared" si="14"/>
        <v>#DIV/0!</v>
      </c>
      <c r="X145" t="e">
        <f t="shared" si="15"/>
        <v>#DIV/0!</v>
      </c>
      <c r="Y145" t="e">
        <f t="shared" si="16"/>
        <v>#DIV/0!</v>
      </c>
    </row>
    <row r="146" spans="1:25" x14ac:dyDescent="0.25">
      <c r="A146" s="12" t="s">
        <v>91</v>
      </c>
      <c r="B146" s="5" t="s">
        <v>17</v>
      </c>
      <c r="C146" s="5">
        <v>56</v>
      </c>
      <c r="D146" s="5">
        <v>53</v>
      </c>
      <c r="E146" s="5">
        <v>21</v>
      </c>
      <c r="F146" s="5">
        <v>69</v>
      </c>
      <c r="G146" s="5">
        <v>55.13</v>
      </c>
      <c r="H146" s="5">
        <v>37.200000000000003</v>
      </c>
      <c r="I146" s="5">
        <v>37.799999999999997</v>
      </c>
      <c r="J146" s="5">
        <v>45.5</v>
      </c>
      <c r="K146" s="5">
        <v>0.2</v>
      </c>
      <c r="L146" s="5">
        <v>0.23</v>
      </c>
      <c r="M146" s="5">
        <v>0.22</v>
      </c>
      <c r="N146" s="5">
        <v>10</v>
      </c>
      <c r="O146" s="5">
        <v>0.26119999999999999</v>
      </c>
      <c r="P146" s="5">
        <v>0.11899999999999999</v>
      </c>
      <c r="Q146" s="5">
        <v>0.2918</v>
      </c>
      <c r="R146" s="5"/>
      <c r="S146" s="5"/>
      <c r="T146" s="5"/>
      <c r="U146" s="5">
        <v>2070</v>
      </c>
      <c r="V146">
        <f t="shared" si="13"/>
        <v>207</v>
      </c>
      <c r="W146">
        <f t="shared" si="14"/>
        <v>2.6119999999999997E-2</v>
      </c>
      <c r="X146">
        <f t="shared" si="15"/>
        <v>1.1899999999999999E-2</v>
      </c>
      <c r="Y146">
        <f t="shared" si="16"/>
        <v>2.9180000000000001E-2</v>
      </c>
    </row>
    <row r="147" spans="1:25" x14ac:dyDescent="0.25">
      <c r="A147" s="12"/>
      <c r="B147" s="6" t="s">
        <v>71</v>
      </c>
      <c r="C147" s="6">
        <v>7</v>
      </c>
      <c r="D147" s="6">
        <v>6.8</v>
      </c>
      <c r="E147" s="6">
        <v>7</v>
      </c>
      <c r="F147" s="6">
        <v>16</v>
      </c>
      <c r="G147" s="6">
        <v>0.97</v>
      </c>
      <c r="H147" s="6">
        <v>31</v>
      </c>
      <c r="I147" s="6">
        <v>40</v>
      </c>
      <c r="J147" s="6">
        <v>31.9</v>
      </c>
      <c r="K147" s="6">
        <v>0.27</v>
      </c>
      <c r="L147" s="6">
        <v>0.37</v>
      </c>
      <c r="M147" s="6">
        <v>0.49</v>
      </c>
      <c r="N147" s="6">
        <v>5</v>
      </c>
      <c r="O147" s="6">
        <v>0.54220000000000002</v>
      </c>
      <c r="P147" s="6">
        <v>3.9600000000000003E-2</v>
      </c>
      <c r="Q147" s="6">
        <v>0.49390000000000001</v>
      </c>
      <c r="R147" s="6"/>
      <c r="S147" s="6"/>
      <c r="T147" s="6"/>
      <c r="U147" s="6">
        <v>1976</v>
      </c>
      <c r="V147">
        <f t="shared" si="13"/>
        <v>395.2</v>
      </c>
      <c r="W147">
        <f t="shared" si="14"/>
        <v>0.10844000000000001</v>
      </c>
      <c r="X147">
        <f t="shared" si="15"/>
        <v>7.92E-3</v>
      </c>
      <c r="Y147">
        <f t="shared" si="16"/>
        <v>9.8780000000000007E-2</v>
      </c>
    </row>
    <row r="148" spans="1:25" x14ac:dyDescent="0.25">
      <c r="A148" s="12"/>
      <c r="B148" s="7" t="s">
        <v>70</v>
      </c>
      <c r="C148" s="7">
        <v>68</v>
      </c>
      <c r="D148" s="7">
        <v>36</v>
      </c>
      <c r="E148" s="7">
        <v>15</v>
      </c>
      <c r="F148" s="7">
        <v>301</v>
      </c>
      <c r="G148" s="7">
        <v>57.66</v>
      </c>
      <c r="H148" s="7">
        <v>51.6</v>
      </c>
      <c r="I148" s="7">
        <v>54.6</v>
      </c>
      <c r="J148" s="7">
        <v>45</v>
      </c>
      <c r="K148" s="7">
        <v>0.25</v>
      </c>
      <c r="L148" s="7">
        <v>0.18</v>
      </c>
      <c r="M148" s="7">
        <v>0.15</v>
      </c>
      <c r="N148" s="7">
        <v>5</v>
      </c>
      <c r="O148" s="7">
        <v>0.4002</v>
      </c>
      <c r="P148" s="7">
        <v>0.1467</v>
      </c>
      <c r="Q148" s="7">
        <v>0.54320000000000002</v>
      </c>
      <c r="R148" s="7">
        <v>1.1299999999999999</v>
      </c>
      <c r="S148" s="7">
        <v>202</v>
      </c>
      <c r="T148" s="7">
        <f t="shared" ref="T148:T157" si="17">(R148/2)^2*3.14*2*R148</f>
        <v>2.265348289999999</v>
      </c>
      <c r="U148" s="7"/>
      <c r="V148">
        <f t="shared" si="13"/>
        <v>0</v>
      </c>
      <c r="W148">
        <f t="shared" si="14"/>
        <v>8.004E-2</v>
      </c>
      <c r="X148">
        <f t="shared" si="15"/>
        <v>2.9339999999999998E-2</v>
      </c>
      <c r="Y148">
        <f t="shared" si="16"/>
        <v>0.10864</v>
      </c>
    </row>
    <row r="149" spans="1:25" x14ac:dyDescent="0.25">
      <c r="A149" s="12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>
        <v>1.01</v>
      </c>
      <c r="S149" s="7">
        <v>170</v>
      </c>
      <c r="T149" s="7">
        <f t="shared" si="17"/>
        <v>1.6175725700000001</v>
      </c>
      <c r="U149" s="7"/>
      <c r="V149" t="e">
        <f t="shared" si="13"/>
        <v>#DIV/0!</v>
      </c>
      <c r="W149" t="e">
        <f t="shared" si="14"/>
        <v>#DIV/0!</v>
      </c>
      <c r="X149" t="e">
        <f t="shared" si="15"/>
        <v>#DIV/0!</v>
      </c>
      <c r="Y149" t="e">
        <f t="shared" si="16"/>
        <v>#DIV/0!</v>
      </c>
    </row>
    <row r="150" spans="1:25" x14ac:dyDescent="0.25">
      <c r="A150" s="12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>
        <v>0.9</v>
      </c>
      <c r="S150" s="7">
        <v>176</v>
      </c>
      <c r="T150" s="7">
        <f t="shared" si="17"/>
        <v>1.14453</v>
      </c>
      <c r="U150" s="7"/>
      <c r="V150" t="e">
        <f t="shared" si="13"/>
        <v>#DIV/0!</v>
      </c>
      <c r="W150" t="e">
        <f t="shared" si="14"/>
        <v>#DIV/0!</v>
      </c>
      <c r="X150" t="e">
        <f t="shared" si="15"/>
        <v>#DIV/0!</v>
      </c>
      <c r="Y150" t="e">
        <f t="shared" si="16"/>
        <v>#DIV/0!</v>
      </c>
    </row>
    <row r="151" spans="1:25" x14ac:dyDescent="0.25">
      <c r="A151" s="12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>
        <v>1.1399999999999999</v>
      </c>
      <c r="S151" s="7">
        <v>183.5</v>
      </c>
      <c r="T151" s="7">
        <f t="shared" si="17"/>
        <v>2.3260240799999998</v>
      </c>
      <c r="U151" s="7"/>
      <c r="V151" t="e">
        <f t="shared" si="13"/>
        <v>#DIV/0!</v>
      </c>
      <c r="W151" t="e">
        <f t="shared" si="14"/>
        <v>#DIV/0!</v>
      </c>
      <c r="X151" t="e">
        <f t="shared" si="15"/>
        <v>#DIV/0!</v>
      </c>
      <c r="Y151" t="e">
        <f t="shared" si="16"/>
        <v>#DIV/0!</v>
      </c>
    </row>
    <row r="152" spans="1:25" x14ac:dyDescent="0.25">
      <c r="A152" s="12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>
        <v>1.01</v>
      </c>
      <c r="S152" s="7">
        <v>180</v>
      </c>
      <c r="T152" s="7">
        <f t="shared" si="17"/>
        <v>1.6175725700000001</v>
      </c>
      <c r="U152" s="7">
        <f>AVERAGEA(T148:T152)</f>
        <v>1.7942095019999997</v>
      </c>
      <c r="V152" t="e">
        <f t="shared" si="13"/>
        <v>#DIV/0!</v>
      </c>
      <c r="W152" t="e">
        <f t="shared" si="14"/>
        <v>#DIV/0!</v>
      </c>
      <c r="X152" t="e">
        <f t="shared" si="15"/>
        <v>#DIV/0!</v>
      </c>
      <c r="Y152" t="e">
        <f t="shared" si="16"/>
        <v>#DIV/0!</v>
      </c>
    </row>
    <row r="153" spans="1:25" x14ac:dyDescent="0.25">
      <c r="A153" s="12"/>
      <c r="B153" s="8" t="s">
        <v>15</v>
      </c>
      <c r="C153" s="8">
        <v>6</v>
      </c>
      <c r="D153" s="8">
        <v>7</v>
      </c>
      <c r="E153" s="8">
        <v>18</v>
      </c>
      <c r="F153" s="8">
        <v>32</v>
      </c>
      <c r="G153" s="8">
        <v>0.83</v>
      </c>
      <c r="H153" s="8">
        <v>20.9</v>
      </c>
      <c r="I153" s="8">
        <v>23.8</v>
      </c>
      <c r="J153" s="8">
        <v>40.299999999999997</v>
      </c>
      <c r="K153" s="8">
        <v>0.87</v>
      </c>
      <c r="L153" s="8">
        <v>0.78</v>
      </c>
      <c r="M153" s="8">
        <v>0.77</v>
      </c>
      <c r="N153" s="8">
        <v>15</v>
      </c>
      <c r="O153" s="8">
        <v>0.13089999999999999</v>
      </c>
      <c r="P153" s="8">
        <v>1.11E-2</v>
      </c>
      <c r="Q153" s="8">
        <v>0.21310000000000001</v>
      </c>
      <c r="R153" s="8">
        <v>1.1100000000000001</v>
      </c>
      <c r="S153" s="8">
        <v>20.72</v>
      </c>
      <c r="T153" s="8">
        <f t="shared" si="17"/>
        <v>2.1471806700000005</v>
      </c>
      <c r="U153" s="8"/>
      <c r="V153">
        <f t="shared" si="13"/>
        <v>0</v>
      </c>
      <c r="W153">
        <f t="shared" si="14"/>
        <v>8.7266666666666656E-3</v>
      </c>
      <c r="X153">
        <f t="shared" si="15"/>
        <v>7.3999999999999999E-4</v>
      </c>
      <c r="Y153">
        <f t="shared" si="16"/>
        <v>1.4206666666666668E-2</v>
      </c>
    </row>
    <row r="154" spans="1:25" x14ac:dyDescent="0.25">
      <c r="A154" s="12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>
        <v>0.97</v>
      </c>
      <c r="S154" s="8">
        <v>15.07</v>
      </c>
      <c r="T154" s="8">
        <f t="shared" si="17"/>
        <v>1.4328966099999998</v>
      </c>
      <c r="U154" s="8"/>
      <c r="V154" t="e">
        <f t="shared" si="13"/>
        <v>#DIV/0!</v>
      </c>
      <c r="W154" t="e">
        <f t="shared" si="14"/>
        <v>#DIV/0!</v>
      </c>
      <c r="X154" t="e">
        <f t="shared" si="15"/>
        <v>#DIV/0!</v>
      </c>
      <c r="Y154" t="e">
        <f t="shared" si="16"/>
        <v>#DIV/0!</v>
      </c>
    </row>
    <row r="155" spans="1:25" x14ac:dyDescent="0.25">
      <c r="A155" s="12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>
        <v>1.1100000000000001</v>
      </c>
      <c r="S155" s="8">
        <v>8.9700000000000006</v>
      </c>
      <c r="T155" s="8">
        <f t="shared" si="17"/>
        <v>2.1471806700000005</v>
      </c>
      <c r="U155" s="8"/>
      <c r="V155" t="e">
        <f t="shared" si="13"/>
        <v>#DIV/0!</v>
      </c>
      <c r="W155" t="e">
        <f t="shared" si="14"/>
        <v>#DIV/0!</v>
      </c>
      <c r="X155" t="e">
        <f t="shared" si="15"/>
        <v>#DIV/0!</v>
      </c>
      <c r="Y155" t="e">
        <f t="shared" si="16"/>
        <v>#DIV/0!</v>
      </c>
    </row>
    <row r="156" spans="1:25" x14ac:dyDescent="0.25">
      <c r="A156" s="12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>
        <v>1.1000000000000001</v>
      </c>
      <c r="S156" s="8">
        <v>9014</v>
      </c>
      <c r="T156" s="8">
        <f t="shared" si="17"/>
        <v>2.0896700000000008</v>
      </c>
      <c r="U156" s="8"/>
      <c r="V156" t="e">
        <f t="shared" si="13"/>
        <v>#DIV/0!</v>
      </c>
      <c r="W156" t="e">
        <f t="shared" si="14"/>
        <v>#DIV/0!</v>
      </c>
      <c r="X156" t="e">
        <f t="shared" si="15"/>
        <v>#DIV/0!</v>
      </c>
      <c r="Y156" t="e">
        <f t="shared" si="16"/>
        <v>#DIV/0!</v>
      </c>
    </row>
    <row r="157" spans="1:25" x14ac:dyDescent="0.25">
      <c r="A157" s="12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>
        <v>1.1399999999999999</v>
      </c>
      <c r="S157" s="8">
        <v>8.5399999999999991</v>
      </c>
      <c r="T157" s="8">
        <f t="shared" si="17"/>
        <v>2.3260240799999998</v>
      </c>
      <c r="U157" s="8">
        <f>AVERAGEA(T153:T157)</f>
        <v>2.0285904060000002</v>
      </c>
      <c r="V157" t="e">
        <f t="shared" si="13"/>
        <v>#DIV/0!</v>
      </c>
      <c r="W157" t="e">
        <f t="shared" si="14"/>
        <v>#DIV/0!</v>
      </c>
      <c r="X157" t="e">
        <f t="shared" si="15"/>
        <v>#DIV/0!</v>
      </c>
      <c r="Y157" t="e">
        <f t="shared" si="16"/>
        <v>#DIV/0!</v>
      </c>
    </row>
    <row r="158" spans="1:25" x14ac:dyDescent="0.25">
      <c r="A158" s="12" t="s">
        <v>92</v>
      </c>
      <c r="B158" s="5" t="s">
        <v>71</v>
      </c>
      <c r="C158" s="5">
        <v>8.5</v>
      </c>
      <c r="D158" s="5">
        <v>7.8</v>
      </c>
      <c r="E158" s="5">
        <v>4.5</v>
      </c>
      <c r="F158" s="5">
        <v>4</v>
      </c>
      <c r="G158" s="5">
        <v>0.25</v>
      </c>
      <c r="H158" s="5">
        <v>30.7</v>
      </c>
      <c r="I158" s="5">
        <v>41.5</v>
      </c>
      <c r="J158" s="5">
        <v>35.9</v>
      </c>
      <c r="K158" s="5">
        <v>0.48</v>
      </c>
      <c r="L158" s="5">
        <v>0.45</v>
      </c>
      <c r="M158" s="5">
        <v>0.16</v>
      </c>
      <c r="N158" s="5">
        <v>5</v>
      </c>
      <c r="O158" s="5">
        <v>0.57310000000000005</v>
      </c>
      <c r="P158" s="5">
        <v>5.5199999999999999E-2</v>
      </c>
      <c r="Q158" s="5">
        <v>0.73740000000000006</v>
      </c>
      <c r="R158" s="5"/>
      <c r="S158" s="5"/>
      <c r="T158" s="5"/>
      <c r="U158" s="5">
        <v>1918</v>
      </c>
      <c r="V158">
        <f t="shared" si="13"/>
        <v>383.6</v>
      </c>
      <c r="W158">
        <f t="shared" si="14"/>
        <v>0.11462000000000001</v>
      </c>
      <c r="X158">
        <f t="shared" si="15"/>
        <v>1.1039999999999999E-2</v>
      </c>
      <c r="Y158">
        <f t="shared" si="16"/>
        <v>0.14748</v>
      </c>
    </row>
    <row r="159" spans="1:25" x14ac:dyDescent="0.25">
      <c r="A159" s="12"/>
      <c r="B159" s="6" t="s">
        <v>23</v>
      </c>
      <c r="C159" s="6">
        <v>9</v>
      </c>
      <c r="D159" s="6">
        <v>8</v>
      </c>
      <c r="E159" s="6">
        <v>8</v>
      </c>
      <c r="F159" s="6">
        <v>3</v>
      </c>
      <c r="G159" s="6">
        <v>0.28000000000000003</v>
      </c>
      <c r="H159" s="6">
        <v>34.799999999999997</v>
      </c>
      <c r="I159" s="6">
        <v>28.5</v>
      </c>
      <c r="J159" s="6">
        <v>37.5</v>
      </c>
      <c r="K159" s="6">
        <v>0.44</v>
      </c>
      <c r="L159" s="6">
        <v>0.3</v>
      </c>
      <c r="M159" s="6">
        <v>0.23</v>
      </c>
      <c r="N159" s="6">
        <v>10</v>
      </c>
      <c r="O159" s="6">
        <v>0.434</v>
      </c>
      <c r="P159" s="6">
        <v>3.8899999999999997E-2</v>
      </c>
      <c r="Q159" s="6">
        <v>0.4793</v>
      </c>
      <c r="R159" s="6"/>
      <c r="S159" s="6"/>
      <c r="T159" s="6"/>
      <c r="U159" s="6">
        <v>2127</v>
      </c>
      <c r="V159">
        <f t="shared" si="13"/>
        <v>212.7</v>
      </c>
      <c r="W159">
        <f t="shared" si="14"/>
        <v>4.3400000000000001E-2</v>
      </c>
      <c r="X159">
        <f t="shared" si="15"/>
        <v>3.8899999999999998E-3</v>
      </c>
      <c r="Y159">
        <f t="shared" si="16"/>
        <v>4.793E-2</v>
      </c>
    </row>
    <row r="160" spans="1:25" x14ac:dyDescent="0.25">
      <c r="A160" s="12"/>
      <c r="B160" s="7" t="s">
        <v>17</v>
      </c>
      <c r="C160" s="7">
        <v>51</v>
      </c>
      <c r="D160" s="7">
        <v>38</v>
      </c>
      <c r="E160" s="7">
        <v>30</v>
      </c>
      <c r="F160" s="7">
        <v>181</v>
      </c>
      <c r="G160" s="7">
        <v>7.2</v>
      </c>
      <c r="H160" s="7">
        <v>38.1</v>
      </c>
      <c r="I160" s="7">
        <v>36.6</v>
      </c>
      <c r="J160" s="7">
        <v>37.4</v>
      </c>
      <c r="K160" s="7">
        <v>0.25</v>
      </c>
      <c r="L160" s="7">
        <v>0.31</v>
      </c>
      <c r="M160" s="7">
        <v>0.21</v>
      </c>
      <c r="N160" s="7">
        <v>10</v>
      </c>
      <c r="O160" s="7">
        <v>0.26319999999999999</v>
      </c>
      <c r="P160" s="7">
        <v>0.12479999999999999</v>
      </c>
      <c r="Q160" s="7">
        <v>0.34799999999999998</v>
      </c>
      <c r="R160" s="7"/>
      <c r="S160" s="7"/>
      <c r="T160" s="7"/>
      <c r="U160" s="7">
        <v>2364</v>
      </c>
      <c r="V160">
        <f t="shared" si="13"/>
        <v>236.4</v>
      </c>
      <c r="W160">
        <f t="shared" si="14"/>
        <v>2.632E-2</v>
      </c>
      <c r="X160">
        <f t="shared" si="15"/>
        <v>1.248E-2</v>
      </c>
      <c r="Y160">
        <f t="shared" si="16"/>
        <v>3.4799999999999998E-2</v>
      </c>
    </row>
    <row r="161" spans="1:25" x14ac:dyDescent="0.25">
      <c r="A161" s="12"/>
      <c r="B161" s="8" t="s">
        <v>15</v>
      </c>
      <c r="C161" s="8">
        <v>28</v>
      </c>
      <c r="D161" s="8">
        <v>11.5</v>
      </c>
      <c r="E161" s="8">
        <v>33.5</v>
      </c>
      <c r="F161" s="8">
        <v>39</v>
      </c>
      <c r="G161" s="8">
        <v>15.82</v>
      </c>
      <c r="H161" s="8">
        <v>14.1</v>
      </c>
      <c r="I161" s="8">
        <v>12.3</v>
      </c>
      <c r="J161" s="8">
        <v>11.1</v>
      </c>
      <c r="K161" s="8">
        <v>1.4</v>
      </c>
      <c r="L161" s="8">
        <v>1.05</v>
      </c>
      <c r="M161" s="8">
        <v>1.1499999999999999</v>
      </c>
      <c r="N161" s="8">
        <v>20</v>
      </c>
      <c r="O161" s="8">
        <v>0.4027</v>
      </c>
      <c r="P161" s="8">
        <v>2.8799999999999999E-2</v>
      </c>
      <c r="Q161" s="8">
        <v>0.54959999999999998</v>
      </c>
      <c r="R161" s="8">
        <v>1.56</v>
      </c>
      <c r="S161" s="8">
        <v>27.46</v>
      </c>
      <c r="T161" s="8">
        <f>(R161/2)^2*3.14*2*R161</f>
        <v>5.9603731200000007</v>
      </c>
      <c r="U161" s="8"/>
      <c r="V161">
        <f t="shared" si="13"/>
        <v>0</v>
      </c>
      <c r="W161">
        <f t="shared" si="14"/>
        <v>2.0135E-2</v>
      </c>
      <c r="X161">
        <f t="shared" si="15"/>
        <v>1.4399999999999999E-3</v>
      </c>
      <c r="Y161">
        <f t="shared" si="16"/>
        <v>2.7479999999999997E-2</v>
      </c>
    </row>
    <row r="162" spans="1:25" x14ac:dyDescent="0.25">
      <c r="A162" s="12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>
        <v>1.46</v>
      </c>
      <c r="S162" s="8">
        <v>25.69</v>
      </c>
      <c r="T162" s="8">
        <f>(R162/2)^2*3.14*2*R162</f>
        <v>4.886053519999999</v>
      </c>
      <c r="U162" s="8"/>
      <c r="V162" t="e">
        <f t="shared" si="13"/>
        <v>#DIV/0!</v>
      </c>
      <c r="W162" t="e">
        <f t="shared" si="14"/>
        <v>#DIV/0!</v>
      </c>
      <c r="X162" t="e">
        <f t="shared" si="15"/>
        <v>#DIV/0!</v>
      </c>
      <c r="Y162" t="e">
        <f t="shared" si="16"/>
        <v>#DIV/0!</v>
      </c>
    </row>
    <row r="163" spans="1:25" x14ac:dyDescent="0.25">
      <c r="A163" s="12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>
        <v>1.27</v>
      </c>
      <c r="S163" s="8">
        <v>23.26</v>
      </c>
      <c r="T163" s="8">
        <f>(R163/2)^2*3.14*2*R163</f>
        <v>3.2159613100000004</v>
      </c>
      <c r="U163" s="8"/>
      <c r="V163" t="e">
        <f t="shared" si="13"/>
        <v>#DIV/0!</v>
      </c>
      <c r="W163" t="e">
        <f t="shared" si="14"/>
        <v>#DIV/0!</v>
      </c>
      <c r="X163" t="e">
        <f t="shared" si="15"/>
        <v>#DIV/0!</v>
      </c>
      <c r="Y163" t="e">
        <f t="shared" si="16"/>
        <v>#DIV/0!</v>
      </c>
    </row>
    <row r="164" spans="1:25" x14ac:dyDescent="0.25">
      <c r="A164" s="12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>
        <v>1.18</v>
      </c>
      <c r="S164" s="8">
        <v>16.28</v>
      </c>
      <c r="T164" s="8">
        <f>(R164/2)^2*3.14*2*R164</f>
        <v>2.5795602399999993</v>
      </c>
      <c r="U164" s="8"/>
      <c r="V164" t="e">
        <f t="shared" si="13"/>
        <v>#DIV/0!</v>
      </c>
      <c r="W164" t="e">
        <f t="shared" si="14"/>
        <v>#DIV/0!</v>
      </c>
      <c r="X164" t="e">
        <f t="shared" si="15"/>
        <v>#DIV/0!</v>
      </c>
      <c r="Y164" t="e">
        <f t="shared" si="16"/>
        <v>#DIV/0!</v>
      </c>
    </row>
    <row r="165" spans="1:25" x14ac:dyDescent="0.25">
      <c r="A165" s="12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>
        <v>1.17</v>
      </c>
      <c r="S165" s="8">
        <v>15.6</v>
      </c>
      <c r="T165" s="8">
        <f>(R165/2)^2*3.14*2*R165</f>
        <v>2.5145324099999997</v>
      </c>
      <c r="U165" s="8">
        <f>AVERAGEA(T161:T165)</f>
        <v>3.8312961200000002</v>
      </c>
      <c r="V165" t="e">
        <f t="shared" si="13"/>
        <v>#DIV/0!</v>
      </c>
      <c r="W165" t="e">
        <f t="shared" si="14"/>
        <v>#DIV/0!</v>
      </c>
      <c r="X165" t="e">
        <f t="shared" si="15"/>
        <v>#DIV/0!</v>
      </c>
      <c r="Y165" t="e">
        <f t="shared" si="16"/>
        <v>#DIV/0!</v>
      </c>
    </row>
    <row r="166" spans="1:25" x14ac:dyDescent="0.25">
      <c r="A166" s="12"/>
      <c r="B166" s="5" t="s">
        <v>93</v>
      </c>
      <c r="C166" s="5">
        <v>33.5</v>
      </c>
      <c r="D166" s="5"/>
      <c r="E166" s="5"/>
      <c r="F166" s="5">
        <v>1</v>
      </c>
      <c r="G166" s="5">
        <v>1.65</v>
      </c>
      <c r="H166" s="5">
        <v>47.7</v>
      </c>
      <c r="I166" s="5">
        <v>49.3</v>
      </c>
      <c r="J166" s="5">
        <v>37.700000000000003</v>
      </c>
      <c r="K166" s="5">
        <v>0.45</v>
      </c>
      <c r="L166" s="5">
        <v>0.73</v>
      </c>
      <c r="M166" s="5">
        <v>0.43</v>
      </c>
      <c r="N166" s="5">
        <v>10</v>
      </c>
      <c r="O166" s="5">
        <v>0.19489999999999999</v>
      </c>
      <c r="P166" s="5">
        <v>4.3999999999999997E-2</v>
      </c>
      <c r="Q166" s="5">
        <v>0.31259999999999999</v>
      </c>
      <c r="R166" s="5"/>
      <c r="S166" s="5"/>
      <c r="T166" s="5"/>
      <c r="U166" s="5">
        <v>1027</v>
      </c>
      <c r="V166">
        <f t="shared" si="13"/>
        <v>102.7</v>
      </c>
      <c r="W166">
        <f t="shared" si="14"/>
        <v>1.949E-2</v>
      </c>
      <c r="X166">
        <f t="shared" si="15"/>
        <v>4.3999999999999994E-3</v>
      </c>
      <c r="Y166">
        <f t="shared" si="16"/>
        <v>3.1259999999999996E-2</v>
      </c>
    </row>
    <row r="167" spans="1:25" x14ac:dyDescent="0.25">
      <c r="A167" s="12"/>
      <c r="B167" s="6" t="s">
        <v>70</v>
      </c>
      <c r="C167" s="6">
        <v>52.5</v>
      </c>
      <c r="D167" s="6">
        <v>40</v>
      </c>
      <c r="E167" s="6">
        <v>22</v>
      </c>
      <c r="F167" s="6">
        <v>265</v>
      </c>
      <c r="G167" s="6">
        <v>62.67</v>
      </c>
      <c r="H167" s="6">
        <v>52.4</v>
      </c>
      <c r="I167" s="6">
        <v>48.8</v>
      </c>
      <c r="J167" s="6">
        <v>37.9</v>
      </c>
      <c r="K167" s="6">
        <v>0.28999999999999998</v>
      </c>
      <c r="L167" s="6">
        <v>0.28999999999999998</v>
      </c>
      <c r="M167" s="6">
        <v>0.37</v>
      </c>
      <c r="N167" s="6">
        <v>5</v>
      </c>
      <c r="O167" s="6">
        <v>1.0778000000000001</v>
      </c>
      <c r="P167" s="6">
        <v>0.38390000000000002</v>
      </c>
      <c r="Q167" s="6">
        <v>1.4754</v>
      </c>
      <c r="R167" s="6">
        <v>1.21</v>
      </c>
      <c r="S167" s="6">
        <v>409.5</v>
      </c>
      <c r="T167" s="6">
        <f t="shared" ref="T167:T181" si="18">(R167/2)^2*3.14*2*R167</f>
        <v>2.7813507699999995</v>
      </c>
      <c r="U167" s="6"/>
      <c r="V167">
        <f t="shared" si="13"/>
        <v>0</v>
      </c>
      <c r="W167">
        <f t="shared" si="14"/>
        <v>0.21556000000000003</v>
      </c>
      <c r="X167">
        <f t="shared" si="15"/>
        <v>7.6780000000000001E-2</v>
      </c>
      <c r="Y167">
        <f t="shared" si="16"/>
        <v>0.29508000000000001</v>
      </c>
    </row>
    <row r="168" spans="1:25" x14ac:dyDescent="0.25">
      <c r="A168" s="12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>
        <v>0.9</v>
      </c>
      <c r="S168" s="6">
        <v>410</v>
      </c>
      <c r="T168" s="6">
        <f t="shared" si="18"/>
        <v>1.14453</v>
      </c>
      <c r="U168" s="6"/>
      <c r="V168" t="e">
        <f t="shared" si="13"/>
        <v>#DIV/0!</v>
      </c>
      <c r="W168" t="e">
        <f t="shared" si="14"/>
        <v>#DIV/0!</v>
      </c>
      <c r="X168" t="e">
        <f t="shared" si="15"/>
        <v>#DIV/0!</v>
      </c>
      <c r="Y168" t="e">
        <f t="shared" si="16"/>
        <v>#DIV/0!</v>
      </c>
    </row>
    <row r="169" spans="1:25" x14ac:dyDescent="0.25">
      <c r="A169" s="12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>
        <v>1.1399999999999999</v>
      </c>
      <c r="S169" s="6">
        <v>401.5</v>
      </c>
      <c r="T169" s="6">
        <f t="shared" si="18"/>
        <v>2.3260240799999998</v>
      </c>
      <c r="U169" s="6"/>
      <c r="V169" t="e">
        <f t="shared" si="13"/>
        <v>#DIV/0!</v>
      </c>
      <c r="W169" t="e">
        <f t="shared" si="14"/>
        <v>#DIV/0!</v>
      </c>
      <c r="X169" t="e">
        <f t="shared" si="15"/>
        <v>#DIV/0!</v>
      </c>
      <c r="Y169" t="e">
        <f t="shared" si="16"/>
        <v>#DIV/0!</v>
      </c>
    </row>
    <row r="170" spans="1:25" x14ac:dyDescent="0.25">
      <c r="A170" s="12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>
        <v>0.49</v>
      </c>
      <c r="S170" s="6">
        <v>257</v>
      </c>
      <c r="T170" s="6">
        <f t="shared" si="18"/>
        <v>0.18470892999999999</v>
      </c>
      <c r="U170" s="6"/>
      <c r="V170" t="e">
        <f t="shared" si="13"/>
        <v>#DIV/0!</v>
      </c>
      <c r="W170" t="e">
        <f t="shared" si="14"/>
        <v>#DIV/0!</v>
      </c>
      <c r="X170" t="e">
        <f t="shared" si="15"/>
        <v>#DIV/0!</v>
      </c>
      <c r="Y170" t="e">
        <f t="shared" si="16"/>
        <v>#DIV/0!</v>
      </c>
    </row>
    <row r="171" spans="1:25" x14ac:dyDescent="0.25">
      <c r="A171" s="12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>
        <v>0.78</v>
      </c>
      <c r="S171" s="6">
        <v>209.5</v>
      </c>
      <c r="T171" s="6">
        <f t="shared" si="18"/>
        <v>0.74504664000000009</v>
      </c>
      <c r="U171" s="6">
        <f>AVERAGEA(T167:T171)</f>
        <v>1.4363320839999998</v>
      </c>
      <c r="V171" t="e">
        <f t="shared" si="13"/>
        <v>#DIV/0!</v>
      </c>
      <c r="W171" t="e">
        <f t="shared" si="14"/>
        <v>#DIV/0!</v>
      </c>
      <c r="X171" t="e">
        <f t="shared" si="15"/>
        <v>#DIV/0!</v>
      </c>
      <c r="Y171" t="e">
        <f t="shared" si="16"/>
        <v>#DIV/0!</v>
      </c>
    </row>
    <row r="172" spans="1:25" x14ac:dyDescent="0.25">
      <c r="A172" s="2" t="s">
        <v>14</v>
      </c>
      <c r="B172" s="3" t="s">
        <v>15</v>
      </c>
      <c r="C172" s="3">
        <v>18</v>
      </c>
      <c r="D172" s="3" t="s">
        <v>127</v>
      </c>
      <c r="E172" s="3">
        <v>11</v>
      </c>
      <c r="F172" s="3">
        <v>6</v>
      </c>
      <c r="G172" s="3">
        <v>1.3</v>
      </c>
      <c r="H172" s="3">
        <v>13.3</v>
      </c>
      <c r="I172" s="3">
        <v>13.6</v>
      </c>
      <c r="J172" s="3">
        <v>21.7</v>
      </c>
      <c r="K172" s="3">
        <v>0.52</v>
      </c>
      <c r="L172" s="3">
        <v>0.65</v>
      </c>
      <c r="M172" s="3">
        <v>0.39</v>
      </c>
      <c r="N172" s="3">
        <v>10</v>
      </c>
      <c r="O172" s="3">
        <v>5.9700000000000003E-2</v>
      </c>
      <c r="P172" s="3">
        <v>2.5399999999999999E-2</v>
      </c>
      <c r="Q172" s="3">
        <v>0.12889999999999999</v>
      </c>
      <c r="R172" s="3">
        <v>0.56999999999999995</v>
      </c>
      <c r="S172" s="3">
        <v>21.99</v>
      </c>
      <c r="T172" s="3">
        <f t="shared" si="18"/>
        <v>0.29075300999999998</v>
      </c>
      <c r="U172" s="3"/>
      <c r="V172">
        <f t="shared" si="13"/>
        <v>0</v>
      </c>
      <c r="W172">
        <f t="shared" si="14"/>
        <v>5.9700000000000005E-3</v>
      </c>
      <c r="X172">
        <f t="shared" si="15"/>
        <v>2.5399999999999997E-3</v>
      </c>
      <c r="Y172">
        <f t="shared" si="16"/>
        <v>1.2889999999999999E-2</v>
      </c>
    </row>
    <row r="173" spans="1:25" x14ac:dyDescent="0.25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>
        <v>0.38</v>
      </c>
      <c r="S173" s="3">
        <v>15.87</v>
      </c>
      <c r="T173" s="3">
        <f t="shared" si="18"/>
        <v>8.614904000000001E-2</v>
      </c>
      <c r="U173" s="3"/>
      <c r="V173" t="e">
        <f t="shared" si="13"/>
        <v>#DIV/0!</v>
      </c>
      <c r="W173" t="e">
        <f t="shared" si="14"/>
        <v>#DIV/0!</v>
      </c>
      <c r="X173" t="e">
        <f t="shared" si="15"/>
        <v>#DIV/0!</v>
      </c>
      <c r="Y173" t="e">
        <f t="shared" si="16"/>
        <v>#DIV/0!</v>
      </c>
    </row>
    <row r="174" spans="1:25" x14ac:dyDescent="0.25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>
        <v>0.65</v>
      </c>
      <c r="S174" s="3">
        <v>17.5</v>
      </c>
      <c r="T174" s="3">
        <f t="shared" si="18"/>
        <v>0.43116125000000005</v>
      </c>
      <c r="U174" s="3"/>
      <c r="V174" t="e">
        <f t="shared" si="13"/>
        <v>#DIV/0!</v>
      </c>
      <c r="W174" t="e">
        <f t="shared" si="14"/>
        <v>#DIV/0!</v>
      </c>
      <c r="X174" t="e">
        <f t="shared" si="15"/>
        <v>#DIV/0!</v>
      </c>
      <c r="Y174" t="e">
        <f t="shared" si="16"/>
        <v>#DIV/0!</v>
      </c>
    </row>
    <row r="175" spans="1:25" x14ac:dyDescent="0.25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>
        <v>0.71</v>
      </c>
      <c r="S175" s="3">
        <v>13.09</v>
      </c>
      <c r="T175" s="3">
        <f t="shared" si="18"/>
        <v>0.56192027</v>
      </c>
      <c r="U175" s="3"/>
      <c r="V175" t="e">
        <f t="shared" si="13"/>
        <v>#DIV/0!</v>
      </c>
      <c r="W175" t="e">
        <f t="shared" si="14"/>
        <v>#DIV/0!</v>
      </c>
      <c r="X175" t="e">
        <f t="shared" si="15"/>
        <v>#DIV/0!</v>
      </c>
      <c r="Y175" t="e">
        <f t="shared" si="16"/>
        <v>#DIV/0!</v>
      </c>
    </row>
    <row r="176" spans="1:25" x14ac:dyDescent="0.25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>
        <v>0.6</v>
      </c>
      <c r="S176" s="3">
        <v>14.76</v>
      </c>
      <c r="T176" s="3">
        <f t="shared" si="18"/>
        <v>0.33912000000000003</v>
      </c>
      <c r="U176" s="3">
        <f>AVERAGEA(T172:T176)</f>
        <v>0.34182071400000003</v>
      </c>
      <c r="V176" t="e">
        <f t="shared" si="13"/>
        <v>#DIV/0!</v>
      </c>
      <c r="W176" t="e">
        <f t="shared" si="14"/>
        <v>#DIV/0!</v>
      </c>
      <c r="X176" t="e">
        <f t="shared" si="15"/>
        <v>#DIV/0!</v>
      </c>
      <c r="Y176" t="e">
        <f t="shared" si="16"/>
        <v>#DIV/0!</v>
      </c>
    </row>
    <row r="177" spans="1:25" x14ac:dyDescent="0.25">
      <c r="B177" s="4" t="s">
        <v>16</v>
      </c>
      <c r="C177" s="4">
        <v>38</v>
      </c>
      <c r="D177" s="4">
        <v>15</v>
      </c>
      <c r="E177" s="4">
        <v>12</v>
      </c>
      <c r="F177" s="4">
        <v>6</v>
      </c>
      <c r="G177" s="4">
        <v>7.16</v>
      </c>
      <c r="H177" s="4">
        <v>41.6</v>
      </c>
      <c r="I177" s="4">
        <v>37.299999999999997</v>
      </c>
      <c r="J177" s="4">
        <v>21.9</v>
      </c>
      <c r="K177" s="4">
        <v>0.08</v>
      </c>
      <c r="L177" s="4">
        <v>0.14000000000000001</v>
      </c>
      <c r="M177" s="4">
        <v>0.17</v>
      </c>
      <c r="N177" s="4">
        <v>5</v>
      </c>
      <c r="O177" s="4">
        <v>0.16089999999999999</v>
      </c>
      <c r="P177" s="4">
        <v>0.121</v>
      </c>
      <c r="Q177" s="4">
        <v>0.25609999999999999</v>
      </c>
      <c r="R177" s="4">
        <v>0.28000000000000003</v>
      </c>
      <c r="S177" s="4">
        <v>185</v>
      </c>
      <c r="T177" s="4">
        <f t="shared" si="18"/>
        <v>3.4464640000000005E-2</v>
      </c>
      <c r="U177" s="4"/>
      <c r="V177">
        <f t="shared" si="13"/>
        <v>0</v>
      </c>
      <c r="W177">
        <f t="shared" si="14"/>
        <v>3.218E-2</v>
      </c>
      <c r="X177">
        <f t="shared" si="15"/>
        <v>2.4199999999999999E-2</v>
      </c>
      <c r="Y177">
        <f t="shared" si="16"/>
        <v>5.1220000000000002E-2</v>
      </c>
    </row>
    <row r="178" spans="1:25" x14ac:dyDescent="0.25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>
        <v>0.4</v>
      </c>
      <c r="S178" s="4">
        <v>268</v>
      </c>
      <c r="T178" s="4">
        <f t="shared" si="18"/>
        <v>0.10048000000000001</v>
      </c>
      <c r="U178" s="4"/>
      <c r="V178" t="e">
        <f t="shared" si="13"/>
        <v>#DIV/0!</v>
      </c>
      <c r="W178" t="e">
        <f t="shared" si="14"/>
        <v>#DIV/0!</v>
      </c>
      <c r="X178" t="e">
        <f t="shared" si="15"/>
        <v>#DIV/0!</v>
      </c>
      <c r="Y178" t="e">
        <f t="shared" si="16"/>
        <v>#DIV/0!</v>
      </c>
    </row>
    <row r="179" spans="1:25" x14ac:dyDescent="0.25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>
        <v>0.32</v>
      </c>
      <c r="S179" s="4">
        <v>267</v>
      </c>
      <c r="T179" s="4">
        <f t="shared" si="18"/>
        <v>5.1445760000000007E-2</v>
      </c>
      <c r="U179" s="4"/>
      <c r="V179" t="e">
        <f t="shared" si="13"/>
        <v>#DIV/0!</v>
      </c>
      <c r="W179" t="e">
        <f t="shared" si="14"/>
        <v>#DIV/0!</v>
      </c>
      <c r="X179" t="e">
        <f t="shared" si="15"/>
        <v>#DIV/0!</v>
      </c>
      <c r="Y179" t="e">
        <f t="shared" si="16"/>
        <v>#DIV/0!</v>
      </c>
    </row>
    <row r="180" spans="1:25" x14ac:dyDescent="0.25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>
        <v>0.24</v>
      </c>
      <c r="S180" s="4">
        <v>181</v>
      </c>
      <c r="T180" s="4">
        <f t="shared" si="18"/>
        <v>2.170368E-2</v>
      </c>
      <c r="U180" s="4"/>
      <c r="V180" t="e">
        <f t="shared" si="13"/>
        <v>#DIV/0!</v>
      </c>
      <c r="W180" t="e">
        <f t="shared" si="14"/>
        <v>#DIV/0!</v>
      </c>
      <c r="X180" t="e">
        <f t="shared" si="15"/>
        <v>#DIV/0!</v>
      </c>
      <c r="Y180" t="e">
        <f t="shared" si="16"/>
        <v>#DIV/0!</v>
      </c>
    </row>
    <row r="181" spans="1:25" x14ac:dyDescent="0.25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>
        <v>0.41</v>
      </c>
      <c r="S181" s="4">
        <v>160</v>
      </c>
      <c r="T181" s="4">
        <f t="shared" si="18"/>
        <v>0.10820596999999997</v>
      </c>
      <c r="U181" s="4">
        <f>AVERAGEA(T177:T181)</f>
        <v>6.3260010000000005E-2</v>
      </c>
      <c r="V181" t="e">
        <f t="shared" si="13"/>
        <v>#DIV/0!</v>
      </c>
      <c r="W181" t="e">
        <f t="shared" si="14"/>
        <v>#DIV/0!</v>
      </c>
      <c r="X181" t="e">
        <f t="shared" si="15"/>
        <v>#DIV/0!</v>
      </c>
      <c r="Y181" t="e">
        <f t="shared" si="16"/>
        <v>#DIV/0!</v>
      </c>
    </row>
    <row r="182" spans="1:25" x14ac:dyDescent="0.25">
      <c r="B182" s="5" t="s">
        <v>17</v>
      </c>
      <c r="C182" s="5">
        <v>35</v>
      </c>
      <c r="D182" s="5">
        <v>46</v>
      </c>
      <c r="E182" s="5">
        <v>20</v>
      </c>
      <c r="F182" s="5">
        <v>16</v>
      </c>
      <c r="G182" s="5">
        <v>11.66</v>
      </c>
      <c r="H182" s="5">
        <v>40</v>
      </c>
      <c r="I182" s="5">
        <v>52</v>
      </c>
      <c r="J182" s="5">
        <v>45.2</v>
      </c>
      <c r="K182" s="5">
        <v>0.18</v>
      </c>
      <c r="L182" s="5">
        <v>0.17</v>
      </c>
      <c r="M182" s="5">
        <v>0.15</v>
      </c>
      <c r="N182" s="5">
        <v>5</v>
      </c>
      <c r="O182" s="5">
        <v>0.34549999999999997</v>
      </c>
      <c r="P182" s="5">
        <v>0.2203</v>
      </c>
      <c r="Q182" s="5">
        <v>0.7167</v>
      </c>
      <c r="R182" s="5"/>
      <c r="S182" s="5"/>
      <c r="T182" s="5"/>
      <c r="U182" s="5" t="s">
        <v>128</v>
      </c>
      <c r="V182" t="e">
        <f t="shared" si="13"/>
        <v>#VALUE!</v>
      </c>
      <c r="W182">
        <f t="shared" si="14"/>
        <v>6.9099999999999995E-2</v>
      </c>
      <c r="X182">
        <f t="shared" si="15"/>
        <v>4.4060000000000002E-2</v>
      </c>
      <c r="Y182">
        <f t="shared" si="16"/>
        <v>0.14334</v>
      </c>
    </row>
    <row r="183" spans="1:25" x14ac:dyDescent="0.25">
      <c r="B183" s="6" t="s">
        <v>18</v>
      </c>
      <c r="C183" s="6">
        <v>34</v>
      </c>
      <c r="D183" s="6">
        <v>14</v>
      </c>
      <c r="E183" s="6"/>
      <c r="F183" s="6">
        <v>2</v>
      </c>
      <c r="G183" s="6">
        <v>9.6199999999999992</v>
      </c>
      <c r="H183" s="6">
        <v>12.21</v>
      </c>
      <c r="I183" s="6">
        <v>27.2</v>
      </c>
      <c r="J183" s="6">
        <v>26.1</v>
      </c>
      <c r="K183" s="6">
        <v>0.21</v>
      </c>
      <c r="L183" s="6">
        <v>0.56999999999999995</v>
      </c>
      <c r="M183" s="6">
        <v>0.66</v>
      </c>
      <c r="N183" s="6">
        <v>100</v>
      </c>
      <c r="O183" s="6">
        <v>0.47099999999999997</v>
      </c>
      <c r="P183" s="6">
        <v>2.4899999999999999E-2</v>
      </c>
      <c r="Q183" s="6">
        <v>8.1199999999999994E-2</v>
      </c>
      <c r="R183" s="6">
        <v>0.3</v>
      </c>
      <c r="S183" s="6">
        <v>2.82</v>
      </c>
      <c r="T183" s="6">
        <f>(R183/2)^2*3.14*2*R183</f>
        <v>4.2390000000000004E-2</v>
      </c>
      <c r="U183" s="6"/>
      <c r="V183">
        <f t="shared" si="13"/>
        <v>0</v>
      </c>
      <c r="W183">
        <f t="shared" si="14"/>
        <v>4.7099999999999998E-3</v>
      </c>
      <c r="X183">
        <f t="shared" si="15"/>
        <v>2.4899999999999998E-4</v>
      </c>
      <c r="Y183">
        <f t="shared" si="16"/>
        <v>8.119999999999999E-4</v>
      </c>
    </row>
    <row r="184" spans="1:25" x14ac:dyDescent="0.25"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>
        <v>0.34</v>
      </c>
      <c r="S184" s="6">
        <v>3.04</v>
      </c>
      <c r="T184" s="6">
        <f>(R184/2)^2*3.14*2*R184</f>
        <v>6.1707280000000017E-2</v>
      </c>
      <c r="U184" s="6"/>
      <c r="V184" t="e">
        <f t="shared" si="13"/>
        <v>#DIV/0!</v>
      </c>
      <c r="W184" t="e">
        <f t="shared" si="14"/>
        <v>#DIV/0!</v>
      </c>
      <c r="X184" t="e">
        <f t="shared" si="15"/>
        <v>#DIV/0!</v>
      </c>
      <c r="Y184" t="e">
        <f t="shared" si="16"/>
        <v>#DIV/0!</v>
      </c>
    </row>
    <row r="185" spans="1:25" x14ac:dyDescent="0.25"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>
        <v>0.35</v>
      </c>
      <c r="S185" s="6">
        <v>3.21</v>
      </c>
      <c r="T185" s="6">
        <f>(R185/2)^2*3.14*2*R185</f>
        <v>6.7313749999999992E-2</v>
      </c>
      <c r="U185" s="6"/>
      <c r="V185" t="e">
        <f t="shared" si="13"/>
        <v>#DIV/0!</v>
      </c>
      <c r="W185" t="e">
        <f t="shared" si="14"/>
        <v>#DIV/0!</v>
      </c>
      <c r="X185" t="e">
        <f t="shared" si="15"/>
        <v>#DIV/0!</v>
      </c>
      <c r="Y185" t="e">
        <f t="shared" si="16"/>
        <v>#DIV/0!</v>
      </c>
    </row>
    <row r="186" spans="1:25" x14ac:dyDescent="0.25"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>
        <v>0.35</v>
      </c>
      <c r="S186" s="6">
        <v>2.93</v>
      </c>
      <c r="T186" s="6">
        <f>(R186/2)^2*3.14*2*R186</f>
        <v>6.7313749999999992E-2</v>
      </c>
      <c r="U186" s="6"/>
      <c r="V186" t="e">
        <f t="shared" si="13"/>
        <v>#DIV/0!</v>
      </c>
      <c r="W186" t="e">
        <f t="shared" si="14"/>
        <v>#DIV/0!</v>
      </c>
      <c r="X186" t="e">
        <f t="shared" si="15"/>
        <v>#DIV/0!</v>
      </c>
      <c r="Y186" t="e">
        <f t="shared" si="16"/>
        <v>#DIV/0!</v>
      </c>
    </row>
    <row r="187" spans="1:25" x14ac:dyDescent="0.25"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>
        <v>0.28000000000000003</v>
      </c>
      <c r="S187" s="6">
        <v>3.18</v>
      </c>
      <c r="T187" s="6">
        <f>(R187/2)^2*3.14*2*R187</f>
        <v>3.4464640000000005E-2</v>
      </c>
      <c r="U187" s="6">
        <f>AVERAGEA(T183:T187)</f>
        <v>5.4637884000000005E-2</v>
      </c>
      <c r="V187" t="e">
        <f t="shared" si="13"/>
        <v>#DIV/0!</v>
      </c>
      <c r="W187" t="e">
        <f t="shared" si="14"/>
        <v>#DIV/0!</v>
      </c>
      <c r="X187" t="e">
        <f t="shared" si="15"/>
        <v>#DIV/0!</v>
      </c>
      <c r="Y187" t="e">
        <f t="shared" si="16"/>
        <v>#DIV/0!</v>
      </c>
    </row>
    <row r="188" spans="1:25" x14ac:dyDescent="0.25">
      <c r="A188" s="2" t="s">
        <v>19</v>
      </c>
      <c r="B188" s="7" t="s">
        <v>17</v>
      </c>
      <c r="C188" s="7">
        <v>31</v>
      </c>
      <c r="D188" s="7">
        <v>15</v>
      </c>
      <c r="E188" s="7">
        <v>21</v>
      </c>
      <c r="F188" s="7">
        <v>11</v>
      </c>
      <c r="G188" s="7">
        <v>4.4800000000000004</v>
      </c>
      <c r="H188" s="7"/>
      <c r="I188" s="7"/>
      <c r="J188" s="7"/>
      <c r="K188" s="7">
        <v>0.2</v>
      </c>
      <c r="L188" s="7">
        <v>0.2</v>
      </c>
      <c r="M188" s="7">
        <v>0.24</v>
      </c>
      <c r="N188" s="7">
        <v>5</v>
      </c>
      <c r="O188" s="7">
        <v>0.38329999999999997</v>
      </c>
      <c r="P188" s="7">
        <v>0.19189999999999999</v>
      </c>
      <c r="Q188" s="7">
        <v>0.58720000000000006</v>
      </c>
      <c r="R188" s="7"/>
      <c r="S188" s="7"/>
      <c r="T188" s="7"/>
      <c r="U188" s="7">
        <v>2335</v>
      </c>
      <c r="V188">
        <f t="shared" si="13"/>
        <v>467</v>
      </c>
      <c r="W188">
        <f t="shared" si="14"/>
        <v>7.6659999999999992E-2</v>
      </c>
      <c r="X188">
        <f t="shared" si="15"/>
        <v>3.8379999999999997E-2</v>
      </c>
      <c r="Y188">
        <f t="shared" si="16"/>
        <v>0.11744000000000002</v>
      </c>
    </row>
    <row r="189" spans="1:25" x14ac:dyDescent="0.25">
      <c r="B189" s="8" t="s">
        <v>18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>
        <v>100</v>
      </c>
      <c r="O189" s="8">
        <v>7.3099999999999998E-2</v>
      </c>
      <c r="P189" s="8">
        <v>0.03</v>
      </c>
      <c r="Q189" s="8">
        <v>9.6299999999999997E-2</v>
      </c>
      <c r="R189" s="8">
        <v>0.44</v>
      </c>
      <c r="S189" s="8">
        <v>2.6</v>
      </c>
      <c r="T189" s="8">
        <f t="shared" ref="T189:T198" si="19">(R189/2)^2*3.14*2*R189</f>
        <v>0.13373888</v>
      </c>
      <c r="U189" s="8"/>
      <c r="V189">
        <f t="shared" si="13"/>
        <v>0</v>
      </c>
      <c r="W189">
        <f t="shared" si="14"/>
        <v>7.3099999999999999E-4</v>
      </c>
      <c r="X189">
        <f t="shared" si="15"/>
        <v>2.9999999999999997E-4</v>
      </c>
      <c r="Y189">
        <f t="shared" si="16"/>
        <v>9.6299999999999999E-4</v>
      </c>
    </row>
    <row r="190" spans="1:25" x14ac:dyDescent="0.25"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>
        <v>0.47</v>
      </c>
      <c r="S190" s="8">
        <v>2.65</v>
      </c>
      <c r="T190" s="8">
        <f t="shared" si="19"/>
        <v>0.16300210999999998</v>
      </c>
      <c r="U190" s="8"/>
      <c r="V190" t="e">
        <f t="shared" si="13"/>
        <v>#DIV/0!</v>
      </c>
      <c r="W190" t="e">
        <f t="shared" si="14"/>
        <v>#DIV/0!</v>
      </c>
      <c r="X190" t="e">
        <f t="shared" si="15"/>
        <v>#DIV/0!</v>
      </c>
      <c r="Y190" t="e">
        <f t="shared" si="16"/>
        <v>#DIV/0!</v>
      </c>
    </row>
    <row r="191" spans="1:25" x14ac:dyDescent="0.25"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>
        <v>0.46</v>
      </c>
      <c r="S191" s="8">
        <v>2.36</v>
      </c>
      <c r="T191" s="8">
        <f t="shared" si="19"/>
        <v>0.15281752000000001</v>
      </c>
      <c r="U191" s="8"/>
      <c r="V191" t="e">
        <f t="shared" si="13"/>
        <v>#DIV/0!</v>
      </c>
      <c r="W191" t="e">
        <f t="shared" si="14"/>
        <v>#DIV/0!</v>
      </c>
      <c r="X191" t="e">
        <f t="shared" si="15"/>
        <v>#DIV/0!</v>
      </c>
      <c r="Y191" t="e">
        <f t="shared" si="16"/>
        <v>#DIV/0!</v>
      </c>
    </row>
    <row r="192" spans="1:25" x14ac:dyDescent="0.25"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>
        <v>0.47</v>
      </c>
      <c r="S192" s="8">
        <v>2.99</v>
      </c>
      <c r="T192" s="8">
        <f t="shared" si="19"/>
        <v>0.16300210999999998</v>
      </c>
      <c r="U192" s="8"/>
      <c r="V192" t="e">
        <f t="shared" si="13"/>
        <v>#DIV/0!</v>
      </c>
      <c r="W192" t="e">
        <f t="shared" si="14"/>
        <v>#DIV/0!</v>
      </c>
      <c r="X192" t="e">
        <f t="shared" si="15"/>
        <v>#DIV/0!</v>
      </c>
      <c r="Y192" t="e">
        <f t="shared" si="16"/>
        <v>#DIV/0!</v>
      </c>
    </row>
    <row r="193" spans="1:25" x14ac:dyDescent="0.25"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>
        <v>0.44</v>
      </c>
      <c r="S193" s="8">
        <v>2.4500000000000002</v>
      </c>
      <c r="T193" s="8">
        <f t="shared" si="19"/>
        <v>0.13373888</v>
      </c>
      <c r="U193" s="8">
        <f>AVERAGEA(T189:T193)</f>
        <v>0.1492599</v>
      </c>
      <c r="V193" t="e">
        <f t="shared" si="13"/>
        <v>#DIV/0!</v>
      </c>
      <c r="W193" t="e">
        <f t="shared" si="14"/>
        <v>#DIV/0!</v>
      </c>
      <c r="X193" t="e">
        <f t="shared" si="15"/>
        <v>#DIV/0!</v>
      </c>
      <c r="Y193" t="e">
        <f t="shared" si="16"/>
        <v>#DIV/0!</v>
      </c>
    </row>
    <row r="194" spans="1:25" x14ac:dyDescent="0.25">
      <c r="B194" s="3" t="s">
        <v>16</v>
      </c>
      <c r="C194" s="3">
        <v>23</v>
      </c>
      <c r="D194" s="3">
        <v>18</v>
      </c>
      <c r="E194" s="3">
        <v>17</v>
      </c>
      <c r="F194" s="3">
        <v>6</v>
      </c>
      <c r="G194" s="3">
        <v>4.67</v>
      </c>
      <c r="H194" s="3">
        <v>31.9</v>
      </c>
      <c r="I194" s="3">
        <v>15.6</v>
      </c>
      <c r="J194" s="3">
        <v>36.5</v>
      </c>
      <c r="K194" s="3">
        <v>0.15</v>
      </c>
      <c r="L194" s="3">
        <v>0.13</v>
      </c>
      <c r="M194" s="3">
        <v>0.13</v>
      </c>
      <c r="N194" s="3">
        <v>5</v>
      </c>
      <c r="O194" s="3">
        <v>8.7099999999999997E-2</v>
      </c>
      <c r="P194" s="3">
        <v>6.3799999999999996E-2</v>
      </c>
      <c r="Q194" s="3">
        <v>0.15640000000000001</v>
      </c>
      <c r="R194" s="3">
        <v>0.44</v>
      </c>
      <c r="S194" s="3">
        <v>210</v>
      </c>
      <c r="T194" s="3">
        <f t="shared" si="19"/>
        <v>0.13373888</v>
      </c>
      <c r="U194" s="3"/>
      <c r="V194">
        <f t="shared" ref="V194:V257" si="20">U194/N194</f>
        <v>0</v>
      </c>
      <c r="W194">
        <f t="shared" ref="W194:W258" si="21">O194/N194</f>
        <v>1.7419999999999998E-2</v>
      </c>
      <c r="X194">
        <f t="shared" ref="X194:X258" si="22">P194/N194</f>
        <v>1.2759999999999999E-2</v>
      </c>
      <c r="Y194">
        <f t="shared" ref="Y194:Y258" si="23">Q194/N194</f>
        <v>3.1280000000000002E-2</v>
      </c>
    </row>
    <row r="195" spans="1:25" x14ac:dyDescent="0.25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>
        <v>0.49</v>
      </c>
      <c r="S195" s="3">
        <v>144</v>
      </c>
      <c r="T195" s="3">
        <f t="shared" si="19"/>
        <v>0.18470892999999999</v>
      </c>
      <c r="U195" s="3"/>
      <c r="V195" t="e">
        <f t="shared" si="20"/>
        <v>#DIV/0!</v>
      </c>
      <c r="W195" t="e">
        <f t="shared" si="21"/>
        <v>#DIV/0!</v>
      </c>
      <c r="X195" t="e">
        <f t="shared" si="22"/>
        <v>#DIV/0!</v>
      </c>
      <c r="Y195" t="e">
        <f t="shared" si="23"/>
        <v>#DIV/0!</v>
      </c>
    </row>
    <row r="196" spans="1:25" x14ac:dyDescent="0.25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>
        <v>0.5</v>
      </c>
      <c r="S196" s="3">
        <v>119</v>
      </c>
      <c r="T196" s="3">
        <f t="shared" si="19"/>
        <v>0.19625000000000001</v>
      </c>
      <c r="U196" s="3"/>
      <c r="V196" t="e">
        <f t="shared" si="20"/>
        <v>#DIV/0!</v>
      </c>
      <c r="W196" t="e">
        <f t="shared" si="21"/>
        <v>#DIV/0!</v>
      </c>
      <c r="X196" t="e">
        <f t="shared" si="22"/>
        <v>#DIV/0!</v>
      </c>
      <c r="Y196" t="e">
        <f t="shared" si="23"/>
        <v>#DIV/0!</v>
      </c>
    </row>
    <row r="197" spans="1:25" x14ac:dyDescent="0.25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>
        <v>0.37</v>
      </c>
      <c r="S197" s="3">
        <v>98</v>
      </c>
      <c r="T197" s="3">
        <f t="shared" si="19"/>
        <v>7.9525209999999999E-2</v>
      </c>
      <c r="U197" s="3"/>
      <c r="V197" t="e">
        <f t="shared" si="20"/>
        <v>#DIV/0!</v>
      </c>
      <c r="W197" t="e">
        <f t="shared" si="21"/>
        <v>#DIV/0!</v>
      </c>
      <c r="X197" t="e">
        <f t="shared" si="22"/>
        <v>#DIV/0!</v>
      </c>
      <c r="Y197" t="e">
        <f t="shared" si="23"/>
        <v>#DIV/0!</v>
      </c>
    </row>
    <row r="198" spans="1:25" x14ac:dyDescent="0.25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>
        <v>0.39</v>
      </c>
      <c r="S198" s="3">
        <v>104.5</v>
      </c>
      <c r="T198" s="3">
        <f t="shared" si="19"/>
        <v>9.3130830000000012E-2</v>
      </c>
      <c r="U198" s="3">
        <f>AVERAGEA(T194:T198)</f>
        <v>0.13747077000000002</v>
      </c>
      <c r="V198" t="e">
        <f t="shared" si="20"/>
        <v>#DIV/0!</v>
      </c>
      <c r="W198" t="e">
        <f t="shared" si="21"/>
        <v>#DIV/0!</v>
      </c>
      <c r="X198" t="e">
        <f t="shared" si="22"/>
        <v>#DIV/0!</v>
      </c>
      <c r="Y198" t="e">
        <f t="shared" si="23"/>
        <v>#DIV/0!</v>
      </c>
    </row>
    <row r="199" spans="1:25" x14ac:dyDescent="0.25">
      <c r="B199" s="4" t="s">
        <v>20</v>
      </c>
      <c r="C199" s="4">
        <v>22</v>
      </c>
      <c r="D199" s="4">
        <v>19</v>
      </c>
      <c r="E199" s="4">
        <v>18</v>
      </c>
      <c r="F199" s="4">
        <v>11</v>
      </c>
      <c r="G199" s="4">
        <v>48.68</v>
      </c>
      <c r="H199" s="4"/>
      <c r="I199" s="4"/>
      <c r="J199" s="4"/>
      <c r="K199" s="4">
        <v>0.53</v>
      </c>
      <c r="L199" s="4">
        <v>0.36</v>
      </c>
      <c r="M199" s="4">
        <v>0.3</v>
      </c>
      <c r="N199" s="4">
        <v>30</v>
      </c>
      <c r="O199" s="4">
        <v>0.1527</v>
      </c>
      <c r="P199" s="4">
        <v>4.1799999999999997E-2</v>
      </c>
      <c r="Q199" s="4">
        <v>0.25509999999999999</v>
      </c>
      <c r="R199" s="4">
        <v>1.72</v>
      </c>
      <c r="S199" s="4" t="s">
        <v>21</v>
      </c>
      <c r="T199" s="4">
        <f>4*3.14*R199^2</f>
        <v>37.157503999999996</v>
      </c>
      <c r="U199" s="4"/>
      <c r="V199">
        <f t="shared" si="20"/>
        <v>0</v>
      </c>
      <c r="W199">
        <f t="shared" si="21"/>
        <v>5.0899999999999999E-3</v>
      </c>
      <c r="X199">
        <f t="shared" si="22"/>
        <v>1.3933333333333332E-3</v>
      </c>
      <c r="Y199">
        <f t="shared" si="23"/>
        <v>8.5033333333333332E-3</v>
      </c>
    </row>
    <row r="200" spans="1:25" x14ac:dyDescent="0.25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>
        <v>1.73</v>
      </c>
      <c r="S200" s="4" t="s">
        <v>21</v>
      </c>
      <c r="T200" s="4">
        <f t="shared" ref="T200:T203" si="24">4*3.14*R200^2</f>
        <v>37.590824000000005</v>
      </c>
      <c r="U200" s="4"/>
      <c r="V200" t="e">
        <f t="shared" si="20"/>
        <v>#DIV/0!</v>
      </c>
      <c r="W200" t="e">
        <f t="shared" si="21"/>
        <v>#DIV/0!</v>
      </c>
      <c r="X200" t="e">
        <f t="shared" si="22"/>
        <v>#DIV/0!</v>
      </c>
      <c r="Y200" t="e">
        <f t="shared" si="23"/>
        <v>#DIV/0!</v>
      </c>
    </row>
    <row r="201" spans="1:25" x14ac:dyDescent="0.25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>
        <v>2.2999999999999998</v>
      </c>
      <c r="S201" s="4" t="s">
        <v>21</v>
      </c>
      <c r="T201" s="4">
        <f t="shared" si="24"/>
        <v>66.442399999999992</v>
      </c>
      <c r="U201" s="4"/>
      <c r="V201" t="e">
        <f t="shared" si="20"/>
        <v>#DIV/0!</v>
      </c>
      <c r="W201" t="e">
        <f t="shared" si="21"/>
        <v>#DIV/0!</v>
      </c>
      <c r="X201" t="e">
        <f t="shared" si="22"/>
        <v>#DIV/0!</v>
      </c>
      <c r="Y201" t="e">
        <f t="shared" si="23"/>
        <v>#DIV/0!</v>
      </c>
    </row>
    <row r="202" spans="1:25" x14ac:dyDescent="0.25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>
        <v>1.93</v>
      </c>
      <c r="S202" s="4" t="s">
        <v>21</v>
      </c>
      <c r="T202" s="4">
        <f t="shared" si="24"/>
        <v>46.784744000000003</v>
      </c>
      <c r="U202" s="4"/>
      <c r="V202" t="e">
        <f t="shared" si="20"/>
        <v>#DIV/0!</v>
      </c>
      <c r="W202" t="e">
        <f t="shared" si="21"/>
        <v>#DIV/0!</v>
      </c>
      <c r="X202" t="e">
        <f t="shared" si="22"/>
        <v>#DIV/0!</v>
      </c>
      <c r="Y202" t="e">
        <f t="shared" si="23"/>
        <v>#DIV/0!</v>
      </c>
    </row>
    <row r="203" spans="1:25" x14ac:dyDescent="0.25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>
        <v>2.04</v>
      </c>
      <c r="S203" s="4" t="s">
        <v>21</v>
      </c>
      <c r="T203" s="4">
        <f t="shared" si="24"/>
        <v>52.269696000000003</v>
      </c>
      <c r="U203" s="4">
        <f>AVERAGEA(T199:T203)</f>
        <v>48.049033599999994</v>
      </c>
      <c r="V203" t="e">
        <f t="shared" si="20"/>
        <v>#DIV/0!</v>
      </c>
      <c r="W203" t="e">
        <f t="shared" si="21"/>
        <v>#DIV/0!</v>
      </c>
      <c r="X203" t="e">
        <f t="shared" si="22"/>
        <v>#DIV/0!</v>
      </c>
      <c r="Y203" t="e">
        <f t="shared" si="23"/>
        <v>#DIV/0!</v>
      </c>
    </row>
    <row r="204" spans="1:25" x14ac:dyDescent="0.25">
      <c r="A204" s="2" t="s">
        <v>22</v>
      </c>
      <c r="B204" s="5" t="s">
        <v>23</v>
      </c>
      <c r="C204" s="5">
        <v>50</v>
      </c>
      <c r="D204" s="5">
        <v>26</v>
      </c>
      <c r="E204" s="5">
        <v>20</v>
      </c>
      <c r="F204" s="5">
        <v>3</v>
      </c>
      <c r="G204" s="5">
        <v>6.02</v>
      </c>
      <c r="H204" s="5">
        <v>44.8</v>
      </c>
      <c r="I204" s="5">
        <v>43.5</v>
      </c>
      <c r="J204" s="5">
        <v>48.4</v>
      </c>
      <c r="K204" s="5">
        <v>0.33</v>
      </c>
      <c r="L204" s="5">
        <v>0.32</v>
      </c>
      <c r="M204" s="5">
        <v>0.33</v>
      </c>
      <c r="N204" s="5">
        <v>5</v>
      </c>
      <c r="O204" s="5">
        <v>1.65</v>
      </c>
      <c r="P204" s="5">
        <v>0.36430000000000001</v>
      </c>
      <c r="Q204" s="5">
        <v>2.6692</v>
      </c>
      <c r="R204" s="5"/>
      <c r="S204" s="5"/>
      <c r="T204" s="5"/>
      <c r="U204" s="5">
        <v>6057</v>
      </c>
      <c r="V204">
        <f t="shared" si="20"/>
        <v>1211.4000000000001</v>
      </c>
      <c r="W204">
        <f t="shared" si="21"/>
        <v>0.32999999999999996</v>
      </c>
      <c r="X204">
        <f t="shared" si="22"/>
        <v>7.2860000000000008E-2</v>
      </c>
      <c r="Y204">
        <f t="shared" si="23"/>
        <v>0.53383999999999998</v>
      </c>
    </row>
    <row r="205" spans="1:25" x14ac:dyDescent="0.25">
      <c r="B205" s="6" t="s">
        <v>15</v>
      </c>
      <c r="C205" s="6">
        <v>5</v>
      </c>
      <c r="D205" s="6">
        <v>4</v>
      </c>
      <c r="E205" s="6">
        <v>4</v>
      </c>
      <c r="F205" s="6">
        <v>15</v>
      </c>
      <c r="G205" s="6">
        <v>1.83</v>
      </c>
      <c r="H205" s="6">
        <v>1.9</v>
      </c>
      <c r="I205" s="6">
        <v>3.6</v>
      </c>
      <c r="J205" s="6">
        <v>7.3</v>
      </c>
      <c r="K205" s="6">
        <v>0.39</v>
      </c>
      <c r="L205" s="6">
        <v>0.16</v>
      </c>
      <c r="M205" s="6">
        <v>0.25</v>
      </c>
      <c r="N205" s="6">
        <v>5</v>
      </c>
      <c r="O205" s="6">
        <v>0.03</v>
      </c>
      <c r="P205" s="6">
        <v>1.0999999999999999E-2</v>
      </c>
      <c r="Q205" s="6">
        <v>6.4799999999999996E-2</v>
      </c>
      <c r="R205" s="6">
        <v>0.5</v>
      </c>
      <c r="S205" s="6">
        <v>17</v>
      </c>
      <c r="T205" s="6">
        <f t="shared" ref="T205:T214" si="25">(R205/2)^2*3.14*2*R205</f>
        <v>0.19625000000000001</v>
      </c>
      <c r="U205" s="6"/>
      <c r="V205">
        <f t="shared" si="20"/>
        <v>0</v>
      </c>
      <c r="W205">
        <f t="shared" si="21"/>
        <v>6.0000000000000001E-3</v>
      </c>
      <c r="X205">
        <f t="shared" si="22"/>
        <v>2.1999999999999997E-3</v>
      </c>
      <c r="Y205">
        <f t="shared" si="23"/>
        <v>1.2959999999999999E-2</v>
      </c>
    </row>
    <row r="206" spans="1:25" x14ac:dyDescent="0.25"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>
        <v>0.55000000000000004</v>
      </c>
      <c r="S206" s="6">
        <v>22</v>
      </c>
      <c r="T206" s="6">
        <f t="shared" si="25"/>
        <v>0.2612087500000001</v>
      </c>
      <c r="U206" s="6"/>
      <c r="V206" t="e">
        <f t="shared" si="20"/>
        <v>#DIV/0!</v>
      </c>
      <c r="W206" t="e">
        <f t="shared" si="21"/>
        <v>#DIV/0!</v>
      </c>
      <c r="X206" t="e">
        <f t="shared" si="22"/>
        <v>#DIV/0!</v>
      </c>
      <c r="Y206" t="e">
        <f t="shared" si="23"/>
        <v>#DIV/0!</v>
      </c>
    </row>
    <row r="207" spans="1:25" x14ac:dyDescent="0.25"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>
        <v>0.73</v>
      </c>
      <c r="S207" s="6">
        <v>18</v>
      </c>
      <c r="T207" s="6">
        <f t="shared" si="25"/>
        <v>0.61075668999999988</v>
      </c>
      <c r="U207" s="6"/>
      <c r="V207" t="e">
        <f t="shared" si="20"/>
        <v>#DIV/0!</v>
      </c>
      <c r="W207" t="e">
        <f t="shared" si="21"/>
        <v>#DIV/0!</v>
      </c>
      <c r="X207" t="e">
        <f t="shared" si="22"/>
        <v>#DIV/0!</v>
      </c>
      <c r="Y207" t="e">
        <f t="shared" si="23"/>
        <v>#DIV/0!</v>
      </c>
    </row>
    <row r="208" spans="1:25" x14ac:dyDescent="0.25"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>
        <v>0.57999999999999996</v>
      </c>
      <c r="S208" s="6">
        <v>21</v>
      </c>
      <c r="T208" s="6">
        <f t="shared" si="25"/>
        <v>0.30632583999999996</v>
      </c>
      <c r="U208" s="6"/>
      <c r="V208" t="e">
        <f t="shared" si="20"/>
        <v>#DIV/0!</v>
      </c>
      <c r="W208" t="e">
        <f t="shared" si="21"/>
        <v>#DIV/0!</v>
      </c>
      <c r="X208" t="e">
        <f t="shared" si="22"/>
        <v>#DIV/0!</v>
      </c>
      <c r="Y208" t="e">
        <f t="shared" si="23"/>
        <v>#DIV/0!</v>
      </c>
    </row>
    <row r="209" spans="2:25" x14ac:dyDescent="0.25"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>
        <v>0.48</v>
      </c>
      <c r="S209" s="6">
        <v>16.5</v>
      </c>
      <c r="T209" s="6">
        <f t="shared" si="25"/>
        <v>0.17362944</v>
      </c>
      <c r="U209" s="6">
        <f>AVERAGEA(T205:T209)</f>
        <v>0.309634144</v>
      </c>
      <c r="V209" t="e">
        <f t="shared" si="20"/>
        <v>#DIV/0!</v>
      </c>
      <c r="W209" t="e">
        <f t="shared" si="21"/>
        <v>#DIV/0!</v>
      </c>
      <c r="X209" t="e">
        <f t="shared" si="22"/>
        <v>#DIV/0!</v>
      </c>
      <c r="Y209" t="e">
        <f t="shared" si="23"/>
        <v>#DIV/0!</v>
      </c>
    </row>
    <row r="210" spans="2:25" x14ac:dyDescent="0.25">
      <c r="B210" s="7" t="s">
        <v>24</v>
      </c>
      <c r="C210" s="7">
        <v>6</v>
      </c>
      <c r="D210" s="7">
        <v>5</v>
      </c>
      <c r="E210" s="7">
        <v>3</v>
      </c>
      <c r="F210" s="7">
        <v>42</v>
      </c>
      <c r="G210" s="7">
        <v>2.66</v>
      </c>
      <c r="H210" s="7">
        <v>2.7</v>
      </c>
      <c r="I210" s="7">
        <v>5.2</v>
      </c>
      <c r="J210" s="7">
        <v>8.6999999999999993</v>
      </c>
      <c r="K210" s="7">
        <v>0.24</v>
      </c>
      <c r="L210" s="7">
        <v>0.21</v>
      </c>
      <c r="M210" s="7">
        <v>0.56000000000000005</v>
      </c>
      <c r="N210" s="7">
        <v>5</v>
      </c>
      <c r="O210" s="7">
        <v>0.05</v>
      </c>
      <c r="P210" s="7">
        <v>8.3000000000000001E-3</v>
      </c>
      <c r="Q210" s="7">
        <v>0.10349999999999999</v>
      </c>
      <c r="R210" s="7">
        <v>1.05</v>
      </c>
      <c r="S210" s="7">
        <v>17.39</v>
      </c>
      <c r="T210" s="7">
        <f t="shared" si="25"/>
        <v>1.8174712500000001</v>
      </c>
      <c r="U210" s="7"/>
      <c r="V210">
        <f t="shared" si="20"/>
        <v>0</v>
      </c>
      <c r="W210">
        <f t="shared" si="21"/>
        <v>0.01</v>
      </c>
      <c r="X210">
        <f t="shared" si="22"/>
        <v>1.66E-3</v>
      </c>
      <c r="Y210">
        <f t="shared" si="23"/>
        <v>2.07E-2</v>
      </c>
    </row>
    <row r="211" spans="2:25" x14ac:dyDescent="0.2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>
        <v>0.95</v>
      </c>
      <c r="S211" s="7">
        <v>19.2</v>
      </c>
      <c r="T211" s="7">
        <f t="shared" si="25"/>
        <v>1.34607875</v>
      </c>
      <c r="U211" s="7"/>
      <c r="V211" t="e">
        <f t="shared" si="20"/>
        <v>#DIV/0!</v>
      </c>
      <c r="W211" t="e">
        <f t="shared" si="21"/>
        <v>#DIV/0!</v>
      </c>
      <c r="X211" t="e">
        <f t="shared" si="22"/>
        <v>#DIV/0!</v>
      </c>
      <c r="Y211" t="e">
        <f t="shared" si="23"/>
        <v>#DIV/0!</v>
      </c>
    </row>
    <row r="212" spans="2:25" x14ac:dyDescent="0.2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>
        <v>0.85</v>
      </c>
      <c r="S212" s="7">
        <v>21.35</v>
      </c>
      <c r="T212" s="7">
        <f t="shared" si="25"/>
        <v>0.96417624999999996</v>
      </c>
      <c r="U212" s="7"/>
      <c r="V212" t="e">
        <f t="shared" si="20"/>
        <v>#DIV/0!</v>
      </c>
      <c r="W212" t="e">
        <f t="shared" si="21"/>
        <v>#DIV/0!</v>
      </c>
      <c r="X212" t="e">
        <f t="shared" si="22"/>
        <v>#DIV/0!</v>
      </c>
      <c r="Y212" t="e">
        <f t="shared" si="23"/>
        <v>#DIV/0!</v>
      </c>
    </row>
    <row r="213" spans="2:25" x14ac:dyDescent="0.25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>
        <v>0.87</v>
      </c>
      <c r="S213" s="7">
        <v>15.6</v>
      </c>
      <c r="T213" s="7">
        <f t="shared" si="25"/>
        <v>1.0338497100000001</v>
      </c>
      <c r="U213" s="7"/>
      <c r="V213" t="e">
        <f t="shared" si="20"/>
        <v>#DIV/0!</v>
      </c>
      <c r="W213" t="e">
        <f t="shared" si="21"/>
        <v>#DIV/0!</v>
      </c>
      <c r="X213" t="e">
        <f t="shared" si="22"/>
        <v>#DIV/0!</v>
      </c>
      <c r="Y213" t="e">
        <f t="shared" si="23"/>
        <v>#DIV/0!</v>
      </c>
    </row>
    <row r="214" spans="2:25" x14ac:dyDescent="0.25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>
        <v>0.75</v>
      </c>
      <c r="S214" s="7">
        <v>15.4</v>
      </c>
      <c r="T214" s="7">
        <f t="shared" si="25"/>
        <v>0.66234375000000001</v>
      </c>
      <c r="U214" s="7">
        <f>AVERAGEA(T210:T214)</f>
        <v>1.1647839420000001</v>
      </c>
      <c r="V214" t="e">
        <f t="shared" si="20"/>
        <v>#DIV/0!</v>
      </c>
      <c r="W214" t="e">
        <f t="shared" si="21"/>
        <v>#DIV/0!</v>
      </c>
      <c r="X214" t="e">
        <f t="shared" si="22"/>
        <v>#DIV/0!</v>
      </c>
      <c r="Y214" t="e">
        <f t="shared" si="23"/>
        <v>#DIV/0!</v>
      </c>
    </row>
    <row r="215" spans="2:25" x14ac:dyDescent="0.25">
      <c r="B215" s="8" t="s">
        <v>25</v>
      </c>
      <c r="C215" s="8">
        <v>49</v>
      </c>
      <c r="D215" s="8">
        <v>32</v>
      </c>
      <c r="E215" s="8">
        <v>28</v>
      </c>
      <c r="F215" s="8">
        <v>4</v>
      </c>
      <c r="G215" s="8">
        <v>86.22</v>
      </c>
      <c r="H215" s="8">
        <v>3.7</v>
      </c>
      <c r="I215" s="8">
        <v>3.6</v>
      </c>
      <c r="J215" s="8">
        <v>2.7</v>
      </c>
      <c r="K215" s="8">
        <v>0.27</v>
      </c>
      <c r="L215" s="8">
        <v>0.2</v>
      </c>
      <c r="M215" s="8">
        <v>0.18</v>
      </c>
      <c r="N215" s="8">
        <v>50</v>
      </c>
      <c r="O215" s="8">
        <v>0.02</v>
      </c>
      <c r="P215" s="8">
        <v>7.3000000000000001E-3</v>
      </c>
      <c r="Q215" s="8">
        <v>3.5999999999999997E-2</v>
      </c>
      <c r="R215" s="8">
        <v>0.59</v>
      </c>
      <c r="S215" s="8">
        <v>4.2</v>
      </c>
      <c r="T215" s="8">
        <v>2.1471806700000005</v>
      </c>
      <c r="U215" s="8"/>
      <c r="V215">
        <f t="shared" si="20"/>
        <v>0</v>
      </c>
      <c r="W215">
        <f t="shared" si="21"/>
        <v>4.0000000000000002E-4</v>
      </c>
      <c r="X215">
        <f t="shared" si="22"/>
        <v>1.46E-4</v>
      </c>
      <c r="Y215">
        <f t="shared" si="23"/>
        <v>7.1999999999999994E-4</v>
      </c>
    </row>
    <row r="216" spans="2:25" x14ac:dyDescent="0.25"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>
        <v>0.45</v>
      </c>
      <c r="S216" s="8">
        <v>4.3</v>
      </c>
      <c r="T216" s="8">
        <v>1.4328966099999998</v>
      </c>
      <c r="U216" s="8"/>
      <c r="V216" t="e">
        <f t="shared" si="20"/>
        <v>#DIV/0!</v>
      </c>
      <c r="W216" t="e">
        <f t="shared" si="21"/>
        <v>#DIV/0!</v>
      </c>
      <c r="X216" t="e">
        <f t="shared" si="22"/>
        <v>#DIV/0!</v>
      </c>
      <c r="Y216" t="e">
        <f t="shared" si="23"/>
        <v>#DIV/0!</v>
      </c>
    </row>
    <row r="217" spans="2:25" x14ac:dyDescent="0.25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>
        <v>0.38</v>
      </c>
      <c r="S217" s="8">
        <v>3.22</v>
      </c>
      <c r="T217" s="8">
        <v>2.1471806700000005</v>
      </c>
      <c r="U217" s="8"/>
      <c r="V217" t="e">
        <f t="shared" si="20"/>
        <v>#DIV/0!</v>
      </c>
      <c r="W217" t="e">
        <f t="shared" si="21"/>
        <v>#DIV/0!</v>
      </c>
      <c r="X217" t="e">
        <f t="shared" si="22"/>
        <v>#DIV/0!</v>
      </c>
      <c r="Y217" t="e">
        <f t="shared" si="23"/>
        <v>#DIV/0!</v>
      </c>
    </row>
    <row r="218" spans="2:25" x14ac:dyDescent="0.25"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>
        <v>0.49</v>
      </c>
      <c r="S218" s="8">
        <v>3.29</v>
      </c>
      <c r="T218" s="8">
        <v>2.0896700000000008</v>
      </c>
      <c r="U218" s="8"/>
      <c r="V218" t="e">
        <f t="shared" si="20"/>
        <v>#DIV/0!</v>
      </c>
      <c r="W218" t="e">
        <f t="shared" si="21"/>
        <v>#DIV/0!</v>
      </c>
      <c r="X218" t="e">
        <f t="shared" si="22"/>
        <v>#DIV/0!</v>
      </c>
      <c r="Y218" t="e">
        <f t="shared" si="23"/>
        <v>#DIV/0!</v>
      </c>
    </row>
    <row r="219" spans="2:25" x14ac:dyDescent="0.25"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>
        <v>0.54</v>
      </c>
      <c r="S219" s="8">
        <v>2.94</v>
      </c>
      <c r="T219" s="8">
        <v>2.3260240799999998</v>
      </c>
      <c r="U219" s="8">
        <v>2.0285904060000002</v>
      </c>
      <c r="V219" t="e">
        <f t="shared" si="20"/>
        <v>#DIV/0!</v>
      </c>
      <c r="W219" t="e">
        <f t="shared" si="21"/>
        <v>#DIV/0!</v>
      </c>
      <c r="X219" t="e">
        <f t="shared" si="22"/>
        <v>#DIV/0!</v>
      </c>
      <c r="Y219" t="e">
        <f t="shared" si="23"/>
        <v>#DIV/0!</v>
      </c>
    </row>
    <row r="220" spans="2:25" x14ac:dyDescent="0.25">
      <c r="B220" s="3" t="s">
        <v>20</v>
      </c>
      <c r="C220" s="3">
        <v>12</v>
      </c>
      <c r="D220" s="3">
        <v>13</v>
      </c>
      <c r="E220" s="3">
        <v>15</v>
      </c>
      <c r="F220" s="3">
        <v>4</v>
      </c>
      <c r="G220" s="3">
        <v>47.62</v>
      </c>
      <c r="H220" s="3">
        <v>48.4</v>
      </c>
      <c r="I220" s="3">
        <v>32.200000000000003</v>
      </c>
      <c r="J220" s="3">
        <v>34.700000000000003</v>
      </c>
      <c r="K220" s="3">
        <v>0.5</v>
      </c>
      <c r="L220" s="3">
        <v>0.31</v>
      </c>
      <c r="M220" s="3">
        <v>0.21</v>
      </c>
      <c r="N220" s="3">
        <v>5</v>
      </c>
      <c r="O220" s="3">
        <v>0.04</v>
      </c>
      <c r="P220" s="3">
        <v>8.0999999999999996E-3</v>
      </c>
      <c r="Q220" s="3">
        <v>6.6400000000000001E-2</v>
      </c>
      <c r="R220" s="3">
        <v>2.63</v>
      </c>
      <c r="S220" s="3" t="s">
        <v>21</v>
      </c>
      <c r="T220" s="3">
        <f>4*3.14*R220^2</f>
        <v>86.876263999999992</v>
      </c>
      <c r="U220" s="3"/>
      <c r="V220">
        <f t="shared" si="20"/>
        <v>0</v>
      </c>
      <c r="W220">
        <f t="shared" si="21"/>
        <v>8.0000000000000002E-3</v>
      </c>
      <c r="X220">
        <f t="shared" si="22"/>
        <v>1.6199999999999999E-3</v>
      </c>
      <c r="Y220">
        <f t="shared" si="23"/>
        <v>1.328E-2</v>
      </c>
    </row>
    <row r="221" spans="2:25" x14ac:dyDescent="0.25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>
        <v>2.2599999999999998</v>
      </c>
      <c r="S221" s="3" t="s">
        <v>21</v>
      </c>
      <c r="T221" s="3">
        <f t="shared" ref="T221:T224" si="26">4*3.14*R221^2</f>
        <v>64.151455999999982</v>
      </c>
      <c r="U221" s="3"/>
      <c r="V221" t="e">
        <f t="shared" si="20"/>
        <v>#DIV/0!</v>
      </c>
      <c r="W221" t="e">
        <f t="shared" si="21"/>
        <v>#DIV/0!</v>
      </c>
      <c r="X221" t="e">
        <f t="shared" si="22"/>
        <v>#DIV/0!</v>
      </c>
      <c r="Y221" t="e">
        <f t="shared" si="23"/>
        <v>#DIV/0!</v>
      </c>
    </row>
    <row r="222" spans="2:25" x14ac:dyDescent="0.25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>
        <v>2.2999999999999998</v>
      </c>
      <c r="S222" s="3" t="s">
        <v>21</v>
      </c>
      <c r="T222" s="3">
        <f t="shared" si="26"/>
        <v>66.442399999999992</v>
      </c>
      <c r="U222" s="3"/>
      <c r="V222" t="e">
        <f t="shared" si="20"/>
        <v>#DIV/0!</v>
      </c>
      <c r="W222" t="e">
        <f t="shared" si="21"/>
        <v>#DIV/0!</v>
      </c>
      <c r="X222" t="e">
        <f t="shared" si="22"/>
        <v>#DIV/0!</v>
      </c>
      <c r="Y222" t="e">
        <f t="shared" si="23"/>
        <v>#DIV/0!</v>
      </c>
    </row>
    <row r="223" spans="2:25" x14ac:dyDescent="0.25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>
        <v>2.19</v>
      </c>
      <c r="S223" s="3" t="s">
        <v>21</v>
      </c>
      <c r="T223" s="3">
        <f t="shared" si="26"/>
        <v>60.239015999999999</v>
      </c>
      <c r="U223" s="3"/>
      <c r="V223" t="e">
        <f t="shared" si="20"/>
        <v>#DIV/0!</v>
      </c>
      <c r="W223" t="e">
        <f t="shared" si="21"/>
        <v>#DIV/0!</v>
      </c>
      <c r="X223" t="e">
        <f t="shared" si="22"/>
        <v>#DIV/0!</v>
      </c>
      <c r="Y223" t="e">
        <f t="shared" si="23"/>
        <v>#DIV/0!</v>
      </c>
    </row>
    <row r="224" spans="2:25" x14ac:dyDescent="0.25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>
        <v>2.11</v>
      </c>
      <c r="S224" s="3" t="s">
        <v>21</v>
      </c>
      <c r="T224" s="3">
        <f t="shared" si="26"/>
        <v>55.918376000000002</v>
      </c>
      <c r="U224" s="3">
        <f>AVERAGEA(T220:T224)</f>
        <v>66.725502400000011</v>
      </c>
      <c r="V224" t="e">
        <f t="shared" si="20"/>
        <v>#DIV/0!</v>
      </c>
      <c r="W224" t="e">
        <f t="shared" si="21"/>
        <v>#DIV/0!</v>
      </c>
      <c r="X224" t="e">
        <f t="shared" si="22"/>
        <v>#DIV/0!</v>
      </c>
      <c r="Y224" t="e">
        <f t="shared" si="23"/>
        <v>#DIV/0!</v>
      </c>
    </row>
    <row r="225" spans="1:25" x14ac:dyDescent="0.25">
      <c r="A225" s="2" t="s">
        <v>26</v>
      </c>
      <c r="B225" s="9" t="s">
        <v>27</v>
      </c>
      <c r="C225" s="9">
        <v>25</v>
      </c>
      <c r="D225" s="9">
        <v>30</v>
      </c>
      <c r="E225" s="9">
        <v>33</v>
      </c>
      <c r="F225" s="9">
        <v>7</v>
      </c>
      <c r="G225" s="9">
        <v>1.59</v>
      </c>
      <c r="H225" s="9">
        <v>9.1999999999999993</v>
      </c>
      <c r="I225" s="9">
        <v>21.1</v>
      </c>
      <c r="J225" s="9">
        <v>11.8</v>
      </c>
      <c r="K225" s="9">
        <v>0.44</v>
      </c>
      <c r="L225" s="9">
        <v>0.56000000000000005</v>
      </c>
      <c r="M225" s="9">
        <v>0.25</v>
      </c>
      <c r="N225" s="9">
        <v>15</v>
      </c>
      <c r="O225" s="9">
        <v>5.7200000000000001E-2</v>
      </c>
      <c r="P225" s="9">
        <v>2.2800000000000001E-2</v>
      </c>
      <c r="Q225" s="9">
        <v>0.1008</v>
      </c>
      <c r="R225" s="9"/>
      <c r="S225" s="9"/>
      <c r="T225" s="9"/>
      <c r="U225" s="9">
        <v>420</v>
      </c>
      <c r="V225">
        <f t="shared" si="20"/>
        <v>28</v>
      </c>
      <c r="W225">
        <f t="shared" si="21"/>
        <v>3.8133333333333335E-3</v>
      </c>
      <c r="X225">
        <f t="shared" si="22"/>
        <v>1.5200000000000001E-3</v>
      </c>
      <c r="Y225">
        <f t="shared" si="23"/>
        <v>6.7200000000000003E-3</v>
      </c>
    </row>
    <row r="226" spans="1:25" x14ac:dyDescent="0.25">
      <c r="B226" s="5" t="s">
        <v>28</v>
      </c>
      <c r="C226" s="5">
        <v>8</v>
      </c>
      <c r="D226" s="5">
        <v>8.5</v>
      </c>
      <c r="E226" s="5">
        <v>11</v>
      </c>
      <c r="F226" s="5"/>
      <c r="G226" s="5">
        <v>9.5299999999999994</v>
      </c>
      <c r="H226" s="5">
        <v>15</v>
      </c>
      <c r="I226" s="5">
        <v>15.2</v>
      </c>
      <c r="J226" s="5">
        <v>11.1</v>
      </c>
      <c r="K226" s="5">
        <v>0.2</v>
      </c>
      <c r="L226" s="5">
        <v>0.24</v>
      </c>
      <c r="M226" s="5">
        <v>0.1</v>
      </c>
      <c r="N226" s="5">
        <v>5</v>
      </c>
      <c r="O226" s="5">
        <v>0.2331</v>
      </c>
      <c r="P226" s="5">
        <v>2.2200000000000001E-2</v>
      </c>
      <c r="Q226" s="5">
        <v>0.19520000000000001</v>
      </c>
      <c r="R226" s="5"/>
      <c r="S226" s="5"/>
      <c r="T226" s="5"/>
      <c r="U226" s="5">
        <v>505</v>
      </c>
      <c r="V226">
        <f t="shared" si="20"/>
        <v>101</v>
      </c>
      <c r="W226">
        <f t="shared" si="21"/>
        <v>4.6620000000000002E-2</v>
      </c>
      <c r="X226">
        <f t="shared" si="22"/>
        <v>4.4400000000000004E-3</v>
      </c>
      <c r="Y226">
        <f t="shared" si="23"/>
        <v>3.9040000000000005E-2</v>
      </c>
    </row>
    <row r="227" spans="1:25" x14ac:dyDescent="0.25">
      <c r="B227" s="6" t="s">
        <v>16</v>
      </c>
      <c r="C227" s="6">
        <v>15</v>
      </c>
      <c r="D227" s="6">
        <v>16</v>
      </c>
      <c r="E227" s="6">
        <v>10</v>
      </c>
      <c r="F227" s="6">
        <v>14</v>
      </c>
      <c r="G227" s="6">
        <v>16.25</v>
      </c>
      <c r="H227" s="6">
        <v>41.6</v>
      </c>
      <c r="I227" s="6">
        <v>28.9</v>
      </c>
      <c r="J227" s="6">
        <v>38.1</v>
      </c>
      <c r="K227" s="6">
        <v>0.09</v>
      </c>
      <c r="L227" s="6">
        <v>0.1</v>
      </c>
      <c r="M227" s="6">
        <v>0.12</v>
      </c>
      <c r="N227" s="6">
        <v>5</v>
      </c>
      <c r="O227" s="6">
        <v>0.1633</v>
      </c>
      <c r="P227" s="6">
        <v>0.11</v>
      </c>
      <c r="Q227" s="6">
        <v>0.25419999999999998</v>
      </c>
      <c r="R227" s="6">
        <v>0.46</v>
      </c>
      <c r="S227" s="6">
        <v>148</v>
      </c>
      <c r="T227" s="6">
        <f>(R227/2)^2*3.14*2*R227</f>
        <v>0.15281752000000001</v>
      </c>
      <c r="U227" s="6"/>
      <c r="V227">
        <f t="shared" si="20"/>
        <v>0</v>
      </c>
      <c r="W227">
        <f t="shared" si="21"/>
        <v>3.2660000000000002E-2</v>
      </c>
      <c r="X227">
        <f t="shared" si="22"/>
        <v>2.1999999999999999E-2</v>
      </c>
      <c r="Y227">
        <f t="shared" si="23"/>
        <v>5.0839999999999996E-2</v>
      </c>
    </row>
    <row r="228" spans="1:25" x14ac:dyDescent="0.25"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>
        <v>0.43</v>
      </c>
      <c r="S228" s="6">
        <v>227</v>
      </c>
      <c r="T228" s="6">
        <f>(R228/2)^2*3.14*2*R228</f>
        <v>0.12482598999999998</v>
      </c>
      <c r="U228" s="6"/>
      <c r="V228" t="e">
        <f t="shared" si="20"/>
        <v>#DIV/0!</v>
      </c>
      <c r="W228" t="e">
        <f t="shared" si="21"/>
        <v>#DIV/0!</v>
      </c>
      <c r="X228" t="e">
        <f t="shared" si="22"/>
        <v>#DIV/0!</v>
      </c>
      <c r="Y228" t="e">
        <f t="shared" si="23"/>
        <v>#DIV/0!</v>
      </c>
    </row>
    <row r="229" spans="1:25" x14ac:dyDescent="0.25"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>
        <v>0.5</v>
      </c>
      <c r="S229" s="6">
        <v>261</v>
      </c>
      <c r="T229" s="6">
        <f>(R229/2)^2*3.14*2*R229</f>
        <v>0.19625000000000001</v>
      </c>
      <c r="U229" s="6"/>
      <c r="V229" t="e">
        <f t="shared" si="20"/>
        <v>#DIV/0!</v>
      </c>
      <c r="W229" t="e">
        <f t="shared" si="21"/>
        <v>#DIV/0!</v>
      </c>
      <c r="X229" t="e">
        <f t="shared" si="22"/>
        <v>#DIV/0!</v>
      </c>
      <c r="Y229" t="e">
        <f t="shared" si="23"/>
        <v>#DIV/0!</v>
      </c>
    </row>
    <row r="230" spans="1:25" x14ac:dyDescent="0.25"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>
        <v>0.44</v>
      </c>
      <c r="S230" s="6">
        <v>137.5</v>
      </c>
      <c r="T230" s="6">
        <f>(R230/2)^2*3.14*2*R230</f>
        <v>0.13373888</v>
      </c>
      <c r="U230" s="6"/>
      <c r="V230" t="e">
        <f t="shared" si="20"/>
        <v>#DIV/0!</v>
      </c>
      <c r="W230" t="e">
        <f t="shared" si="21"/>
        <v>#DIV/0!</v>
      </c>
      <c r="X230" t="e">
        <f t="shared" si="22"/>
        <v>#DIV/0!</v>
      </c>
      <c r="Y230" t="e">
        <f t="shared" si="23"/>
        <v>#DIV/0!</v>
      </c>
    </row>
    <row r="231" spans="1:25" x14ac:dyDescent="0.25"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>
        <v>0.32</v>
      </c>
      <c r="S231" s="6">
        <v>166</v>
      </c>
      <c r="T231" s="6">
        <f>(R231/2)^2*3.14*2*R231</f>
        <v>5.1445760000000007E-2</v>
      </c>
      <c r="U231" s="6">
        <f>AVERAGEA(T227:T231)</f>
        <v>0.13181563000000002</v>
      </c>
      <c r="V231" t="e">
        <f t="shared" si="20"/>
        <v>#DIV/0!</v>
      </c>
      <c r="W231" t="e">
        <f t="shared" si="21"/>
        <v>#DIV/0!</v>
      </c>
      <c r="X231" t="e">
        <f t="shared" si="22"/>
        <v>#DIV/0!</v>
      </c>
      <c r="Y231" t="e">
        <f t="shared" si="23"/>
        <v>#DIV/0!</v>
      </c>
    </row>
    <row r="232" spans="1:25" x14ac:dyDescent="0.25">
      <c r="B232" s="7" t="s">
        <v>23</v>
      </c>
      <c r="C232" s="7">
        <v>35</v>
      </c>
      <c r="D232" s="7"/>
      <c r="E232" s="7"/>
      <c r="F232" s="7">
        <v>1</v>
      </c>
      <c r="G232" s="7">
        <v>2.08</v>
      </c>
      <c r="H232" s="7">
        <v>33.4</v>
      </c>
      <c r="I232" s="7">
        <v>39.9</v>
      </c>
      <c r="J232" s="7">
        <v>36</v>
      </c>
      <c r="K232" s="7">
        <v>0.27</v>
      </c>
      <c r="L232" s="7">
        <v>0.21</v>
      </c>
      <c r="M232" s="7">
        <v>0.28999999999999998</v>
      </c>
      <c r="N232" s="7">
        <v>5</v>
      </c>
      <c r="O232" s="7">
        <v>0.28079999999999999</v>
      </c>
      <c r="P232" s="7">
        <v>9.8299999999999998E-2</v>
      </c>
      <c r="Q232" s="7">
        <v>0.47620000000000001</v>
      </c>
      <c r="R232" s="7"/>
      <c r="S232" s="7"/>
      <c r="T232" s="7"/>
      <c r="U232" s="7">
        <v>1269</v>
      </c>
      <c r="V232">
        <f t="shared" si="20"/>
        <v>253.8</v>
      </c>
      <c r="W232">
        <f t="shared" si="21"/>
        <v>5.6160000000000002E-2</v>
      </c>
      <c r="X232">
        <f t="shared" si="22"/>
        <v>1.966E-2</v>
      </c>
      <c r="Y232">
        <f t="shared" si="23"/>
        <v>9.5240000000000005E-2</v>
      </c>
    </row>
    <row r="233" spans="1:25" x14ac:dyDescent="0.25">
      <c r="B233" s="8" t="s">
        <v>30</v>
      </c>
      <c r="C233" s="8">
        <v>33</v>
      </c>
      <c r="D233" s="8">
        <v>40</v>
      </c>
      <c r="E233" s="8">
        <v>25</v>
      </c>
      <c r="F233" s="8">
        <v>7</v>
      </c>
      <c r="G233" s="8">
        <v>22.26</v>
      </c>
      <c r="H233" s="8">
        <v>58.3</v>
      </c>
      <c r="I233" s="8">
        <v>44.5</v>
      </c>
      <c r="J233" s="8">
        <v>59.9</v>
      </c>
      <c r="K233" s="8">
        <v>0.17</v>
      </c>
      <c r="L233" s="8">
        <v>0.19</v>
      </c>
      <c r="M233" s="8">
        <v>0.17</v>
      </c>
      <c r="N233" s="8">
        <v>15</v>
      </c>
      <c r="O233" s="8">
        <v>0.24149999999999999</v>
      </c>
      <c r="P233" s="8">
        <v>0.13189999999999999</v>
      </c>
      <c r="Q233" s="8">
        <v>0.41299999999999998</v>
      </c>
      <c r="R233" s="8"/>
      <c r="S233" s="8"/>
      <c r="T233" s="8"/>
      <c r="U233" s="8">
        <v>1675</v>
      </c>
      <c r="V233">
        <f t="shared" si="20"/>
        <v>111.66666666666667</v>
      </c>
      <c r="W233">
        <f t="shared" si="21"/>
        <v>1.61E-2</v>
      </c>
      <c r="X233">
        <f t="shared" si="22"/>
        <v>8.7933333333333318E-3</v>
      </c>
      <c r="Y233">
        <f t="shared" si="23"/>
        <v>2.7533333333333333E-2</v>
      </c>
    </row>
    <row r="234" spans="1:25" x14ac:dyDescent="0.25">
      <c r="B234" s="3" t="s">
        <v>24</v>
      </c>
      <c r="C234" s="3">
        <v>15</v>
      </c>
      <c r="D234" s="3">
        <v>21</v>
      </c>
      <c r="E234" s="3">
        <v>8</v>
      </c>
      <c r="F234" s="3">
        <v>8</v>
      </c>
      <c r="G234" s="3">
        <v>24.72</v>
      </c>
      <c r="H234" s="3">
        <v>13.6</v>
      </c>
      <c r="I234" s="3">
        <v>15.9</v>
      </c>
      <c r="J234" s="3">
        <v>10</v>
      </c>
      <c r="K234" s="3">
        <v>0.21</v>
      </c>
      <c r="L234" s="3">
        <v>0.41</v>
      </c>
      <c r="M234" s="3">
        <v>0.3</v>
      </c>
      <c r="N234" s="3">
        <v>20</v>
      </c>
      <c r="O234" s="3">
        <v>5.8599999999999999E-2</v>
      </c>
      <c r="P234" s="3">
        <v>3.4099999999999998E-2</v>
      </c>
      <c r="Q234" s="3">
        <v>0.13469999999999999</v>
      </c>
      <c r="R234" s="3"/>
      <c r="S234" s="3"/>
      <c r="T234" s="3"/>
      <c r="U234" s="3">
        <v>496</v>
      </c>
      <c r="V234">
        <f t="shared" si="20"/>
        <v>24.8</v>
      </c>
      <c r="W234">
        <f t="shared" si="21"/>
        <v>2.9299999999999999E-3</v>
      </c>
      <c r="X234">
        <f t="shared" si="22"/>
        <v>1.7049999999999999E-3</v>
      </c>
      <c r="Y234">
        <f t="shared" si="23"/>
        <v>6.7349999999999997E-3</v>
      </c>
    </row>
    <row r="235" spans="1:25" x14ac:dyDescent="0.25">
      <c r="A235" s="2" t="s">
        <v>29</v>
      </c>
      <c r="B235" s="9" t="s">
        <v>31</v>
      </c>
      <c r="C235" s="9">
        <v>7</v>
      </c>
      <c r="D235" s="9"/>
      <c r="E235" s="9"/>
      <c r="F235" s="9">
        <v>1</v>
      </c>
      <c r="G235" s="9">
        <v>0.11</v>
      </c>
      <c r="H235" s="9">
        <v>36.200000000000003</v>
      </c>
      <c r="I235" s="9">
        <v>16.5</v>
      </c>
      <c r="J235" s="9">
        <v>16.5</v>
      </c>
      <c r="K235" s="9">
        <v>0.19</v>
      </c>
      <c r="L235" s="9">
        <v>0.16</v>
      </c>
      <c r="M235" s="9">
        <v>0.12</v>
      </c>
      <c r="N235" s="9">
        <v>10</v>
      </c>
      <c r="O235" s="9">
        <v>3.9600000000000003E-2</v>
      </c>
      <c r="P235" s="9">
        <v>1.83E-2</v>
      </c>
      <c r="Q235" s="9">
        <v>0.10009999999999999</v>
      </c>
      <c r="R235" s="9"/>
      <c r="S235" s="9"/>
      <c r="T235" s="9"/>
      <c r="U235" s="9">
        <v>725</v>
      </c>
      <c r="V235">
        <f t="shared" si="20"/>
        <v>72.5</v>
      </c>
      <c r="W235">
        <f t="shared" si="21"/>
        <v>3.96E-3</v>
      </c>
      <c r="X235">
        <f t="shared" si="22"/>
        <v>1.83E-3</v>
      </c>
      <c r="Y235">
        <f t="shared" si="23"/>
        <v>1.001E-2</v>
      </c>
    </row>
    <row r="236" spans="1:25" x14ac:dyDescent="0.25">
      <c r="B236" s="5" t="s">
        <v>20</v>
      </c>
      <c r="C236" s="5">
        <v>12</v>
      </c>
      <c r="D236" s="5">
        <v>8</v>
      </c>
      <c r="E236" s="5">
        <v>11</v>
      </c>
      <c r="F236" s="5">
        <v>5</v>
      </c>
      <c r="G236" s="5">
        <v>10.210000000000001</v>
      </c>
      <c r="H236" s="5">
        <v>6</v>
      </c>
      <c r="I236" s="5">
        <v>6.2</v>
      </c>
      <c r="J236" s="5">
        <v>16.5</v>
      </c>
      <c r="K236" s="5">
        <v>0.62</v>
      </c>
      <c r="L236" s="5">
        <v>0.28999999999999998</v>
      </c>
      <c r="M236" s="5">
        <v>0.3</v>
      </c>
      <c r="N236" s="5">
        <v>20</v>
      </c>
      <c r="O236" s="5">
        <v>0.1099</v>
      </c>
      <c r="P236" s="5">
        <v>3.2199999999999999E-2</v>
      </c>
      <c r="Q236" s="5">
        <v>0.20699999999999999</v>
      </c>
      <c r="R236" s="5">
        <v>2.14</v>
      </c>
      <c r="S236" s="5"/>
      <c r="T236" s="5">
        <f t="shared" ref="T236:T245" si="27">(R236/2)^2*3.14*2*R236</f>
        <v>15.386540080000001</v>
      </c>
      <c r="U236" s="5"/>
      <c r="V236">
        <f t="shared" si="20"/>
        <v>0</v>
      </c>
      <c r="W236">
        <f t="shared" si="21"/>
        <v>5.4949999999999999E-3</v>
      </c>
      <c r="X236">
        <f t="shared" si="22"/>
        <v>1.6099999999999999E-3</v>
      </c>
      <c r="Y236">
        <f t="shared" si="23"/>
        <v>1.035E-2</v>
      </c>
    </row>
    <row r="237" spans="1:25" x14ac:dyDescent="0.25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>
        <v>1.7</v>
      </c>
      <c r="S237" s="5"/>
      <c r="T237" s="5">
        <f t="shared" si="27"/>
        <v>7.7134099999999997</v>
      </c>
      <c r="U237" s="5"/>
      <c r="V237" t="e">
        <f t="shared" si="20"/>
        <v>#DIV/0!</v>
      </c>
      <c r="W237" t="e">
        <f t="shared" si="21"/>
        <v>#DIV/0!</v>
      </c>
      <c r="X237" t="e">
        <f t="shared" si="22"/>
        <v>#DIV/0!</v>
      </c>
      <c r="Y237" t="e">
        <f t="shared" si="23"/>
        <v>#DIV/0!</v>
      </c>
    </row>
    <row r="238" spans="1:25" x14ac:dyDescent="0.25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>
        <v>1.74</v>
      </c>
      <c r="S238" s="5"/>
      <c r="T238" s="5">
        <f t="shared" si="27"/>
        <v>8.2707976800000012</v>
      </c>
      <c r="U238" s="5"/>
      <c r="V238" t="e">
        <f t="shared" si="20"/>
        <v>#DIV/0!</v>
      </c>
      <c r="W238" t="e">
        <f t="shared" si="21"/>
        <v>#DIV/0!</v>
      </c>
      <c r="X238" t="e">
        <f t="shared" si="22"/>
        <v>#DIV/0!</v>
      </c>
      <c r="Y238" t="e">
        <f t="shared" si="23"/>
        <v>#DIV/0!</v>
      </c>
    </row>
    <row r="239" spans="1:25" x14ac:dyDescent="0.25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>
        <v>2.4700000000000002</v>
      </c>
      <c r="S239" s="5"/>
      <c r="T239" s="5">
        <f t="shared" si="27"/>
        <v>23.658680110000009</v>
      </c>
      <c r="U239" s="5"/>
      <c r="V239" t="e">
        <f t="shared" si="20"/>
        <v>#DIV/0!</v>
      </c>
      <c r="W239" t="e">
        <f t="shared" si="21"/>
        <v>#DIV/0!</v>
      </c>
      <c r="X239" t="e">
        <f t="shared" si="22"/>
        <v>#DIV/0!</v>
      </c>
      <c r="Y239" t="e">
        <f t="shared" si="23"/>
        <v>#DIV/0!</v>
      </c>
    </row>
    <row r="240" spans="1:25" x14ac:dyDescent="0.25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>
        <v>2.84</v>
      </c>
      <c r="S240" s="5"/>
      <c r="T240" s="5">
        <f t="shared" si="27"/>
        <v>35.96289728</v>
      </c>
      <c r="U240" s="5">
        <f>AVERAGEA(T236:T240)</f>
        <v>18.198465030000001</v>
      </c>
      <c r="V240" t="e">
        <f t="shared" si="20"/>
        <v>#DIV/0!</v>
      </c>
      <c r="W240" t="e">
        <f t="shared" si="21"/>
        <v>#DIV/0!</v>
      </c>
      <c r="X240" t="e">
        <f t="shared" si="22"/>
        <v>#DIV/0!</v>
      </c>
      <c r="Y240" t="e">
        <f t="shared" si="23"/>
        <v>#DIV/0!</v>
      </c>
    </row>
    <row r="241" spans="1:25" x14ac:dyDescent="0.25">
      <c r="B241" s="6" t="s">
        <v>24</v>
      </c>
      <c r="C241" s="6">
        <v>9</v>
      </c>
      <c r="D241" s="6">
        <v>7</v>
      </c>
      <c r="E241" s="6">
        <v>5</v>
      </c>
      <c r="F241" s="6">
        <v>69</v>
      </c>
      <c r="G241" s="6">
        <v>9.69</v>
      </c>
      <c r="H241" s="6">
        <v>22.1</v>
      </c>
      <c r="I241" s="6">
        <v>25.4</v>
      </c>
      <c r="J241" s="6">
        <v>56.6</v>
      </c>
      <c r="K241" s="6">
        <v>0.3</v>
      </c>
      <c r="L241" s="6">
        <v>0.33</v>
      </c>
      <c r="M241" s="6">
        <v>0.18</v>
      </c>
      <c r="N241" s="6">
        <v>10</v>
      </c>
      <c r="O241" s="6">
        <v>7.6300000000000007E-2</v>
      </c>
      <c r="P241" s="6">
        <v>1.5599999999999999E-2</v>
      </c>
      <c r="Q241" s="6">
        <v>0.10150000000000001</v>
      </c>
      <c r="R241" s="6">
        <v>0.68</v>
      </c>
      <c r="S241" s="6">
        <v>13.26</v>
      </c>
      <c r="T241" s="6">
        <f t="shared" si="27"/>
        <v>0.49365824000000014</v>
      </c>
      <c r="U241" s="6"/>
      <c r="V241">
        <f t="shared" si="20"/>
        <v>0</v>
      </c>
      <c r="W241">
        <f t="shared" si="21"/>
        <v>7.6300000000000005E-3</v>
      </c>
      <c r="X241">
        <f t="shared" si="22"/>
        <v>1.56E-3</v>
      </c>
      <c r="Y241">
        <f t="shared" si="23"/>
        <v>1.0150000000000001E-2</v>
      </c>
    </row>
    <row r="242" spans="1:25" x14ac:dyDescent="0.25"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>
        <v>0.78</v>
      </c>
      <c r="S242" s="6">
        <v>10.77</v>
      </c>
      <c r="T242" s="6">
        <f t="shared" si="27"/>
        <v>0.74504664000000009</v>
      </c>
      <c r="U242" s="6"/>
      <c r="V242" t="e">
        <f t="shared" si="20"/>
        <v>#DIV/0!</v>
      </c>
      <c r="W242" t="e">
        <f t="shared" si="21"/>
        <v>#DIV/0!</v>
      </c>
      <c r="X242" t="e">
        <f t="shared" si="22"/>
        <v>#DIV/0!</v>
      </c>
      <c r="Y242" t="e">
        <f t="shared" si="23"/>
        <v>#DIV/0!</v>
      </c>
    </row>
    <row r="243" spans="1:25" x14ac:dyDescent="0.25"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>
        <v>1.01</v>
      </c>
      <c r="S243" s="6">
        <v>10.94</v>
      </c>
      <c r="T243" s="6">
        <f t="shared" si="27"/>
        <v>1.6175725700000001</v>
      </c>
      <c r="U243" s="6"/>
      <c r="V243" t="e">
        <f t="shared" si="20"/>
        <v>#DIV/0!</v>
      </c>
      <c r="W243" t="e">
        <f t="shared" si="21"/>
        <v>#DIV/0!</v>
      </c>
      <c r="X243" t="e">
        <f t="shared" si="22"/>
        <v>#DIV/0!</v>
      </c>
      <c r="Y243" t="e">
        <f t="shared" si="23"/>
        <v>#DIV/0!</v>
      </c>
    </row>
    <row r="244" spans="1:25" x14ac:dyDescent="0.25"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>
        <v>0.93</v>
      </c>
      <c r="S244" s="6">
        <v>12.55</v>
      </c>
      <c r="T244" s="6">
        <f t="shared" si="27"/>
        <v>1.2628404900000003</v>
      </c>
      <c r="U244" s="6"/>
      <c r="V244" t="e">
        <f t="shared" si="20"/>
        <v>#DIV/0!</v>
      </c>
      <c r="W244" t="e">
        <f t="shared" si="21"/>
        <v>#DIV/0!</v>
      </c>
      <c r="X244" t="e">
        <f t="shared" si="22"/>
        <v>#DIV/0!</v>
      </c>
      <c r="Y244" t="e">
        <f t="shared" si="23"/>
        <v>#DIV/0!</v>
      </c>
    </row>
    <row r="245" spans="1:25" x14ac:dyDescent="0.25"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>
        <v>0.98</v>
      </c>
      <c r="S245" s="6">
        <v>15.28</v>
      </c>
      <c r="T245" s="6">
        <f t="shared" si="27"/>
        <v>1.4776714399999999</v>
      </c>
      <c r="U245" s="6">
        <f>AVERAGEA(T241:T245)</f>
        <v>1.119357876</v>
      </c>
      <c r="V245" t="e">
        <f t="shared" si="20"/>
        <v>#DIV/0!</v>
      </c>
      <c r="W245" t="e">
        <f t="shared" si="21"/>
        <v>#DIV/0!</v>
      </c>
      <c r="X245" t="e">
        <f t="shared" si="22"/>
        <v>#DIV/0!</v>
      </c>
      <c r="Y245" t="e">
        <f t="shared" si="23"/>
        <v>#DIV/0!</v>
      </c>
    </row>
    <row r="246" spans="1:25" x14ac:dyDescent="0.25">
      <c r="B246" s="7" t="s">
        <v>23</v>
      </c>
      <c r="C246" s="7">
        <v>29</v>
      </c>
      <c r="D246" s="7">
        <v>13</v>
      </c>
      <c r="E246" s="7"/>
      <c r="F246" s="7">
        <v>2</v>
      </c>
      <c r="G246" s="7">
        <v>1.87</v>
      </c>
      <c r="H246" s="7">
        <v>33.6</v>
      </c>
      <c r="I246" s="7">
        <v>45.6</v>
      </c>
      <c r="J246" s="7">
        <v>31.2</v>
      </c>
      <c r="K246" s="7">
        <v>0.23</v>
      </c>
      <c r="L246" s="7">
        <v>0.34</v>
      </c>
      <c r="M246" s="7">
        <v>0.35</v>
      </c>
      <c r="N246" s="7">
        <v>5</v>
      </c>
      <c r="O246" s="7">
        <v>0.3785</v>
      </c>
      <c r="P246" s="7">
        <v>0.11360000000000001</v>
      </c>
      <c r="Q246" s="7">
        <v>0.5927</v>
      </c>
      <c r="R246" s="7"/>
      <c r="S246" s="7"/>
      <c r="T246" s="7"/>
      <c r="U246" s="7">
        <v>2090</v>
      </c>
      <c r="V246">
        <f t="shared" si="20"/>
        <v>418</v>
      </c>
      <c r="W246">
        <f t="shared" si="21"/>
        <v>7.5700000000000003E-2</v>
      </c>
      <c r="X246">
        <f t="shared" si="22"/>
        <v>2.2720000000000001E-2</v>
      </c>
      <c r="Y246">
        <f t="shared" si="23"/>
        <v>0.11854000000000001</v>
      </c>
    </row>
    <row r="247" spans="1:25" x14ac:dyDescent="0.25">
      <c r="B247" s="8" t="s">
        <v>32</v>
      </c>
      <c r="C247" s="8">
        <v>19</v>
      </c>
      <c r="D247" s="8">
        <v>35</v>
      </c>
      <c r="E247" s="8">
        <v>7</v>
      </c>
      <c r="F247" s="8">
        <v>9</v>
      </c>
      <c r="G247" s="8">
        <v>28.55</v>
      </c>
      <c r="H247" s="8">
        <v>23.9</v>
      </c>
      <c r="I247" s="8">
        <v>19.2</v>
      </c>
      <c r="J247" s="8">
        <v>16.600000000000001</v>
      </c>
      <c r="K247" s="8">
        <v>0.28000000000000003</v>
      </c>
      <c r="L247" s="8">
        <v>0.23</v>
      </c>
      <c r="M247" s="8">
        <v>0.28999999999999998</v>
      </c>
      <c r="N247" s="8">
        <v>100</v>
      </c>
      <c r="O247" s="8">
        <v>7.4300000000000005E-2</v>
      </c>
      <c r="P247" s="8">
        <v>2.4500000000000001E-2</v>
      </c>
      <c r="Q247" s="8">
        <v>9.5699999999999993E-2</v>
      </c>
      <c r="R247" s="8">
        <v>0.5</v>
      </c>
      <c r="S247" s="8">
        <v>3.12</v>
      </c>
      <c r="T247" s="8">
        <f>(R247/2)^2*3.14*2*R247</f>
        <v>0.19625000000000001</v>
      </c>
      <c r="U247" s="8"/>
      <c r="V247">
        <f t="shared" si="20"/>
        <v>0</v>
      </c>
      <c r="W247">
        <f t="shared" si="21"/>
        <v>7.4300000000000006E-4</v>
      </c>
      <c r="X247">
        <f t="shared" si="22"/>
        <v>2.4499999999999999E-4</v>
      </c>
      <c r="Y247">
        <f t="shared" si="23"/>
        <v>9.5699999999999995E-4</v>
      </c>
    </row>
    <row r="248" spans="1:25" x14ac:dyDescent="0.25"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>
        <v>0.56999999999999995</v>
      </c>
      <c r="S248" s="8">
        <v>2.77</v>
      </c>
      <c r="T248" s="8">
        <f>(R248/2)^2*3.14*2*R248</f>
        <v>0.29075300999999998</v>
      </c>
      <c r="U248" s="8"/>
      <c r="V248" t="e">
        <f t="shared" si="20"/>
        <v>#DIV/0!</v>
      </c>
      <c r="W248" t="e">
        <f t="shared" si="21"/>
        <v>#DIV/0!</v>
      </c>
      <c r="X248" t="e">
        <f t="shared" si="22"/>
        <v>#DIV/0!</v>
      </c>
      <c r="Y248" t="e">
        <f t="shared" si="23"/>
        <v>#DIV/0!</v>
      </c>
    </row>
    <row r="249" spans="1:25" x14ac:dyDescent="0.25"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>
        <v>0.5</v>
      </c>
      <c r="S249" s="8">
        <v>2.93</v>
      </c>
      <c r="T249" s="8">
        <f>(R249/2)^2*3.14*2*R249</f>
        <v>0.19625000000000001</v>
      </c>
      <c r="U249" s="8"/>
      <c r="V249" t="e">
        <f t="shared" si="20"/>
        <v>#DIV/0!</v>
      </c>
      <c r="W249" t="e">
        <f t="shared" si="21"/>
        <v>#DIV/0!</v>
      </c>
      <c r="X249" t="e">
        <f t="shared" si="22"/>
        <v>#DIV/0!</v>
      </c>
      <c r="Y249" t="e">
        <f t="shared" si="23"/>
        <v>#DIV/0!</v>
      </c>
    </row>
    <row r="250" spans="1:25" x14ac:dyDescent="0.25"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>
        <v>0.53</v>
      </c>
      <c r="S250" s="8">
        <v>2.74</v>
      </c>
      <c r="T250" s="8">
        <f>(R250/2)^2*3.14*2*R250</f>
        <v>0.23373689000000006</v>
      </c>
      <c r="U250" s="8"/>
      <c r="V250" t="e">
        <f t="shared" si="20"/>
        <v>#DIV/0!</v>
      </c>
      <c r="W250" t="e">
        <f t="shared" si="21"/>
        <v>#DIV/0!</v>
      </c>
      <c r="X250" t="e">
        <f t="shared" si="22"/>
        <v>#DIV/0!</v>
      </c>
      <c r="Y250" t="e">
        <f t="shared" si="23"/>
        <v>#DIV/0!</v>
      </c>
    </row>
    <row r="251" spans="1:25" x14ac:dyDescent="0.25"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>
        <v>0.63</v>
      </c>
      <c r="S251" s="8">
        <v>3.07</v>
      </c>
      <c r="T251" s="8">
        <f>(R251/2)^2*3.14*2*R251</f>
        <v>0.39257379000000003</v>
      </c>
      <c r="U251" s="8">
        <f>AVERAGEA(T247:T251)</f>
        <v>0.26191273800000003</v>
      </c>
      <c r="V251" t="e">
        <f t="shared" si="20"/>
        <v>#DIV/0!</v>
      </c>
      <c r="W251" t="e">
        <f t="shared" si="21"/>
        <v>#DIV/0!</v>
      </c>
      <c r="X251" t="e">
        <f t="shared" si="22"/>
        <v>#DIV/0!</v>
      </c>
      <c r="Y251" t="e">
        <f t="shared" si="23"/>
        <v>#DIV/0!</v>
      </c>
    </row>
    <row r="252" spans="1:25" x14ac:dyDescent="0.25">
      <c r="B252" s="3" t="s">
        <v>28</v>
      </c>
      <c r="C252" s="3">
        <v>15</v>
      </c>
      <c r="D252" s="3">
        <v>15</v>
      </c>
      <c r="E252" s="3">
        <v>16.5</v>
      </c>
      <c r="F252" s="3">
        <v>19</v>
      </c>
      <c r="G252" s="3">
        <v>33.35</v>
      </c>
      <c r="H252" s="3">
        <v>51.3</v>
      </c>
      <c r="I252" s="3">
        <v>20.7</v>
      </c>
      <c r="J252" s="3">
        <v>54.8</v>
      </c>
      <c r="K252" s="3">
        <v>0.22</v>
      </c>
      <c r="L252" s="3">
        <v>0.67</v>
      </c>
      <c r="M252" s="3">
        <v>0.26</v>
      </c>
      <c r="N252" s="3">
        <v>5</v>
      </c>
      <c r="O252" s="3">
        <v>0.25979999999999998</v>
      </c>
      <c r="P252" s="3">
        <v>0.223</v>
      </c>
      <c r="Q252" s="3">
        <v>0.20949999999999999</v>
      </c>
      <c r="R252" s="3"/>
      <c r="S252" s="3"/>
      <c r="T252" s="3"/>
      <c r="U252" s="3">
        <v>587</v>
      </c>
      <c r="V252">
        <f t="shared" si="20"/>
        <v>117.4</v>
      </c>
      <c r="W252">
        <f t="shared" si="21"/>
        <v>5.1959999999999992E-2</v>
      </c>
      <c r="X252">
        <f t="shared" si="22"/>
        <v>4.4600000000000001E-2</v>
      </c>
      <c r="Y252">
        <f t="shared" si="23"/>
        <v>4.19E-2</v>
      </c>
    </row>
    <row r="253" spans="1:25" x14ac:dyDescent="0.25">
      <c r="A253" s="2" t="s">
        <v>33</v>
      </c>
      <c r="B253" s="9" t="s">
        <v>32</v>
      </c>
      <c r="C253" s="9">
        <v>11</v>
      </c>
      <c r="D253" s="9">
        <v>8</v>
      </c>
      <c r="E253" s="9">
        <v>21</v>
      </c>
      <c r="F253" s="9">
        <v>30</v>
      </c>
      <c r="G253" s="9">
        <v>46.06</v>
      </c>
      <c r="H253" s="9">
        <v>20.5</v>
      </c>
      <c r="I253" s="9">
        <v>20.2</v>
      </c>
      <c r="J253" s="9">
        <v>18.100000000000001</v>
      </c>
      <c r="K253" s="9">
        <v>0.27</v>
      </c>
      <c r="L253" s="9">
        <v>0.33</v>
      </c>
      <c r="M253" s="9">
        <v>0.28000000000000003</v>
      </c>
      <c r="N253" s="9">
        <v>5</v>
      </c>
      <c r="O253" s="9">
        <v>0.03</v>
      </c>
      <c r="P253" s="9">
        <v>4.4000000000000003E-3</v>
      </c>
      <c r="Q253" s="9">
        <v>4.48E-2</v>
      </c>
      <c r="R253" s="9">
        <v>1.1200000000000001</v>
      </c>
      <c r="S253" s="9">
        <v>3.65</v>
      </c>
      <c r="T253" s="9">
        <f>(R253/2)^2*3.14*2*R253</f>
        <v>2.2057369600000003</v>
      </c>
      <c r="U253" s="9"/>
      <c r="V253">
        <f t="shared" si="20"/>
        <v>0</v>
      </c>
      <c r="W253">
        <f t="shared" si="21"/>
        <v>6.0000000000000001E-3</v>
      </c>
      <c r="X253">
        <f t="shared" si="22"/>
        <v>8.8000000000000003E-4</v>
      </c>
      <c r="Y253">
        <f t="shared" si="23"/>
        <v>8.9599999999999992E-3</v>
      </c>
    </row>
    <row r="254" spans="1:25" x14ac:dyDescent="0.25"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>
        <v>1.1100000000000001</v>
      </c>
      <c r="S254" s="9">
        <v>3.79</v>
      </c>
      <c r="T254" s="9">
        <f>(R254/2)^2*3.14*2*R254</f>
        <v>2.1471806700000005</v>
      </c>
      <c r="U254" s="9"/>
      <c r="V254" t="e">
        <f t="shared" si="20"/>
        <v>#DIV/0!</v>
      </c>
      <c r="W254" t="e">
        <f t="shared" si="21"/>
        <v>#DIV/0!</v>
      </c>
      <c r="X254" t="e">
        <f t="shared" si="22"/>
        <v>#DIV/0!</v>
      </c>
      <c r="Y254" t="e">
        <f t="shared" si="23"/>
        <v>#DIV/0!</v>
      </c>
    </row>
    <row r="255" spans="1:25" x14ac:dyDescent="0.25"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>
        <v>1.21</v>
      </c>
      <c r="S255" s="9">
        <v>4.05</v>
      </c>
      <c r="T255" s="9">
        <f>(R255/2)^2*3.14*2*R255</f>
        <v>2.7813507699999995</v>
      </c>
      <c r="U255" s="9"/>
      <c r="V255" t="e">
        <f t="shared" si="20"/>
        <v>#DIV/0!</v>
      </c>
      <c r="W255" t="e">
        <f t="shared" si="21"/>
        <v>#DIV/0!</v>
      </c>
      <c r="X255" t="e">
        <f t="shared" si="22"/>
        <v>#DIV/0!</v>
      </c>
      <c r="Y255" t="e">
        <f t="shared" si="23"/>
        <v>#DIV/0!</v>
      </c>
    </row>
    <row r="256" spans="1:25" x14ac:dyDescent="0.25"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>
        <v>1.24</v>
      </c>
      <c r="S256" s="9">
        <v>3.61</v>
      </c>
      <c r="T256" s="9">
        <f>(R256/2)^2*3.14*2*R256</f>
        <v>2.99339968</v>
      </c>
      <c r="U256" s="9"/>
      <c r="V256" t="e">
        <f t="shared" si="20"/>
        <v>#DIV/0!</v>
      </c>
      <c r="W256" t="e">
        <f t="shared" si="21"/>
        <v>#DIV/0!</v>
      </c>
      <c r="X256" t="e">
        <f t="shared" si="22"/>
        <v>#DIV/0!</v>
      </c>
      <c r="Y256" t="e">
        <f t="shared" si="23"/>
        <v>#DIV/0!</v>
      </c>
    </row>
    <row r="257" spans="1:25" x14ac:dyDescent="0.25"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>
        <v>1.1200000000000001</v>
      </c>
      <c r="S257" s="9">
        <v>3.11</v>
      </c>
      <c r="T257" s="9">
        <f>(R257/2)^2*3.14*2*R257</f>
        <v>2.2057369600000003</v>
      </c>
      <c r="U257" s="9">
        <f>AVERAGEA(T253:T257)</f>
        <v>2.4666810079999997</v>
      </c>
      <c r="V257" t="e">
        <f t="shared" si="20"/>
        <v>#DIV/0!</v>
      </c>
      <c r="W257" t="e">
        <f t="shared" si="21"/>
        <v>#DIV/0!</v>
      </c>
      <c r="X257" t="e">
        <f t="shared" si="22"/>
        <v>#DIV/0!</v>
      </c>
      <c r="Y257" t="e">
        <f t="shared" si="23"/>
        <v>#DIV/0!</v>
      </c>
    </row>
    <row r="258" spans="1:25" x14ac:dyDescent="0.25">
      <c r="B258" s="5" t="s">
        <v>28</v>
      </c>
      <c r="C258" s="5">
        <v>18</v>
      </c>
      <c r="D258" s="5">
        <v>15</v>
      </c>
      <c r="E258" s="5">
        <v>20</v>
      </c>
      <c r="F258" s="5">
        <v>3</v>
      </c>
      <c r="G258" s="5">
        <v>18.899999999999999</v>
      </c>
      <c r="H258" s="5">
        <v>14.4</v>
      </c>
      <c r="I258" s="5">
        <v>18.8</v>
      </c>
      <c r="J258" s="5">
        <v>30</v>
      </c>
      <c r="K258" s="5">
        <v>7.0000000000000007E-2</v>
      </c>
      <c r="L258" s="5">
        <v>0.28000000000000003</v>
      </c>
      <c r="M258" s="5">
        <v>0.24</v>
      </c>
      <c r="N258" s="5">
        <v>5</v>
      </c>
      <c r="O258" s="5">
        <v>0.6</v>
      </c>
      <c r="P258" s="5">
        <v>4.2700000000000002E-2</v>
      </c>
      <c r="Q258" s="5">
        <v>0.58460000000000001</v>
      </c>
      <c r="R258" s="5"/>
      <c r="S258" s="5"/>
      <c r="T258" s="5"/>
      <c r="U258" s="5">
        <v>1143</v>
      </c>
      <c r="V258">
        <f t="shared" ref="V258:V321" si="28">U258/N258</f>
        <v>228.6</v>
      </c>
      <c r="W258">
        <f t="shared" si="21"/>
        <v>0.12</v>
      </c>
      <c r="X258">
        <f t="shared" si="22"/>
        <v>8.5400000000000007E-3</v>
      </c>
      <c r="Y258">
        <f t="shared" si="23"/>
        <v>0.11692</v>
      </c>
    </row>
    <row r="259" spans="1:25" x14ac:dyDescent="0.25">
      <c r="B259" s="6" t="s">
        <v>24</v>
      </c>
      <c r="C259" s="6">
        <v>13</v>
      </c>
      <c r="D259" s="6">
        <v>15</v>
      </c>
      <c r="E259" s="6">
        <v>10</v>
      </c>
      <c r="F259" s="6">
        <v>25</v>
      </c>
      <c r="G259" s="6">
        <v>13.94</v>
      </c>
      <c r="H259" s="6">
        <v>28.4</v>
      </c>
      <c r="I259" s="6">
        <v>26.8</v>
      </c>
      <c r="J259" s="6">
        <v>25.9</v>
      </c>
      <c r="K259" s="6">
        <v>0.13</v>
      </c>
      <c r="L259" s="6">
        <v>0.2</v>
      </c>
      <c r="M259" s="6">
        <v>0.33</v>
      </c>
      <c r="N259" s="6">
        <v>5</v>
      </c>
      <c r="O259" s="6">
        <v>0.06</v>
      </c>
      <c r="P259" s="6">
        <v>9.7999999999999997E-3</v>
      </c>
      <c r="Q259" s="6">
        <v>0.1105</v>
      </c>
      <c r="R259" s="6">
        <v>0.83</v>
      </c>
      <c r="S259" s="6">
        <v>16.670000000000002</v>
      </c>
      <c r="T259" s="6">
        <f>(R259/2)^2*3.14*2*R259</f>
        <v>0.89770558999999983</v>
      </c>
      <c r="U259" s="6"/>
      <c r="V259">
        <f t="shared" si="28"/>
        <v>0</v>
      </c>
      <c r="W259">
        <f t="shared" ref="W259:W322" si="29">O259/N259</f>
        <v>1.2E-2</v>
      </c>
      <c r="X259">
        <f t="shared" ref="X259:X322" si="30">P259/N259</f>
        <v>1.9599999999999999E-3</v>
      </c>
      <c r="Y259">
        <f t="shared" ref="Y259:Y322" si="31">Q259/N259</f>
        <v>2.2100000000000002E-2</v>
      </c>
    </row>
    <row r="260" spans="1:25" x14ac:dyDescent="0.25"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>
        <v>0.87</v>
      </c>
      <c r="S260" s="6">
        <v>13.34</v>
      </c>
      <c r="T260" s="6">
        <f>(R260/2)^2*3.14*2*R260</f>
        <v>1.0338497100000001</v>
      </c>
      <c r="U260" s="6"/>
      <c r="V260" t="e">
        <f t="shared" si="28"/>
        <v>#DIV/0!</v>
      </c>
      <c r="W260" t="e">
        <f t="shared" si="29"/>
        <v>#DIV/0!</v>
      </c>
      <c r="X260" t="e">
        <f t="shared" si="30"/>
        <v>#DIV/0!</v>
      </c>
      <c r="Y260" t="e">
        <f t="shared" si="31"/>
        <v>#DIV/0!</v>
      </c>
    </row>
    <row r="261" spans="1:25" x14ac:dyDescent="0.25"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>
        <v>1.01</v>
      </c>
      <c r="S261" s="6">
        <v>15.55</v>
      </c>
      <c r="T261" s="6">
        <f>(R261/2)^2*3.14*2*R261</f>
        <v>1.6175725700000001</v>
      </c>
      <c r="U261" s="6"/>
      <c r="V261" t="e">
        <f t="shared" si="28"/>
        <v>#DIV/0!</v>
      </c>
      <c r="W261" t="e">
        <f t="shared" si="29"/>
        <v>#DIV/0!</v>
      </c>
      <c r="X261" t="e">
        <f t="shared" si="30"/>
        <v>#DIV/0!</v>
      </c>
      <c r="Y261" t="e">
        <f t="shared" si="31"/>
        <v>#DIV/0!</v>
      </c>
    </row>
    <row r="262" spans="1:25" x14ac:dyDescent="0.25"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>
        <v>0.87</v>
      </c>
      <c r="S262" s="6">
        <v>13.71</v>
      </c>
      <c r="T262" s="6">
        <f>(R262/2)^2*3.14*2*R262</f>
        <v>1.0338497100000001</v>
      </c>
      <c r="U262" s="6"/>
      <c r="V262" t="e">
        <f t="shared" si="28"/>
        <v>#DIV/0!</v>
      </c>
      <c r="W262" t="e">
        <f t="shared" si="29"/>
        <v>#DIV/0!</v>
      </c>
      <c r="X262" t="e">
        <f t="shared" si="30"/>
        <v>#DIV/0!</v>
      </c>
      <c r="Y262" t="e">
        <f t="shared" si="31"/>
        <v>#DIV/0!</v>
      </c>
    </row>
    <row r="263" spans="1:25" x14ac:dyDescent="0.25"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>
        <v>1.03</v>
      </c>
      <c r="S263" s="6">
        <v>16.97</v>
      </c>
      <c r="T263" s="6">
        <f>(R263/2)^2*3.14*2*R263</f>
        <v>1.7155813900000001</v>
      </c>
      <c r="U263" s="6">
        <f>AVERAGEA(T259:T263)</f>
        <v>1.259711794</v>
      </c>
      <c r="V263" t="e">
        <f t="shared" si="28"/>
        <v>#DIV/0!</v>
      </c>
      <c r="W263" t="e">
        <f t="shared" si="29"/>
        <v>#DIV/0!</v>
      </c>
      <c r="X263" t="e">
        <f t="shared" si="30"/>
        <v>#DIV/0!</v>
      </c>
      <c r="Y263" t="e">
        <f t="shared" si="31"/>
        <v>#DIV/0!</v>
      </c>
    </row>
    <row r="264" spans="1:25" x14ac:dyDescent="0.25">
      <c r="A264" s="2" t="s">
        <v>34</v>
      </c>
      <c r="B264" s="7" t="s">
        <v>35</v>
      </c>
      <c r="C264" s="7">
        <v>19</v>
      </c>
      <c r="D264" s="7">
        <v>25</v>
      </c>
      <c r="E264" s="7">
        <v>11</v>
      </c>
      <c r="F264" s="7">
        <v>3</v>
      </c>
      <c r="G264" s="7">
        <v>10.38</v>
      </c>
      <c r="H264" s="7">
        <v>43</v>
      </c>
      <c r="I264" s="7">
        <v>40.700000000000003</v>
      </c>
      <c r="J264" s="7">
        <v>22.8</v>
      </c>
      <c r="K264" s="7">
        <v>0.17</v>
      </c>
      <c r="L264" s="7">
        <v>0.17</v>
      </c>
      <c r="M264" s="7">
        <v>0.19</v>
      </c>
      <c r="N264" s="7">
        <v>5</v>
      </c>
      <c r="O264" s="7">
        <v>0.26019999999999999</v>
      </c>
      <c r="P264" s="7">
        <v>7.3499999999999996E-2</v>
      </c>
      <c r="Q264" s="7">
        <v>0.46479999999999999</v>
      </c>
      <c r="R264" s="7"/>
      <c r="S264" s="7"/>
      <c r="T264" s="7"/>
      <c r="U264" s="7">
        <v>1331</v>
      </c>
      <c r="V264">
        <f t="shared" si="28"/>
        <v>266.2</v>
      </c>
      <c r="W264">
        <f t="shared" si="29"/>
        <v>5.2039999999999996E-2</v>
      </c>
      <c r="X264">
        <f t="shared" si="30"/>
        <v>1.47E-2</v>
      </c>
      <c r="Y264">
        <f t="shared" si="31"/>
        <v>9.2960000000000001E-2</v>
      </c>
    </row>
    <row r="265" spans="1:25" x14ac:dyDescent="0.25">
      <c r="B265" s="8" t="s">
        <v>24</v>
      </c>
      <c r="C265" s="8">
        <v>12</v>
      </c>
      <c r="D265" s="8">
        <v>18</v>
      </c>
      <c r="E265" s="8">
        <v>5</v>
      </c>
      <c r="F265" s="8">
        <v>95</v>
      </c>
      <c r="G265" s="8">
        <v>28.87</v>
      </c>
      <c r="H265" s="8">
        <v>24.2</v>
      </c>
      <c r="I265" s="8">
        <v>39.1</v>
      </c>
      <c r="J265" s="8">
        <v>31.4</v>
      </c>
      <c r="K265" s="8">
        <v>0.35</v>
      </c>
      <c r="L265" s="8">
        <v>0.32</v>
      </c>
      <c r="M265" s="8">
        <v>0.53</v>
      </c>
      <c r="N265" s="8">
        <v>6</v>
      </c>
      <c r="O265" s="8">
        <v>0.23130000000000001</v>
      </c>
      <c r="P265" s="8">
        <v>4.0500000000000001E-2</v>
      </c>
      <c r="Q265" s="8">
        <v>0.33139999999999997</v>
      </c>
      <c r="R265" s="8"/>
      <c r="S265" s="8"/>
      <c r="T265" s="8"/>
      <c r="U265" s="8">
        <v>733</v>
      </c>
      <c r="V265">
        <f t="shared" si="28"/>
        <v>122.16666666666667</v>
      </c>
      <c r="W265">
        <f t="shared" si="29"/>
        <v>3.8550000000000001E-2</v>
      </c>
      <c r="X265">
        <f t="shared" si="30"/>
        <v>6.7499999999999999E-3</v>
      </c>
      <c r="Y265">
        <f t="shared" si="31"/>
        <v>5.5233333333333329E-2</v>
      </c>
    </row>
    <row r="266" spans="1:25" x14ac:dyDescent="0.25">
      <c r="B266" s="3" t="s">
        <v>37</v>
      </c>
      <c r="C266" s="3">
        <v>35</v>
      </c>
      <c r="D266" s="3">
        <v>38</v>
      </c>
      <c r="E266" s="3">
        <v>25</v>
      </c>
      <c r="F266" s="3">
        <v>3</v>
      </c>
      <c r="G266" s="3">
        <v>26.32</v>
      </c>
      <c r="H266" s="3">
        <v>42.2</v>
      </c>
      <c r="I266" s="3">
        <v>39.5</v>
      </c>
      <c r="J266" s="3">
        <v>36.5</v>
      </c>
      <c r="K266" s="3">
        <v>0.64</v>
      </c>
      <c r="L266" s="3">
        <v>0.42</v>
      </c>
      <c r="M266" s="3">
        <v>0.38</v>
      </c>
      <c r="N266" s="3">
        <v>10</v>
      </c>
      <c r="O266" s="3">
        <v>0.70209999999999995</v>
      </c>
      <c r="P266" s="3">
        <v>0.1173</v>
      </c>
      <c r="Q266" s="3">
        <v>0.76700000000000002</v>
      </c>
      <c r="R266" s="3"/>
      <c r="S266" s="3"/>
      <c r="T266" s="3"/>
      <c r="U266" s="3">
        <v>1731</v>
      </c>
      <c r="V266">
        <f t="shared" si="28"/>
        <v>173.1</v>
      </c>
      <c r="W266">
        <f t="shared" si="29"/>
        <v>7.0209999999999995E-2</v>
      </c>
      <c r="X266">
        <f t="shared" si="30"/>
        <v>1.1730000000000001E-2</v>
      </c>
      <c r="Y266">
        <f t="shared" si="31"/>
        <v>7.6700000000000004E-2</v>
      </c>
    </row>
    <row r="267" spans="1:25" x14ac:dyDescent="0.25">
      <c r="B267" s="9" t="s">
        <v>18</v>
      </c>
      <c r="C267" s="9">
        <v>36</v>
      </c>
      <c r="D267" s="9"/>
      <c r="E267" s="9"/>
      <c r="F267" s="9">
        <v>1</v>
      </c>
      <c r="G267" s="9">
        <v>29.78</v>
      </c>
      <c r="H267" s="9">
        <v>18.3</v>
      </c>
      <c r="I267" s="9">
        <v>16.8</v>
      </c>
      <c r="J267" s="9">
        <v>19.2</v>
      </c>
      <c r="K267" s="9">
        <v>0.42</v>
      </c>
      <c r="L267" s="9">
        <v>0.31</v>
      </c>
      <c r="M267" s="9">
        <v>0.24</v>
      </c>
      <c r="N267" s="9">
        <v>100</v>
      </c>
      <c r="O267" s="9">
        <v>6.7699999999999996E-2</v>
      </c>
      <c r="P267" s="9">
        <v>2.8299999999999999E-2</v>
      </c>
      <c r="Q267" s="9">
        <v>9.74E-2</v>
      </c>
      <c r="R267" s="9">
        <v>0.5</v>
      </c>
      <c r="S267" s="9">
        <v>2.39</v>
      </c>
      <c r="T267" s="9">
        <f t="shared" ref="T267:T276" si="32">(R267/2)^2*3.14*2*R267</f>
        <v>0.19625000000000001</v>
      </c>
      <c r="U267" s="9"/>
      <c r="V267">
        <f t="shared" si="28"/>
        <v>0</v>
      </c>
      <c r="W267">
        <f t="shared" si="29"/>
        <v>6.7699999999999998E-4</v>
      </c>
      <c r="X267">
        <f t="shared" si="30"/>
        <v>2.8299999999999999E-4</v>
      </c>
      <c r="Y267">
        <f t="shared" si="31"/>
        <v>9.7400000000000004E-4</v>
      </c>
    </row>
    <row r="268" spans="1:25" x14ac:dyDescent="0.25"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>
        <v>0.48</v>
      </c>
      <c r="S268" s="6">
        <v>1.48</v>
      </c>
      <c r="T268" s="6">
        <f t="shared" si="32"/>
        <v>0.17362944</v>
      </c>
      <c r="U268" s="6"/>
      <c r="V268" t="e">
        <f t="shared" si="28"/>
        <v>#DIV/0!</v>
      </c>
      <c r="W268" t="e">
        <f t="shared" si="29"/>
        <v>#DIV/0!</v>
      </c>
      <c r="X268" t="e">
        <f t="shared" si="30"/>
        <v>#DIV/0!</v>
      </c>
      <c r="Y268" t="e">
        <f t="shared" si="31"/>
        <v>#DIV/0!</v>
      </c>
    </row>
    <row r="269" spans="1:25" x14ac:dyDescent="0.25"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>
        <v>0.47</v>
      </c>
      <c r="S269" s="6">
        <v>1.82</v>
      </c>
      <c r="T269" s="6">
        <f t="shared" si="32"/>
        <v>0.16300210999999998</v>
      </c>
      <c r="U269" s="6"/>
      <c r="V269" t="e">
        <f t="shared" si="28"/>
        <v>#DIV/0!</v>
      </c>
      <c r="W269" t="e">
        <f t="shared" si="29"/>
        <v>#DIV/0!</v>
      </c>
      <c r="X269" t="e">
        <f t="shared" si="30"/>
        <v>#DIV/0!</v>
      </c>
      <c r="Y269" t="e">
        <f t="shared" si="31"/>
        <v>#DIV/0!</v>
      </c>
    </row>
    <row r="270" spans="1:25" x14ac:dyDescent="0.25"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>
        <v>0.48</v>
      </c>
      <c r="S270" s="6">
        <v>2.36</v>
      </c>
      <c r="T270" s="6">
        <f t="shared" si="32"/>
        <v>0.17362944</v>
      </c>
      <c r="U270" s="6"/>
      <c r="V270" t="e">
        <f t="shared" si="28"/>
        <v>#DIV/0!</v>
      </c>
      <c r="W270" t="e">
        <f t="shared" si="29"/>
        <v>#DIV/0!</v>
      </c>
      <c r="X270" t="e">
        <f t="shared" si="30"/>
        <v>#DIV/0!</v>
      </c>
      <c r="Y270" t="e">
        <f t="shared" si="31"/>
        <v>#DIV/0!</v>
      </c>
    </row>
    <row r="271" spans="1:25" x14ac:dyDescent="0.25"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>
        <v>0.49</v>
      </c>
      <c r="S271" s="6">
        <v>1.75</v>
      </c>
      <c r="T271" s="6">
        <f t="shared" si="32"/>
        <v>0.18470892999999999</v>
      </c>
      <c r="U271" s="6">
        <f>AVERAGEA(T267:T271)</f>
        <v>0.17824398399999999</v>
      </c>
      <c r="V271" t="e">
        <f t="shared" si="28"/>
        <v>#DIV/0!</v>
      </c>
      <c r="W271" t="e">
        <f t="shared" si="29"/>
        <v>#DIV/0!</v>
      </c>
      <c r="X271" t="e">
        <f t="shared" si="30"/>
        <v>#DIV/0!</v>
      </c>
      <c r="Y271" t="e">
        <f t="shared" si="31"/>
        <v>#DIV/0!</v>
      </c>
    </row>
    <row r="272" spans="1:25" x14ac:dyDescent="0.25">
      <c r="B272" s="7" t="s">
        <v>32</v>
      </c>
      <c r="C272" s="7">
        <v>10</v>
      </c>
      <c r="D272" s="7">
        <v>8</v>
      </c>
      <c r="E272" s="7">
        <v>16</v>
      </c>
      <c r="F272" s="7">
        <v>80</v>
      </c>
      <c r="G272" s="7">
        <v>55.33</v>
      </c>
      <c r="H272" s="7">
        <v>52.8</v>
      </c>
      <c r="I272" s="7">
        <v>35.299999999999997</v>
      </c>
      <c r="J272" s="7">
        <v>25.1</v>
      </c>
      <c r="K272" s="7">
        <v>0.53</v>
      </c>
      <c r="L272" s="7">
        <v>0.42</v>
      </c>
      <c r="M272" s="7">
        <v>0.24</v>
      </c>
      <c r="N272" s="7">
        <v>20</v>
      </c>
      <c r="O272" s="7">
        <v>7.9699999999999993E-2</v>
      </c>
      <c r="P272" s="7">
        <v>1.0200000000000001E-2</v>
      </c>
      <c r="Q272" s="7">
        <v>0.10780000000000001</v>
      </c>
      <c r="R272" s="7">
        <v>0.71</v>
      </c>
      <c r="S272" s="7">
        <v>5.8</v>
      </c>
      <c r="T272" s="7">
        <f t="shared" si="32"/>
        <v>0.56192027</v>
      </c>
      <c r="U272" s="7"/>
      <c r="V272">
        <f t="shared" si="28"/>
        <v>0</v>
      </c>
      <c r="W272">
        <f t="shared" si="29"/>
        <v>3.9849999999999998E-3</v>
      </c>
      <c r="X272">
        <f t="shared" si="30"/>
        <v>5.1000000000000004E-4</v>
      </c>
      <c r="Y272">
        <f t="shared" si="31"/>
        <v>5.3900000000000007E-3</v>
      </c>
    </row>
    <row r="273" spans="1:25" x14ac:dyDescent="0.25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>
        <v>0.75</v>
      </c>
      <c r="S273" s="7">
        <v>4.12</v>
      </c>
      <c r="T273" s="7">
        <f t="shared" si="32"/>
        <v>0.66234375000000001</v>
      </c>
      <c r="U273" s="7"/>
      <c r="V273" t="e">
        <f t="shared" si="28"/>
        <v>#DIV/0!</v>
      </c>
      <c r="W273" t="e">
        <f t="shared" si="29"/>
        <v>#DIV/0!</v>
      </c>
      <c r="X273" t="e">
        <f t="shared" si="30"/>
        <v>#DIV/0!</v>
      </c>
      <c r="Y273" t="e">
        <f t="shared" si="31"/>
        <v>#DIV/0!</v>
      </c>
    </row>
    <row r="274" spans="1:25" x14ac:dyDescent="0.25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>
        <v>0.63</v>
      </c>
      <c r="S274" s="7">
        <v>4.96</v>
      </c>
      <c r="T274" s="7">
        <f t="shared" si="32"/>
        <v>0.39257379000000003</v>
      </c>
      <c r="U274" s="7"/>
      <c r="V274" t="e">
        <f t="shared" si="28"/>
        <v>#DIV/0!</v>
      </c>
      <c r="W274" t="e">
        <f t="shared" si="29"/>
        <v>#DIV/0!</v>
      </c>
      <c r="X274" t="e">
        <f t="shared" si="30"/>
        <v>#DIV/0!</v>
      </c>
      <c r="Y274" t="e">
        <f t="shared" si="31"/>
        <v>#DIV/0!</v>
      </c>
    </row>
    <row r="275" spans="1:25" x14ac:dyDescent="0.25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>
        <v>0.74</v>
      </c>
      <c r="S275" s="7">
        <v>4.3600000000000003</v>
      </c>
      <c r="T275" s="7">
        <f t="shared" si="32"/>
        <v>0.63620167999999999</v>
      </c>
      <c r="U275" s="7"/>
      <c r="V275" t="e">
        <f t="shared" si="28"/>
        <v>#DIV/0!</v>
      </c>
      <c r="W275" t="e">
        <f t="shared" si="29"/>
        <v>#DIV/0!</v>
      </c>
      <c r="X275" t="e">
        <f t="shared" si="30"/>
        <v>#DIV/0!</v>
      </c>
      <c r="Y275" t="e">
        <f t="shared" si="31"/>
        <v>#DIV/0!</v>
      </c>
    </row>
    <row r="276" spans="1:25" x14ac:dyDescent="0.25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>
        <v>0.6</v>
      </c>
      <c r="S276" s="7">
        <v>4.29</v>
      </c>
      <c r="T276" s="7">
        <f t="shared" si="32"/>
        <v>0.33912000000000003</v>
      </c>
      <c r="U276" s="7">
        <f>AVERAGEA(T272:T276)</f>
        <v>0.518431898</v>
      </c>
      <c r="V276" t="e">
        <f t="shared" si="28"/>
        <v>#DIV/0!</v>
      </c>
      <c r="W276" t="e">
        <f t="shared" si="29"/>
        <v>#DIV/0!</v>
      </c>
      <c r="X276" t="e">
        <f t="shared" si="30"/>
        <v>#DIV/0!</v>
      </c>
      <c r="Y276" t="e">
        <f t="shared" si="31"/>
        <v>#DIV/0!</v>
      </c>
    </row>
    <row r="277" spans="1:25" x14ac:dyDescent="0.25">
      <c r="A277" s="2" t="s">
        <v>38</v>
      </c>
      <c r="B277" s="8" t="s">
        <v>39</v>
      </c>
      <c r="C277" s="8">
        <v>26</v>
      </c>
      <c r="D277" s="8">
        <v>21</v>
      </c>
      <c r="E277" s="8">
        <v>9</v>
      </c>
      <c r="F277" s="8">
        <v>25</v>
      </c>
      <c r="G277" s="8">
        <v>15.64</v>
      </c>
      <c r="H277" s="8">
        <v>28.7</v>
      </c>
      <c r="I277" s="8">
        <v>61.3</v>
      </c>
      <c r="J277" s="8">
        <v>29.2</v>
      </c>
      <c r="K277" s="8">
        <v>0.28000000000000003</v>
      </c>
      <c r="L277" s="8">
        <v>0.27</v>
      </c>
      <c r="M277" s="8">
        <v>0.23</v>
      </c>
      <c r="N277" s="8">
        <v>10</v>
      </c>
      <c r="O277" s="8">
        <v>8.7499999999999994E-2</v>
      </c>
      <c r="P277" s="8">
        <v>3.7699999999999997E-2</v>
      </c>
      <c r="Q277" s="8">
        <v>0.155</v>
      </c>
      <c r="R277" s="8"/>
      <c r="S277" s="8"/>
      <c r="T277" s="8"/>
      <c r="U277" s="8">
        <v>669</v>
      </c>
      <c r="V277">
        <f t="shared" si="28"/>
        <v>66.900000000000006</v>
      </c>
      <c r="W277">
        <f t="shared" si="29"/>
        <v>8.7499999999999991E-3</v>
      </c>
      <c r="X277">
        <f t="shared" si="30"/>
        <v>3.7699999999999999E-3</v>
      </c>
      <c r="Y277">
        <f t="shared" si="31"/>
        <v>1.55E-2</v>
      </c>
    </row>
    <row r="278" spans="1:25" x14ac:dyDescent="0.25">
      <c r="B278" s="3" t="s">
        <v>27</v>
      </c>
      <c r="C278" s="3">
        <v>17.5</v>
      </c>
      <c r="D278" s="3">
        <v>50</v>
      </c>
      <c r="E278" s="3">
        <v>22</v>
      </c>
      <c r="F278" s="3">
        <v>30</v>
      </c>
      <c r="G278" s="3">
        <v>18.68</v>
      </c>
      <c r="H278" s="3">
        <v>22.7</v>
      </c>
      <c r="I278" s="3">
        <v>33.799999999999997</v>
      </c>
      <c r="J278" s="3">
        <v>45.9</v>
      </c>
      <c r="K278" s="3">
        <v>0.22</v>
      </c>
      <c r="L278" s="3">
        <v>0.16</v>
      </c>
      <c r="M278" s="3">
        <v>0.79</v>
      </c>
      <c r="N278" s="3">
        <v>10</v>
      </c>
      <c r="O278" s="3">
        <v>0.1381</v>
      </c>
      <c r="P278" s="3">
        <v>0.06</v>
      </c>
      <c r="Q278" s="3">
        <v>0.29399999999999998</v>
      </c>
      <c r="R278" s="3"/>
      <c r="S278" s="3"/>
      <c r="T278" s="3"/>
      <c r="U278" s="3">
        <v>1266</v>
      </c>
      <c r="V278">
        <f t="shared" si="28"/>
        <v>126.6</v>
      </c>
      <c r="W278">
        <f t="shared" si="29"/>
        <v>1.3809999999999999E-2</v>
      </c>
      <c r="X278">
        <f t="shared" si="30"/>
        <v>6.0000000000000001E-3</v>
      </c>
      <c r="Y278">
        <f t="shared" si="31"/>
        <v>2.9399999999999999E-2</v>
      </c>
    </row>
    <row r="279" spans="1:25" x14ac:dyDescent="0.25">
      <c r="B279" s="9" t="s">
        <v>16</v>
      </c>
      <c r="C279" s="9">
        <v>15</v>
      </c>
      <c r="D279" s="9">
        <v>12</v>
      </c>
      <c r="E279" s="9">
        <v>19</v>
      </c>
      <c r="F279" s="9">
        <v>3</v>
      </c>
      <c r="G279" s="9">
        <v>3.69</v>
      </c>
      <c r="H279" s="9">
        <v>40.9</v>
      </c>
      <c r="I279" s="9">
        <v>42.5</v>
      </c>
      <c r="J279" s="9">
        <v>48.9</v>
      </c>
      <c r="K279" s="9">
        <v>0.17</v>
      </c>
      <c r="L279" s="9">
        <v>0.06</v>
      </c>
      <c r="M279" s="9">
        <v>0.08</v>
      </c>
      <c r="N279" s="9">
        <v>5</v>
      </c>
      <c r="O279" s="9">
        <v>0.1595</v>
      </c>
      <c r="P279" s="9">
        <v>0.1079</v>
      </c>
      <c r="Q279" s="9">
        <v>0.22989999999999999</v>
      </c>
      <c r="R279" s="9">
        <v>0.76</v>
      </c>
      <c r="S279" s="9">
        <v>106</v>
      </c>
      <c r="T279" s="9">
        <f>(R279/2)^2*3.14*2*R279</f>
        <v>0.68919232000000008</v>
      </c>
      <c r="U279" s="9"/>
      <c r="V279">
        <f t="shared" si="28"/>
        <v>0</v>
      </c>
      <c r="W279">
        <f t="shared" si="29"/>
        <v>3.1899999999999998E-2</v>
      </c>
      <c r="X279">
        <f t="shared" si="30"/>
        <v>2.1579999999999998E-2</v>
      </c>
      <c r="Y279">
        <f t="shared" si="31"/>
        <v>4.598E-2</v>
      </c>
    </row>
    <row r="280" spans="1:25" x14ac:dyDescent="0.25"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>
        <v>0.84</v>
      </c>
      <c r="S280" s="9">
        <v>148</v>
      </c>
      <c r="T280" s="9">
        <f>(R280/2)^2*3.14*2*R280</f>
        <v>0.93054527999999992</v>
      </c>
      <c r="U280" s="9"/>
      <c r="V280" t="e">
        <f t="shared" si="28"/>
        <v>#DIV/0!</v>
      </c>
      <c r="W280" t="e">
        <f t="shared" si="29"/>
        <v>#DIV/0!</v>
      </c>
      <c r="X280" t="e">
        <f t="shared" si="30"/>
        <v>#DIV/0!</v>
      </c>
      <c r="Y280" t="e">
        <f t="shared" si="31"/>
        <v>#DIV/0!</v>
      </c>
    </row>
    <row r="281" spans="1:25" x14ac:dyDescent="0.25"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>
        <v>0.81</v>
      </c>
      <c r="S281" s="9">
        <v>122</v>
      </c>
      <c r="T281" s="9">
        <f>(R281/2)^2*3.14*2*R281</f>
        <v>0.83436237000000013</v>
      </c>
      <c r="U281" s="9"/>
      <c r="V281" t="e">
        <f t="shared" si="28"/>
        <v>#DIV/0!</v>
      </c>
      <c r="W281" t="e">
        <f t="shared" si="29"/>
        <v>#DIV/0!</v>
      </c>
      <c r="X281" t="e">
        <f t="shared" si="30"/>
        <v>#DIV/0!</v>
      </c>
      <c r="Y281" t="e">
        <f t="shared" si="31"/>
        <v>#DIV/0!</v>
      </c>
    </row>
    <row r="282" spans="1:25" x14ac:dyDescent="0.25"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>
        <v>0.57999999999999996</v>
      </c>
      <c r="S282" s="9">
        <v>176</v>
      </c>
      <c r="T282" s="9">
        <f>(R282/2)^2*3.14*2*R282</f>
        <v>0.30632583999999996</v>
      </c>
      <c r="U282" s="9"/>
      <c r="V282" t="e">
        <f t="shared" si="28"/>
        <v>#DIV/0!</v>
      </c>
      <c r="W282" t="e">
        <f t="shared" si="29"/>
        <v>#DIV/0!</v>
      </c>
      <c r="X282" t="e">
        <f t="shared" si="30"/>
        <v>#DIV/0!</v>
      </c>
      <c r="Y282" t="e">
        <f t="shared" si="31"/>
        <v>#DIV/0!</v>
      </c>
    </row>
    <row r="283" spans="1:25" x14ac:dyDescent="0.25"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>
        <v>0.41</v>
      </c>
      <c r="S283" s="9">
        <v>182</v>
      </c>
      <c r="T283" s="9">
        <f>(R283/2)^2*3.14*2*R283</f>
        <v>0.10820596999999997</v>
      </c>
      <c r="U283" s="9">
        <f>AVERAGEA(T279:T283)</f>
        <v>0.57372635599999999</v>
      </c>
      <c r="V283" t="e">
        <f t="shared" si="28"/>
        <v>#DIV/0!</v>
      </c>
      <c r="W283" t="e">
        <f t="shared" si="29"/>
        <v>#DIV/0!</v>
      </c>
      <c r="X283" t="e">
        <f t="shared" si="30"/>
        <v>#DIV/0!</v>
      </c>
      <c r="Y283" t="e">
        <f t="shared" si="31"/>
        <v>#DIV/0!</v>
      </c>
    </row>
    <row r="284" spans="1:25" x14ac:dyDescent="0.25">
      <c r="B284" s="5" t="s">
        <v>23</v>
      </c>
      <c r="C284" s="5">
        <v>24</v>
      </c>
      <c r="D284" s="5">
        <v>45</v>
      </c>
      <c r="E284" s="5">
        <v>20</v>
      </c>
      <c r="F284" s="5">
        <v>4</v>
      </c>
      <c r="G284" s="5">
        <v>25.22</v>
      </c>
      <c r="H284" s="5"/>
      <c r="I284" s="5"/>
      <c r="J284" s="5"/>
      <c r="K284" s="5">
        <v>0.16</v>
      </c>
      <c r="L284" s="5">
        <v>0.12</v>
      </c>
      <c r="M284" s="5">
        <v>0.15</v>
      </c>
      <c r="N284" s="5">
        <v>5</v>
      </c>
      <c r="O284" s="5">
        <v>0.50370000000000004</v>
      </c>
      <c r="P284" s="5">
        <v>0.1263</v>
      </c>
      <c r="Q284" s="5">
        <v>0.86040000000000005</v>
      </c>
      <c r="R284" s="5"/>
      <c r="S284" s="5"/>
      <c r="T284" s="5"/>
      <c r="U284" s="5">
        <v>2059</v>
      </c>
      <c r="V284">
        <f t="shared" si="28"/>
        <v>411.8</v>
      </c>
      <c r="W284">
        <f t="shared" si="29"/>
        <v>0.10074000000000001</v>
      </c>
      <c r="X284">
        <f t="shared" si="30"/>
        <v>2.5259999999999998E-2</v>
      </c>
      <c r="Y284">
        <f t="shared" si="31"/>
        <v>0.17208000000000001</v>
      </c>
    </row>
    <row r="285" spans="1:25" x14ac:dyDescent="0.25">
      <c r="B285" s="6" t="s">
        <v>32</v>
      </c>
      <c r="C285" s="6">
        <v>32</v>
      </c>
      <c r="D285" s="6">
        <v>15</v>
      </c>
      <c r="E285" s="6">
        <v>18</v>
      </c>
      <c r="F285" s="6">
        <v>3</v>
      </c>
      <c r="G285" s="6">
        <v>21.66</v>
      </c>
      <c r="H285" s="6">
        <v>47.1</v>
      </c>
      <c r="I285" s="6">
        <v>40.9</v>
      </c>
      <c r="J285" s="6">
        <v>46.8</v>
      </c>
      <c r="K285" s="6">
        <v>0.75</v>
      </c>
      <c r="L285" s="6">
        <v>0.74</v>
      </c>
      <c r="M285" s="6">
        <v>0.8</v>
      </c>
      <c r="N285" s="6">
        <v>20</v>
      </c>
      <c r="O285" s="6">
        <v>9.5600000000000004E-2</v>
      </c>
      <c r="P285" s="6">
        <v>5.1999999999999998E-3</v>
      </c>
      <c r="Q285" s="6">
        <v>7.7600000000000002E-2</v>
      </c>
      <c r="R285" s="6">
        <v>1.39</v>
      </c>
      <c r="S285" s="6">
        <v>4.8</v>
      </c>
      <c r="T285" s="6">
        <f>(R285/2)^2*3.14*2*R285</f>
        <v>4.2164218299999989</v>
      </c>
      <c r="U285" s="6"/>
      <c r="V285">
        <f t="shared" si="28"/>
        <v>0</v>
      </c>
      <c r="W285">
        <f t="shared" si="29"/>
        <v>4.7800000000000004E-3</v>
      </c>
      <c r="X285">
        <f t="shared" si="30"/>
        <v>2.5999999999999998E-4</v>
      </c>
      <c r="Y285">
        <f t="shared" si="31"/>
        <v>3.8800000000000002E-3</v>
      </c>
    </row>
    <row r="286" spans="1:25" x14ac:dyDescent="0.25"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>
        <v>1.2</v>
      </c>
      <c r="S286" s="6">
        <v>3.82</v>
      </c>
      <c r="T286" s="6">
        <f>(R286/2)^2*3.14*2*R286</f>
        <v>2.7129600000000003</v>
      </c>
      <c r="U286" s="6"/>
      <c r="V286" t="e">
        <f t="shared" si="28"/>
        <v>#DIV/0!</v>
      </c>
      <c r="W286" t="e">
        <f t="shared" si="29"/>
        <v>#DIV/0!</v>
      </c>
      <c r="X286" t="e">
        <f t="shared" si="30"/>
        <v>#DIV/0!</v>
      </c>
      <c r="Y286" t="e">
        <f t="shared" si="31"/>
        <v>#DIV/0!</v>
      </c>
    </row>
    <row r="287" spans="1:25" x14ac:dyDescent="0.25"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>
        <v>1.52</v>
      </c>
      <c r="S287" s="6">
        <v>4</v>
      </c>
      <c r="T287" s="6">
        <f>(R287/2)^2*3.14*2*R287</f>
        <v>5.5135385600000006</v>
      </c>
      <c r="U287" s="6"/>
      <c r="V287" t="e">
        <f t="shared" si="28"/>
        <v>#DIV/0!</v>
      </c>
      <c r="W287" t="e">
        <f t="shared" si="29"/>
        <v>#DIV/0!</v>
      </c>
      <c r="X287" t="e">
        <f t="shared" si="30"/>
        <v>#DIV/0!</v>
      </c>
      <c r="Y287" t="e">
        <f t="shared" si="31"/>
        <v>#DIV/0!</v>
      </c>
    </row>
    <row r="288" spans="1:25" x14ac:dyDescent="0.25"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>
        <v>1.3</v>
      </c>
      <c r="S288" s="6">
        <v>2.88</v>
      </c>
      <c r="T288" s="6">
        <f>(R288/2)^2*3.14*2*R288</f>
        <v>3.4492900000000004</v>
      </c>
      <c r="U288" s="6"/>
      <c r="V288" t="e">
        <f t="shared" si="28"/>
        <v>#DIV/0!</v>
      </c>
      <c r="W288" t="e">
        <f t="shared" si="29"/>
        <v>#DIV/0!</v>
      </c>
      <c r="X288" t="e">
        <f t="shared" si="30"/>
        <v>#DIV/0!</v>
      </c>
      <c r="Y288" t="e">
        <f t="shared" si="31"/>
        <v>#DIV/0!</v>
      </c>
    </row>
    <row r="289" spans="1:25" x14ac:dyDescent="0.25"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>
        <v>1.04</v>
      </c>
      <c r="S289" s="6">
        <v>3.31</v>
      </c>
      <c r="T289" s="6">
        <f>(R289/2)^2*3.14*2*R289</f>
        <v>1.7660364800000004</v>
      </c>
      <c r="U289" s="6">
        <f>AVERAGEA(T285:T289)</f>
        <v>3.5316493739999997</v>
      </c>
      <c r="V289" t="e">
        <f t="shared" si="28"/>
        <v>#DIV/0!</v>
      </c>
      <c r="W289" t="e">
        <f t="shared" si="29"/>
        <v>#DIV/0!</v>
      </c>
      <c r="X289" t="e">
        <f t="shared" si="30"/>
        <v>#DIV/0!</v>
      </c>
      <c r="Y289" t="e">
        <f t="shared" si="31"/>
        <v>#DIV/0!</v>
      </c>
    </row>
    <row r="290" spans="1:25" x14ac:dyDescent="0.25">
      <c r="A290" s="2" t="s">
        <v>40</v>
      </c>
      <c r="B290" s="7" t="s">
        <v>23</v>
      </c>
      <c r="C290" s="7">
        <v>35</v>
      </c>
      <c r="D290" s="7">
        <v>72</v>
      </c>
      <c r="E290" s="7">
        <v>25.1</v>
      </c>
      <c r="F290" s="7">
        <v>3</v>
      </c>
      <c r="G290" s="7">
        <v>22.09</v>
      </c>
      <c r="H290" s="7">
        <v>47.5</v>
      </c>
      <c r="I290" s="7">
        <v>46.6</v>
      </c>
      <c r="J290" s="7">
        <v>45.6</v>
      </c>
      <c r="K290" s="7">
        <v>0.19</v>
      </c>
      <c r="L290" s="7">
        <v>0.18</v>
      </c>
      <c r="M290" s="7">
        <v>0.15</v>
      </c>
      <c r="N290" s="7">
        <v>5</v>
      </c>
      <c r="O290" s="7">
        <v>0.4743</v>
      </c>
      <c r="P290" s="7">
        <v>0.1177</v>
      </c>
      <c r="Q290" s="7">
        <v>0.7732</v>
      </c>
      <c r="R290" s="7"/>
      <c r="S290" s="7"/>
      <c r="T290" s="7"/>
      <c r="U290" s="7">
        <v>2059</v>
      </c>
      <c r="V290">
        <f t="shared" si="28"/>
        <v>411.8</v>
      </c>
      <c r="W290">
        <f t="shared" si="29"/>
        <v>9.486E-2</v>
      </c>
      <c r="X290">
        <f t="shared" si="30"/>
        <v>2.3539999999999998E-2</v>
      </c>
      <c r="Y290">
        <f t="shared" si="31"/>
        <v>0.15464</v>
      </c>
    </row>
    <row r="291" spans="1:25" x14ac:dyDescent="0.25">
      <c r="B291" s="8" t="s">
        <v>17</v>
      </c>
      <c r="C291" s="8">
        <v>50</v>
      </c>
      <c r="D291" s="8">
        <v>56</v>
      </c>
      <c r="E291" s="8">
        <v>35</v>
      </c>
      <c r="F291" s="8">
        <v>3</v>
      </c>
      <c r="G291" s="8">
        <v>16.12</v>
      </c>
      <c r="H291" s="8">
        <v>54.7</v>
      </c>
      <c r="I291" s="8">
        <v>52.7</v>
      </c>
      <c r="J291" s="8">
        <v>53.3</v>
      </c>
      <c r="K291" s="8">
        <v>0.22</v>
      </c>
      <c r="L291" s="8">
        <v>0.25</v>
      </c>
      <c r="M291" s="8">
        <v>0.25</v>
      </c>
      <c r="N291" s="8">
        <v>5</v>
      </c>
      <c r="O291" s="8">
        <v>1.3734</v>
      </c>
      <c r="P291" s="8">
        <v>0.61819999999999997</v>
      </c>
      <c r="Q291" s="8">
        <v>1.6648000000000001</v>
      </c>
      <c r="R291" s="8"/>
      <c r="S291" s="8"/>
      <c r="T291" s="8"/>
      <c r="U291" s="8">
        <v>6639</v>
      </c>
      <c r="V291">
        <f t="shared" si="28"/>
        <v>1327.8</v>
      </c>
      <c r="W291">
        <f t="shared" si="29"/>
        <v>0.27467999999999998</v>
      </c>
      <c r="X291">
        <f t="shared" si="30"/>
        <v>0.12364</v>
      </c>
      <c r="Y291">
        <f t="shared" si="31"/>
        <v>0.33296000000000003</v>
      </c>
    </row>
    <row r="292" spans="1:25" x14ac:dyDescent="0.25">
      <c r="B292" s="3" t="s">
        <v>32</v>
      </c>
      <c r="C292" s="3">
        <v>21</v>
      </c>
      <c r="D292" s="3">
        <v>11</v>
      </c>
      <c r="E292" s="3">
        <v>24</v>
      </c>
      <c r="F292" s="3">
        <v>43</v>
      </c>
      <c r="G292" s="3">
        <v>41.35</v>
      </c>
      <c r="H292" s="3">
        <v>15.2</v>
      </c>
      <c r="I292" s="3">
        <v>11.7</v>
      </c>
      <c r="J292" s="3">
        <v>12.3</v>
      </c>
      <c r="K292" s="3">
        <v>0.37</v>
      </c>
      <c r="L292" s="3">
        <v>0.56000000000000005</v>
      </c>
      <c r="M292" s="3">
        <v>0.37</v>
      </c>
      <c r="N292" s="3">
        <v>20</v>
      </c>
      <c r="O292" s="3">
        <v>0.18779999999999999</v>
      </c>
      <c r="P292" s="3">
        <v>2.6499999999999999E-2</v>
      </c>
      <c r="Q292" s="3">
        <v>0.23430000000000001</v>
      </c>
      <c r="R292" s="3">
        <v>3.94</v>
      </c>
      <c r="S292" s="3" t="s">
        <v>21</v>
      </c>
      <c r="T292" s="3">
        <f>4*3.14*R292^2</f>
        <v>194.976416</v>
      </c>
      <c r="U292" s="3"/>
      <c r="V292">
        <f t="shared" si="28"/>
        <v>0</v>
      </c>
      <c r="W292">
        <f t="shared" si="29"/>
        <v>9.389999999999999E-3</v>
      </c>
      <c r="X292">
        <f t="shared" si="30"/>
        <v>1.325E-3</v>
      </c>
      <c r="Y292">
        <f t="shared" si="31"/>
        <v>1.1715E-2</v>
      </c>
    </row>
    <row r="293" spans="1:25" x14ac:dyDescent="0.25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>
        <v>3.86</v>
      </c>
      <c r="S293" s="3" t="s">
        <v>21</v>
      </c>
      <c r="T293" s="3">
        <f t="shared" ref="T293:T296" si="33">4*3.14*R293^2</f>
        <v>187.13897600000001</v>
      </c>
      <c r="U293" s="3"/>
      <c r="V293" t="e">
        <f t="shared" si="28"/>
        <v>#DIV/0!</v>
      </c>
      <c r="W293" t="e">
        <f t="shared" si="29"/>
        <v>#DIV/0!</v>
      </c>
      <c r="X293" t="e">
        <f t="shared" si="30"/>
        <v>#DIV/0!</v>
      </c>
      <c r="Y293" t="e">
        <f t="shared" si="31"/>
        <v>#DIV/0!</v>
      </c>
    </row>
    <row r="294" spans="1:25" x14ac:dyDescent="0.25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>
        <v>3.38</v>
      </c>
      <c r="S294" s="3" t="s">
        <v>21</v>
      </c>
      <c r="T294" s="3">
        <f t="shared" si="33"/>
        <v>143.49046399999997</v>
      </c>
      <c r="U294" s="3"/>
      <c r="V294" t="e">
        <f t="shared" si="28"/>
        <v>#DIV/0!</v>
      </c>
      <c r="W294" t="e">
        <f t="shared" si="29"/>
        <v>#DIV/0!</v>
      </c>
      <c r="X294" t="e">
        <f t="shared" si="30"/>
        <v>#DIV/0!</v>
      </c>
      <c r="Y294" t="e">
        <f t="shared" si="31"/>
        <v>#DIV/0!</v>
      </c>
    </row>
    <row r="295" spans="1:25" x14ac:dyDescent="0.25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>
        <v>4.5599999999999996</v>
      </c>
      <c r="S295" s="3" t="s">
        <v>21</v>
      </c>
      <c r="T295" s="3">
        <f t="shared" si="33"/>
        <v>261.16761600000001</v>
      </c>
      <c r="U295" s="3"/>
      <c r="V295" t="e">
        <f t="shared" si="28"/>
        <v>#DIV/0!</v>
      </c>
      <c r="W295" t="e">
        <f t="shared" si="29"/>
        <v>#DIV/0!</v>
      </c>
      <c r="X295" t="e">
        <f t="shared" si="30"/>
        <v>#DIV/0!</v>
      </c>
      <c r="Y295" t="e">
        <f t="shared" si="31"/>
        <v>#DIV/0!</v>
      </c>
    </row>
    <row r="296" spans="1:25" x14ac:dyDescent="0.25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>
        <v>3</v>
      </c>
      <c r="S296" s="3" t="s">
        <v>21</v>
      </c>
      <c r="T296" s="3">
        <f t="shared" si="33"/>
        <v>113.04</v>
      </c>
      <c r="U296" s="3">
        <f>AVERAGEA(T292:T296)</f>
        <v>179.9626944</v>
      </c>
      <c r="V296" t="e">
        <f t="shared" si="28"/>
        <v>#DIV/0!</v>
      </c>
      <c r="W296" t="e">
        <f t="shared" si="29"/>
        <v>#DIV/0!</v>
      </c>
      <c r="X296" t="e">
        <f t="shared" si="30"/>
        <v>#DIV/0!</v>
      </c>
      <c r="Y296" t="e">
        <f t="shared" si="31"/>
        <v>#DIV/0!</v>
      </c>
    </row>
    <row r="297" spans="1:25" x14ac:dyDescent="0.25">
      <c r="B297" s="4" t="s">
        <v>15</v>
      </c>
      <c r="C297" s="4">
        <v>8</v>
      </c>
      <c r="D297" s="4">
        <v>8.5</v>
      </c>
      <c r="E297" s="4">
        <v>17.5</v>
      </c>
      <c r="F297" s="4">
        <v>5</v>
      </c>
      <c r="G297" s="4">
        <v>5.7</v>
      </c>
      <c r="H297" s="4">
        <v>22.1</v>
      </c>
      <c r="I297" s="4">
        <v>21.7</v>
      </c>
      <c r="J297" s="4">
        <v>17.100000000000001</v>
      </c>
      <c r="K297" s="4">
        <v>0.13</v>
      </c>
      <c r="L297" s="4">
        <v>0.23</v>
      </c>
      <c r="M297" s="4">
        <v>0.34</v>
      </c>
      <c r="N297" s="4">
        <v>20</v>
      </c>
      <c r="O297" s="4">
        <v>9.6799999999999997E-2</v>
      </c>
      <c r="P297" s="4">
        <v>3.6200000000000003E-2</v>
      </c>
      <c r="Q297" s="4">
        <v>0.20269999999999999</v>
      </c>
      <c r="R297" s="4">
        <v>0.8</v>
      </c>
      <c r="S297" s="4">
        <v>13.85</v>
      </c>
      <c r="T297" s="4">
        <f>(R297/2)^2*3.14*2*R297</f>
        <v>0.80384000000000011</v>
      </c>
      <c r="U297" s="4"/>
      <c r="V297">
        <f t="shared" si="28"/>
        <v>0</v>
      </c>
      <c r="W297">
        <f t="shared" si="29"/>
        <v>4.8399999999999997E-3</v>
      </c>
      <c r="X297">
        <f t="shared" si="30"/>
        <v>1.8100000000000002E-3</v>
      </c>
      <c r="Y297">
        <f t="shared" si="31"/>
        <v>1.0135E-2</v>
      </c>
    </row>
    <row r="298" spans="1:25" x14ac:dyDescent="0.25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>
        <v>0.78</v>
      </c>
      <c r="S298" s="4">
        <v>17.25</v>
      </c>
      <c r="T298" s="4">
        <f>(R298/2)^2*3.14*2*R298</f>
        <v>0.74504664000000009</v>
      </c>
      <c r="U298" s="4"/>
      <c r="V298" t="e">
        <f t="shared" si="28"/>
        <v>#DIV/0!</v>
      </c>
      <c r="W298" t="e">
        <f t="shared" si="29"/>
        <v>#DIV/0!</v>
      </c>
      <c r="X298" t="e">
        <f t="shared" si="30"/>
        <v>#DIV/0!</v>
      </c>
      <c r="Y298" t="e">
        <f t="shared" si="31"/>
        <v>#DIV/0!</v>
      </c>
    </row>
    <row r="299" spans="1:25" x14ac:dyDescent="0.25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>
        <v>0.67</v>
      </c>
      <c r="S299" s="4">
        <v>11.42</v>
      </c>
      <c r="T299" s="4">
        <f>(R299/2)^2*3.14*2*R299</f>
        <v>0.47219791000000011</v>
      </c>
      <c r="U299" s="4"/>
      <c r="V299" t="e">
        <f t="shared" si="28"/>
        <v>#DIV/0!</v>
      </c>
      <c r="W299" t="e">
        <f t="shared" si="29"/>
        <v>#DIV/0!</v>
      </c>
      <c r="X299" t="e">
        <f t="shared" si="30"/>
        <v>#DIV/0!</v>
      </c>
      <c r="Y299" t="e">
        <f t="shared" si="31"/>
        <v>#DIV/0!</v>
      </c>
    </row>
    <row r="300" spans="1:25" x14ac:dyDescent="0.25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>
        <v>0.61</v>
      </c>
      <c r="S300" s="4">
        <v>11.79</v>
      </c>
      <c r="T300" s="4">
        <f>(R300/2)^2*3.14*2*R300</f>
        <v>0.35636016999999998</v>
      </c>
      <c r="U300" s="4"/>
      <c r="V300" t="e">
        <f t="shared" si="28"/>
        <v>#DIV/0!</v>
      </c>
      <c r="W300" t="e">
        <f t="shared" si="29"/>
        <v>#DIV/0!</v>
      </c>
      <c r="X300" t="e">
        <f t="shared" si="30"/>
        <v>#DIV/0!</v>
      </c>
      <c r="Y300" t="e">
        <f t="shared" si="31"/>
        <v>#DIV/0!</v>
      </c>
    </row>
    <row r="301" spans="1:25" x14ac:dyDescent="0.25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>
        <v>0.59</v>
      </c>
      <c r="S301" s="4">
        <v>13.04</v>
      </c>
      <c r="T301" s="4">
        <f>(R301/2)^2*3.14*2*R301</f>
        <v>0.32244502999999991</v>
      </c>
      <c r="U301" s="4">
        <f>AVERAGEA(T297:T301)</f>
        <v>0.53997795000000004</v>
      </c>
      <c r="V301" t="e">
        <f t="shared" si="28"/>
        <v>#DIV/0!</v>
      </c>
      <c r="W301" t="e">
        <f t="shared" si="29"/>
        <v>#DIV/0!</v>
      </c>
      <c r="X301" t="e">
        <f t="shared" si="30"/>
        <v>#DIV/0!</v>
      </c>
      <c r="Y301" t="e">
        <f t="shared" si="31"/>
        <v>#DIV/0!</v>
      </c>
    </row>
    <row r="302" spans="1:25" x14ac:dyDescent="0.25">
      <c r="A302" s="2" t="s">
        <v>41</v>
      </c>
      <c r="B302" s="5" t="s">
        <v>23</v>
      </c>
      <c r="C302" s="5">
        <v>95</v>
      </c>
      <c r="D302" s="5">
        <v>34.5</v>
      </c>
      <c r="E302" s="5">
        <v>20</v>
      </c>
      <c r="F302" s="5">
        <v>3</v>
      </c>
      <c r="G302" s="5">
        <v>17.82</v>
      </c>
      <c r="H302" s="5">
        <v>45.8</v>
      </c>
      <c r="I302" s="5">
        <v>44.9</v>
      </c>
      <c r="J302" s="5">
        <v>47</v>
      </c>
      <c r="K302" s="5">
        <v>0.24</v>
      </c>
      <c r="L302" s="5">
        <v>0.25</v>
      </c>
      <c r="M302" s="5">
        <v>0.26</v>
      </c>
      <c r="N302" s="5">
        <v>5</v>
      </c>
      <c r="O302" s="5">
        <v>1.0719000000000001</v>
      </c>
      <c r="P302" s="5">
        <v>0.23710000000000001</v>
      </c>
      <c r="Q302" s="5">
        <v>1.5236000000000001</v>
      </c>
      <c r="R302" s="5"/>
      <c r="S302" s="5"/>
      <c r="T302" s="5"/>
      <c r="U302" s="5">
        <v>4462</v>
      </c>
      <c r="V302">
        <f t="shared" si="28"/>
        <v>892.4</v>
      </c>
      <c r="W302">
        <f t="shared" si="29"/>
        <v>0.21438000000000001</v>
      </c>
      <c r="X302">
        <f t="shared" si="30"/>
        <v>4.7420000000000004E-2</v>
      </c>
      <c r="Y302">
        <f t="shared" si="31"/>
        <v>0.30471999999999999</v>
      </c>
    </row>
    <row r="303" spans="1:25" x14ac:dyDescent="0.25">
      <c r="B303" s="6" t="s">
        <v>24</v>
      </c>
      <c r="C303" s="6">
        <v>7</v>
      </c>
      <c r="D303" s="6">
        <v>5</v>
      </c>
      <c r="E303" s="6">
        <v>4</v>
      </c>
      <c r="F303" s="6">
        <v>64</v>
      </c>
      <c r="G303" s="6">
        <v>20.2</v>
      </c>
      <c r="H303" s="6">
        <v>8.1</v>
      </c>
      <c r="I303" s="6">
        <v>12.3</v>
      </c>
      <c r="J303" s="6">
        <v>8.1999999999999993</v>
      </c>
      <c r="K303" s="6">
        <v>0.18</v>
      </c>
      <c r="L303" s="6">
        <v>0.25</v>
      </c>
      <c r="M303" s="6">
        <v>0.33</v>
      </c>
      <c r="N303" s="6">
        <v>10</v>
      </c>
      <c r="O303" s="6">
        <v>5.2699999999999997E-2</v>
      </c>
      <c r="P303" s="6">
        <v>2.8400000000000002E-2</v>
      </c>
      <c r="Q303" s="6">
        <v>0.18110000000000001</v>
      </c>
      <c r="R303" s="6"/>
      <c r="S303" s="6"/>
      <c r="T303" s="6"/>
      <c r="U303" s="6">
        <v>728</v>
      </c>
      <c r="V303">
        <f t="shared" si="28"/>
        <v>72.8</v>
      </c>
      <c r="W303">
        <f t="shared" si="29"/>
        <v>5.2699999999999995E-3</v>
      </c>
      <c r="X303">
        <f t="shared" si="30"/>
        <v>2.8400000000000001E-3</v>
      </c>
      <c r="Y303">
        <f t="shared" si="31"/>
        <v>1.8110000000000001E-2</v>
      </c>
    </row>
    <row r="304" spans="1:25" x14ac:dyDescent="0.25">
      <c r="B304" s="7" t="s">
        <v>16</v>
      </c>
      <c r="C304" s="7">
        <v>10</v>
      </c>
      <c r="D304" s="7">
        <v>24</v>
      </c>
      <c r="E304" s="7">
        <v>23</v>
      </c>
      <c r="F304" s="7">
        <v>4</v>
      </c>
      <c r="G304" s="7">
        <v>4</v>
      </c>
      <c r="H304" s="7">
        <v>14.3</v>
      </c>
      <c r="I304" s="7">
        <v>13</v>
      </c>
      <c r="J304" s="7">
        <v>7.8</v>
      </c>
      <c r="K304" s="7">
        <v>0.23</v>
      </c>
      <c r="L304" s="7">
        <v>0.18</v>
      </c>
      <c r="M304" s="7">
        <v>0.06</v>
      </c>
      <c r="N304" s="7">
        <v>5</v>
      </c>
      <c r="O304" s="7">
        <v>0.1353</v>
      </c>
      <c r="P304" s="7">
        <v>9.4100000000000003E-2</v>
      </c>
      <c r="Q304" s="7">
        <v>0.18390000000000001</v>
      </c>
      <c r="R304" s="7">
        <v>0.3</v>
      </c>
      <c r="S304" s="7">
        <v>162.5</v>
      </c>
      <c r="T304" s="7">
        <f t="shared" ref="T304:T313" si="34">(R304/2)^2*3.14*2*R304</f>
        <v>4.2390000000000004E-2</v>
      </c>
      <c r="U304" s="7"/>
      <c r="V304">
        <f t="shared" si="28"/>
        <v>0</v>
      </c>
      <c r="W304">
        <f t="shared" si="29"/>
        <v>2.7060000000000001E-2</v>
      </c>
      <c r="X304">
        <f t="shared" si="30"/>
        <v>1.882E-2</v>
      </c>
      <c r="Y304">
        <f t="shared" si="31"/>
        <v>3.678E-2</v>
      </c>
    </row>
    <row r="305" spans="1:25" x14ac:dyDescent="0.25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>
        <v>0.38</v>
      </c>
      <c r="S305" s="7">
        <v>163</v>
      </c>
      <c r="T305" s="7">
        <f t="shared" si="34"/>
        <v>8.614904000000001E-2</v>
      </c>
      <c r="U305" s="7"/>
      <c r="V305" t="e">
        <f t="shared" si="28"/>
        <v>#DIV/0!</v>
      </c>
      <c r="W305" t="e">
        <f t="shared" si="29"/>
        <v>#DIV/0!</v>
      </c>
      <c r="X305" t="e">
        <f t="shared" si="30"/>
        <v>#DIV/0!</v>
      </c>
      <c r="Y305" t="e">
        <f t="shared" si="31"/>
        <v>#DIV/0!</v>
      </c>
    </row>
    <row r="306" spans="1:25" x14ac:dyDescent="0.25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>
        <v>0.45</v>
      </c>
      <c r="S306" s="7">
        <v>159.5</v>
      </c>
      <c r="T306" s="7">
        <f t="shared" si="34"/>
        <v>0.14306625000000001</v>
      </c>
      <c r="U306" s="7"/>
      <c r="V306" t="e">
        <f t="shared" si="28"/>
        <v>#DIV/0!</v>
      </c>
      <c r="W306" t="e">
        <f t="shared" si="29"/>
        <v>#DIV/0!</v>
      </c>
      <c r="X306" t="e">
        <f t="shared" si="30"/>
        <v>#DIV/0!</v>
      </c>
      <c r="Y306" t="e">
        <f t="shared" si="31"/>
        <v>#DIV/0!</v>
      </c>
    </row>
    <row r="307" spans="1:25" x14ac:dyDescent="0.25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>
        <v>0.37</v>
      </c>
      <c r="S307" s="7">
        <v>145</v>
      </c>
      <c r="T307" s="7">
        <f t="shared" si="34"/>
        <v>7.9525209999999999E-2</v>
      </c>
      <c r="U307" s="7"/>
      <c r="V307" t="e">
        <f t="shared" si="28"/>
        <v>#DIV/0!</v>
      </c>
      <c r="W307" t="e">
        <f t="shared" si="29"/>
        <v>#DIV/0!</v>
      </c>
      <c r="X307" t="e">
        <f t="shared" si="30"/>
        <v>#DIV/0!</v>
      </c>
      <c r="Y307" t="e">
        <f t="shared" si="31"/>
        <v>#DIV/0!</v>
      </c>
    </row>
    <row r="308" spans="1:25" x14ac:dyDescent="0.25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>
        <v>0.37</v>
      </c>
      <c r="S308" s="7">
        <v>129</v>
      </c>
      <c r="T308" s="7">
        <f t="shared" si="34"/>
        <v>7.9525209999999999E-2</v>
      </c>
      <c r="U308" s="7">
        <f>AVERAGEA(T304:T308)</f>
        <v>8.6131142000000008E-2</v>
      </c>
      <c r="V308" t="e">
        <f t="shared" si="28"/>
        <v>#DIV/0!</v>
      </c>
      <c r="W308" t="e">
        <f t="shared" si="29"/>
        <v>#DIV/0!</v>
      </c>
      <c r="X308" t="e">
        <f t="shared" si="30"/>
        <v>#DIV/0!</v>
      </c>
      <c r="Y308" t="e">
        <f t="shared" si="31"/>
        <v>#DIV/0!</v>
      </c>
    </row>
    <row r="309" spans="1:25" x14ac:dyDescent="0.25">
      <c r="B309" s="8" t="s">
        <v>18</v>
      </c>
      <c r="C309" s="8">
        <v>40</v>
      </c>
      <c r="D309" s="8">
        <v>30</v>
      </c>
      <c r="E309" s="8"/>
      <c r="F309" s="8">
        <v>2</v>
      </c>
      <c r="G309" s="8">
        <v>106.45</v>
      </c>
      <c r="H309" s="8">
        <v>7.5</v>
      </c>
      <c r="I309" s="8">
        <v>13.6</v>
      </c>
      <c r="J309" s="8">
        <v>14.6</v>
      </c>
      <c r="K309" s="8">
        <v>0.28999999999999998</v>
      </c>
      <c r="L309" s="8">
        <v>0.36</v>
      </c>
      <c r="M309" s="8">
        <v>0.14000000000000001</v>
      </c>
      <c r="N309" s="8">
        <v>100</v>
      </c>
      <c r="O309" s="8">
        <v>4.2999999999999997E-2</v>
      </c>
      <c r="P309" s="8">
        <v>1.7999999999999999E-2</v>
      </c>
      <c r="Q309" s="8">
        <v>6.3600000000000004E-2</v>
      </c>
      <c r="R309" s="8">
        <v>0.31</v>
      </c>
      <c r="S309" s="8">
        <v>2.04</v>
      </c>
      <c r="T309" s="8">
        <f t="shared" si="34"/>
        <v>4.677187E-2</v>
      </c>
      <c r="U309" s="8"/>
      <c r="V309">
        <f t="shared" si="28"/>
        <v>0</v>
      </c>
      <c r="W309">
        <f t="shared" si="29"/>
        <v>4.2999999999999999E-4</v>
      </c>
      <c r="X309">
        <f t="shared" si="30"/>
        <v>1.7999999999999998E-4</v>
      </c>
      <c r="Y309">
        <f t="shared" si="31"/>
        <v>6.3600000000000006E-4</v>
      </c>
    </row>
    <row r="310" spans="1:25" x14ac:dyDescent="0.25"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>
        <v>0.39</v>
      </c>
      <c r="S310" s="8">
        <v>2.02</v>
      </c>
      <c r="T310" s="8">
        <f t="shared" si="34"/>
        <v>9.3130830000000012E-2</v>
      </c>
      <c r="U310" s="8"/>
      <c r="V310" t="e">
        <f t="shared" si="28"/>
        <v>#DIV/0!</v>
      </c>
      <c r="W310" t="e">
        <f t="shared" si="29"/>
        <v>#DIV/0!</v>
      </c>
      <c r="X310" t="e">
        <f t="shared" si="30"/>
        <v>#DIV/0!</v>
      </c>
      <c r="Y310" t="e">
        <f t="shared" si="31"/>
        <v>#DIV/0!</v>
      </c>
    </row>
    <row r="311" spans="1:25" x14ac:dyDescent="0.25"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>
        <v>0.32</v>
      </c>
      <c r="S311" s="8">
        <v>1.61</v>
      </c>
      <c r="T311" s="8">
        <f t="shared" si="34"/>
        <v>5.1445760000000007E-2</v>
      </c>
      <c r="U311" s="8"/>
      <c r="V311" t="e">
        <f t="shared" si="28"/>
        <v>#DIV/0!</v>
      </c>
      <c r="W311" t="e">
        <f t="shared" si="29"/>
        <v>#DIV/0!</v>
      </c>
      <c r="X311" t="e">
        <f t="shared" si="30"/>
        <v>#DIV/0!</v>
      </c>
      <c r="Y311" t="e">
        <f t="shared" si="31"/>
        <v>#DIV/0!</v>
      </c>
    </row>
    <row r="312" spans="1:25" x14ac:dyDescent="0.25"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>
        <v>0.32</v>
      </c>
      <c r="S312" s="8">
        <v>1.72</v>
      </c>
      <c r="T312" s="8">
        <f t="shared" si="34"/>
        <v>5.1445760000000007E-2</v>
      </c>
      <c r="U312" s="8"/>
      <c r="V312" t="e">
        <f t="shared" si="28"/>
        <v>#DIV/0!</v>
      </c>
      <c r="W312" t="e">
        <f t="shared" si="29"/>
        <v>#DIV/0!</v>
      </c>
      <c r="X312" t="e">
        <f t="shared" si="30"/>
        <v>#DIV/0!</v>
      </c>
      <c r="Y312" t="e">
        <f t="shared" si="31"/>
        <v>#DIV/0!</v>
      </c>
    </row>
    <row r="313" spans="1:25" x14ac:dyDescent="0.25"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>
        <v>0.47</v>
      </c>
      <c r="S313" s="8">
        <v>1.73</v>
      </c>
      <c r="T313" s="8">
        <f t="shared" si="34"/>
        <v>0.16300210999999998</v>
      </c>
      <c r="U313" s="8">
        <f>AVERAGEA(T309:T313)</f>
        <v>8.1159266000000008E-2</v>
      </c>
      <c r="V313" t="e">
        <f t="shared" si="28"/>
        <v>#DIV/0!</v>
      </c>
      <c r="W313" t="e">
        <f t="shared" si="29"/>
        <v>#DIV/0!</v>
      </c>
      <c r="X313" t="e">
        <f t="shared" si="30"/>
        <v>#DIV/0!</v>
      </c>
      <c r="Y313" t="e">
        <f t="shared" si="31"/>
        <v>#DIV/0!</v>
      </c>
    </row>
    <row r="314" spans="1:25" x14ac:dyDescent="0.25">
      <c r="A314" s="2" t="s">
        <v>94</v>
      </c>
      <c r="B314" s="5" t="s">
        <v>35</v>
      </c>
      <c r="C314" s="5">
        <v>32</v>
      </c>
      <c r="D314" s="5">
        <v>10</v>
      </c>
      <c r="E314" s="5">
        <v>22</v>
      </c>
      <c r="F314" s="5">
        <v>11</v>
      </c>
      <c r="G314" s="5">
        <v>10.27</v>
      </c>
      <c r="H314" s="5">
        <v>32</v>
      </c>
      <c r="I314" s="5">
        <v>25.7</v>
      </c>
      <c r="J314" s="5">
        <v>29.7</v>
      </c>
      <c r="K314" s="5">
        <v>0.16</v>
      </c>
      <c r="L314" s="5">
        <v>0.22</v>
      </c>
      <c r="M314" s="5">
        <v>0.17</v>
      </c>
      <c r="N314" s="5">
        <v>5</v>
      </c>
      <c r="O314" s="5">
        <v>0.13</v>
      </c>
      <c r="P314" s="5">
        <v>3.2099999999999997E-2</v>
      </c>
      <c r="Q314" s="5">
        <v>0.3241</v>
      </c>
      <c r="R314" s="5"/>
      <c r="S314" s="5"/>
      <c r="T314" s="5"/>
      <c r="U314" s="5">
        <v>611</v>
      </c>
      <c r="V314">
        <f t="shared" si="28"/>
        <v>122.2</v>
      </c>
      <c r="W314">
        <f t="shared" si="29"/>
        <v>2.6000000000000002E-2</v>
      </c>
      <c r="X314">
        <f t="shared" si="30"/>
        <v>6.4199999999999995E-3</v>
      </c>
      <c r="Y314">
        <f t="shared" si="31"/>
        <v>6.4820000000000003E-2</v>
      </c>
    </row>
    <row r="315" spans="1:25" x14ac:dyDescent="0.25">
      <c r="B315" s="6" t="s">
        <v>71</v>
      </c>
      <c r="C315" s="6">
        <v>31</v>
      </c>
      <c r="D315" s="6">
        <v>16</v>
      </c>
      <c r="E315" s="6">
        <v>12</v>
      </c>
      <c r="F315" s="6">
        <v>3</v>
      </c>
      <c r="G315" s="6">
        <v>2.98</v>
      </c>
      <c r="H315" s="6">
        <v>27.9</v>
      </c>
      <c r="I315" s="6">
        <v>43.5</v>
      </c>
      <c r="J315" s="6" t="s">
        <v>171</v>
      </c>
      <c r="K315" s="6">
        <v>0.84</v>
      </c>
      <c r="L315" s="6">
        <v>0.63</v>
      </c>
      <c r="M315" s="6">
        <v>0.43</v>
      </c>
      <c r="N315" s="6">
        <v>5</v>
      </c>
      <c r="O315" s="6">
        <v>0.88</v>
      </c>
      <c r="P315" s="6">
        <v>0.16550000000000001</v>
      </c>
      <c r="Q315" s="6">
        <v>1.3152999999999999</v>
      </c>
      <c r="R315" s="6"/>
      <c r="S315" s="6"/>
      <c r="T315" s="6"/>
      <c r="U315" s="6">
        <v>2284</v>
      </c>
      <c r="V315">
        <f t="shared" si="28"/>
        <v>456.8</v>
      </c>
      <c r="W315">
        <f t="shared" si="29"/>
        <v>0.17599999999999999</v>
      </c>
      <c r="X315">
        <f t="shared" si="30"/>
        <v>3.3100000000000004E-2</v>
      </c>
      <c r="Y315">
        <f t="shared" si="31"/>
        <v>0.26305999999999996</v>
      </c>
    </row>
    <row r="316" spans="1:25" x14ac:dyDescent="0.25">
      <c r="B316" s="7" t="s">
        <v>73</v>
      </c>
      <c r="C316" s="7">
        <v>3.5</v>
      </c>
      <c r="D316" s="7">
        <v>8.5</v>
      </c>
      <c r="E316" s="7">
        <v>5</v>
      </c>
      <c r="F316" s="7">
        <v>26</v>
      </c>
      <c r="G316" s="7">
        <v>2.12</v>
      </c>
      <c r="H316" s="7">
        <v>35.4</v>
      </c>
      <c r="I316" s="7">
        <v>29.6</v>
      </c>
      <c r="J316" s="7" t="s">
        <v>172</v>
      </c>
      <c r="K316" s="7">
        <v>7.0000000000000007E-2</v>
      </c>
      <c r="L316" s="7">
        <v>7.0000000000000007E-2</v>
      </c>
      <c r="M316" s="7">
        <v>0.18</v>
      </c>
      <c r="N316" s="7">
        <v>5</v>
      </c>
      <c r="O316" s="7">
        <v>0.05</v>
      </c>
      <c r="P316" s="7">
        <v>2.9700000000000001E-2</v>
      </c>
      <c r="Q316" s="7">
        <v>0.14080000000000001</v>
      </c>
      <c r="R316" s="7"/>
      <c r="S316" s="7"/>
      <c r="T316" s="7"/>
      <c r="U316" s="7">
        <v>507</v>
      </c>
      <c r="V316">
        <f t="shared" si="28"/>
        <v>101.4</v>
      </c>
      <c r="W316">
        <f t="shared" si="29"/>
        <v>0.01</v>
      </c>
      <c r="X316">
        <f t="shared" si="30"/>
        <v>5.94E-3</v>
      </c>
      <c r="Y316">
        <f t="shared" si="31"/>
        <v>2.8160000000000001E-2</v>
      </c>
    </row>
    <row r="317" spans="1:25" x14ac:dyDescent="0.25">
      <c r="B317" s="8" t="s">
        <v>32</v>
      </c>
      <c r="C317" s="8">
        <v>34</v>
      </c>
      <c r="D317" s="8">
        <v>33</v>
      </c>
      <c r="E317" s="8">
        <v>15</v>
      </c>
      <c r="F317" s="8">
        <v>4</v>
      </c>
      <c r="G317" s="8">
        <v>23.95</v>
      </c>
      <c r="H317" s="8">
        <v>37</v>
      </c>
      <c r="I317" s="8">
        <v>68.900000000000006</v>
      </c>
      <c r="J317" s="8">
        <v>57.5</v>
      </c>
      <c r="K317" s="8">
        <v>0.88</v>
      </c>
      <c r="L317" s="8">
        <v>0.69</v>
      </c>
      <c r="M317" s="8">
        <v>0.77</v>
      </c>
      <c r="N317" s="8">
        <v>10</v>
      </c>
      <c r="O317" s="8">
        <v>0.03</v>
      </c>
      <c r="P317" s="8">
        <v>1.5E-3</v>
      </c>
      <c r="Q317" s="8">
        <v>2.12E-2</v>
      </c>
      <c r="R317" s="8">
        <v>0.93</v>
      </c>
      <c r="S317" s="8">
        <v>3.23</v>
      </c>
      <c r="T317" s="8">
        <f t="shared" ref="T317:T326" si="35">(R317/2)^2*3.14*2*R317</f>
        <v>1.2628404900000003</v>
      </c>
      <c r="U317" s="8"/>
      <c r="V317">
        <f t="shared" si="28"/>
        <v>0</v>
      </c>
      <c r="W317">
        <f t="shared" si="29"/>
        <v>3.0000000000000001E-3</v>
      </c>
      <c r="X317">
        <f t="shared" si="30"/>
        <v>1.5000000000000001E-4</v>
      </c>
      <c r="Y317">
        <f t="shared" si="31"/>
        <v>2.1199999999999999E-3</v>
      </c>
    </row>
    <row r="318" spans="1:25" x14ac:dyDescent="0.25"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>
        <v>1.0900000000000001</v>
      </c>
      <c r="S318" s="8">
        <v>3.55</v>
      </c>
      <c r="T318" s="8">
        <f t="shared" si="35"/>
        <v>2.0331955300000004</v>
      </c>
      <c r="U318" s="8"/>
      <c r="V318" t="e">
        <f t="shared" si="28"/>
        <v>#DIV/0!</v>
      </c>
      <c r="W318" t="e">
        <f t="shared" si="29"/>
        <v>#DIV/0!</v>
      </c>
      <c r="X318" t="e">
        <f t="shared" si="30"/>
        <v>#DIV/0!</v>
      </c>
      <c r="Y318" t="e">
        <f t="shared" si="31"/>
        <v>#DIV/0!</v>
      </c>
    </row>
    <row r="319" spans="1:25" x14ac:dyDescent="0.25"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>
        <v>0.89</v>
      </c>
      <c r="S319" s="8">
        <v>3.25</v>
      </c>
      <c r="T319" s="8">
        <f t="shared" si="35"/>
        <v>1.1068013300000001</v>
      </c>
      <c r="U319" s="8"/>
      <c r="V319" t="e">
        <f t="shared" si="28"/>
        <v>#DIV/0!</v>
      </c>
      <c r="W319" t="e">
        <f t="shared" si="29"/>
        <v>#DIV/0!</v>
      </c>
      <c r="X319" t="e">
        <f t="shared" si="30"/>
        <v>#DIV/0!</v>
      </c>
      <c r="Y319" t="e">
        <f t="shared" si="31"/>
        <v>#DIV/0!</v>
      </c>
    </row>
    <row r="320" spans="1:25" x14ac:dyDescent="0.25"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>
        <v>1.1299999999999999</v>
      </c>
      <c r="S320" s="8">
        <v>2.72</v>
      </c>
      <c r="T320" s="8">
        <f t="shared" si="35"/>
        <v>2.265348289999999</v>
      </c>
      <c r="U320" s="8"/>
      <c r="V320" t="e">
        <f t="shared" si="28"/>
        <v>#DIV/0!</v>
      </c>
      <c r="W320" t="e">
        <f t="shared" si="29"/>
        <v>#DIV/0!</v>
      </c>
      <c r="X320" t="e">
        <f t="shared" si="30"/>
        <v>#DIV/0!</v>
      </c>
      <c r="Y320" t="e">
        <f t="shared" si="31"/>
        <v>#DIV/0!</v>
      </c>
    </row>
    <row r="321" spans="1:25" x14ac:dyDescent="0.25"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>
        <v>1.17</v>
      </c>
      <c r="S321" s="8">
        <v>3.66</v>
      </c>
      <c r="T321" s="8">
        <f t="shared" si="35"/>
        <v>2.5145324099999997</v>
      </c>
      <c r="U321" s="8">
        <f>AVERAGEA(T317:T321)</f>
        <v>1.8365436099999997</v>
      </c>
      <c r="V321" t="e">
        <f t="shared" si="28"/>
        <v>#DIV/0!</v>
      </c>
      <c r="W321" t="e">
        <f t="shared" si="29"/>
        <v>#DIV/0!</v>
      </c>
      <c r="X321" t="e">
        <f t="shared" si="30"/>
        <v>#DIV/0!</v>
      </c>
      <c r="Y321" t="e">
        <f t="shared" si="31"/>
        <v>#DIV/0!</v>
      </c>
    </row>
    <row r="322" spans="1:25" x14ac:dyDescent="0.25">
      <c r="B322" s="3" t="s">
        <v>16</v>
      </c>
      <c r="C322" s="3">
        <v>26</v>
      </c>
      <c r="D322" s="3">
        <v>10</v>
      </c>
      <c r="E322" s="3">
        <v>12</v>
      </c>
      <c r="F322" s="3">
        <v>4</v>
      </c>
      <c r="G322" s="3">
        <v>4.6100000000000003</v>
      </c>
      <c r="H322" s="3">
        <v>45</v>
      </c>
      <c r="I322" s="3">
        <v>58.5</v>
      </c>
      <c r="J322" s="3">
        <v>52.2</v>
      </c>
      <c r="K322" s="3">
        <v>0.31</v>
      </c>
      <c r="L322" s="3">
        <v>0.2</v>
      </c>
      <c r="M322" s="3">
        <v>0.3</v>
      </c>
      <c r="N322" s="3">
        <v>5</v>
      </c>
      <c r="O322" s="3">
        <v>0.19</v>
      </c>
      <c r="P322" s="3">
        <v>0.13669999999999999</v>
      </c>
      <c r="Q322" s="3">
        <v>0.27060000000000001</v>
      </c>
      <c r="R322" s="3">
        <v>0.5</v>
      </c>
      <c r="S322" s="3">
        <v>184.5</v>
      </c>
      <c r="T322" s="3">
        <f t="shared" si="35"/>
        <v>0.19625000000000001</v>
      </c>
      <c r="U322" s="3"/>
      <c r="V322">
        <f t="shared" ref="V322:V385" si="36">U322/N322</f>
        <v>0</v>
      </c>
      <c r="W322">
        <f t="shared" si="29"/>
        <v>3.7999999999999999E-2</v>
      </c>
      <c r="X322">
        <f t="shared" si="30"/>
        <v>2.7339999999999996E-2</v>
      </c>
      <c r="Y322">
        <f t="shared" si="31"/>
        <v>5.4120000000000001E-2</v>
      </c>
    </row>
    <row r="323" spans="1:25" x14ac:dyDescent="0.25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>
        <v>0.47</v>
      </c>
      <c r="S323" s="3">
        <v>226</v>
      </c>
      <c r="T323" s="3">
        <f t="shared" si="35"/>
        <v>0.16300210999999998</v>
      </c>
      <c r="U323" s="3"/>
      <c r="V323" t="e">
        <f t="shared" si="36"/>
        <v>#DIV/0!</v>
      </c>
      <c r="W323" t="e">
        <f t="shared" ref="W323:W386" si="37">O323/N323</f>
        <v>#DIV/0!</v>
      </c>
      <c r="X323" t="e">
        <f t="shared" ref="X323:X386" si="38">P323/N323</f>
        <v>#DIV/0!</v>
      </c>
      <c r="Y323" t="e">
        <f t="shared" ref="Y323:Y386" si="39">Q323/N323</f>
        <v>#DIV/0!</v>
      </c>
    </row>
    <row r="324" spans="1:25" x14ac:dyDescent="0.25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>
        <v>0.43</v>
      </c>
      <c r="S324" s="3">
        <v>158</v>
      </c>
      <c r="T324" s="3">
        <f t="shared" si="35"/>
        <v>0.12482598999999998</v>
      </c>
      <c r="U324" s="3"/>
      <c r="V324" t="e">
        <f t="shared" si="36"/>
        <v>#DIV/0!</v>
      </c>
      <c r="W324" t="e">
        <f t="shared" si="37"/>
        <v>#DIV/0!</v>
      </c>
      <c r="X324" t="e">
        <f t="shared" si="38"/>
        <v>#DIV/0!</v>
      </c>
      <c r="Y324" t="e">
        <f t="shared" si="39"/>
        <v>#DIV/0!</v>
      </c>
    </row>
    <row r="325" spans="1:25" x14ac:dyDescent="0.25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>
        <v>0.34</v>
      </c>
      <c r="S325" s="3">
        <v>203</v>
      </c>
      <c r="T325" s="3">
        <f t="shared" si="35"/>
        <v>6.1707280000000017E-2</v>
      </c>
      <c r="U325" s="3"/>
      <c r="V325" t="e">
        <f t="shared" si="36"/>
        <v>#DIV/0!</v>
      </c>
      <c r="W325" t="e">
        <f t="shared" si="37"/>
        <v>#DIV/0!</v>
      </c>
      <c r="X325" t="e">
        <f t="shared" si="38"/>
        <v>#DIV/0!</v>
      </c>
      <c r="Y325" t="e">
        <f t="shared" si="39"/>
        <v>#DIV/0!</v>
      </c>
    </row>
    <row r="326" spans="1:25" x14ac:dyDescent="0.25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>
        <v>0.4</v>
      </c>
      <c r="S326" s="3">
        <v>199.5</v>
      </c>
      <c r="T326" s="3">
        <f t="shared" si="35"/>
        <v>0.10048000000000001</v>
      </c>
      <c r="U326" s="3">
        <f>AVERAGEA(T322:T326)</f>
        <v>0.12925307599999999</v>
      </c>
      <c r="V326" t="e">
        <f t="shared" si="36"/>
        <v>#DIV/0!</v>
      </c>
      <c r="W326" t="e">
        <f t="shared" si="37"/>
        <v>#DIV/0!</v>
      </c>
      <c r="X326" t="e">
        <f t="shared" si="38"/>
        <v>#DIV/0!</v>
      </c>
      <c r="Y326" t="e">
        <f t="shared" si="39"/>
        <v>#DIV/0!</v>
      </c>
    </row>
    <row r="327" spans="1:25" x14ac:dyDescent="0.25">
      <c r="A327" s="2" t="s">
        <v>95</v>
      </c>
      <c r="B327" s="5" t="s">
        <v>23</v>
      </c>
      <c r="C327" s="5">
        <v>19.5</v>
      </c>
      <c r="D327" s="5">
        <v>15</v>
      </c>
      <c r="E327" s="5">
        <v>5</v>
      </c>
      <c r="F327" s="5">
        <v>3</v>
      </c>
      <c r="G327" s="5">
        <v>6.49</v>
      </c>
      <c r="H327" s="5">
        <v>54</v>
      </c>
      <c r="I327" s="5">
        <v>63.2</v>
      </c>
      <c r="J327" s="5">
        <v>60.2</v>
      </c>
      <c r="K327" s="5">
        <v>0.28000000000000003</v>
      </c>
      <c r="L327" s="5">
        <v>0.39</v>
      </c>
      <c r="M327" s="5">
        <v>0.32</v>
      </c>
      <c r="N327" s="5">
        <v>5</v>
      </c>
      <c r="O327" s="5">
        <v>1.3795999999999999</v>
      </c>
      <c r="P327" s="5">
        <v>0.21479999999999999</v>
      </c>
      <c r="Q327" s="5">
        <v>1.6788000000000001</v>
      </c>
      <c r="R327" s="5"/>
      <c r="S327" s="5"/>
      <c r="T327" s="5"/>
      <c r="U327" s="5">
        <v>4413</v>
      </c>
      <c r="V327">
        <f t="shared" si="36"/>
        <v>882.6</v>
      </c>
      <c r="W327">
        <f t="shared" si="37"/>
        <v>0.27592</v>
      </c>
      <c r="X327">
        <f t="shared" si="38"/>
        <v>4.2959999999999998E-2</v>
      </c>
      <c r="Y327">
        <f t="shared" si="39"/>
        <v>0.33576</v>
      </c>
    </row>
    <row r="328" spans="1:25" x14ac:dyDescent="0.25">
      <c r="B328" s="6" t="s">
        <v>73</v>
      </c>
      <c r="C328" s="6">
        <v>6</v>
      </c>
      <c r="D328" s="6">
        <v>5</v>
      </c>
      <c r="E328" s="6">
        <v>4.5</v>
      </c>
      <c r="F328" s="6">
        <v>25</v>
      </c>
      <c r="G328" s="6">
        <v>1.71</v>
      </c>
      <c r="H328" s="6">
        <v>61</v>
      </c>
      <c r="I328" s="6">
        <v>52.7</v>
      </c>
      <c r="J328" s="6">
        <v>59.8</v>
      </c>
      <c r="K328" s="6">
        <v>0.13</v>
      </c>
      <c r="L328" s="6">
        <v>0.14000000000000001</v>
      </c>
      <c r="M328" s="6">
        <v>0.2</v>
      </c>
      <c r="N328" s="6">
        <v>10</v>
      </c>
      <c r="O328" s="6">
        <v>0.1072</v>
      </c>
      <c r="P328" s="6">
        <v>4.9299999999999997E-2</v>
      </c>
      <c r="Q328" s="6">
        <v>0.2402</v>
      </c>
      <c r="R328" s="6"/>
      <c r="S328" s="6"/>
      <c r="T328" s="6"/>
      <c r="U328" s="6">
        <v>885</v>
      </c>
      <c r="V328">
        <f t="shared" si="36"/>
        <v>88.5</v>
      </c>
      <c r="W328">
        <f t="shared" si="37"/>
        <v>1.072E-2</v>
      </c>
      <c r="X328">
        <f t="shared" si="38"/>
        <v>4.9299999999999995E-3</v>
      </c>
      <c r="Y328">
        <f t="shared" si="39"/>
        <v>2.402E-2</v>
      </c>
    </row>
    <row r="329" spans="1:25" x14ac:dyDescent="0.25">
      <c r="B329" s="7" t="s">
        <v>39</v>
      </c>
      <c r="C329" s="7">
        <v>15.5</v>
      </c>
      <c r="D329" s="7">
        <v>24</v>
      </c>
      <c r="E329" s="7">
        <v>17</v>
      </c>
      <c r="F329" s="7">
        <v>3</v>
      </c>
      <c r="G329" s="7">
        <v>2.27</v>
      </c>
      <c r="H329" s="7">
        <v>26.1</v>
      </c>
      <c r="I329" s="7">
        <v>25.1</v>
      </c>
      <c r="J329" s="7">
        <v>18.5</v>
      </c>
      <c r="K329" s="7">
        <v>0.18</v>
      </c>
      <c r="L329" s="7">
        <v>0.19</v>
      </c>
      <c r="M329" s="7">
        <v>0.19</v>
      </c>
      <c r="N329" s="7">
        <v>15</v>
      </c>
      <c r="O329" s="7">
        <v>4.48E-2</v>
      </c>
      <c r="P329" s="7">
        <v>1.7899999999999999E-2</v>
      </c>
      <c r="Q329" s="7">
        <v>7.0000000000000007E-2</v>
      </c>
      <c r="R329" s="7"/>
      <c r="S329" s="7"/>
      <c r="T329" s="7"/>
      <c r="U329" s="7">
        <v>34.700000000000003</v>
      </c>
      <c r="V329">
        <f t="shared" si="36"/>
        <v>2.3133333333333335</v>
      </c>
      <c r="W329">
        <f t="shared" si="37"/>
        <v>2.9866666666666665E-3</v>
      </c>
      <c r="X329">
        <f t="shared" si="38"/>
        <v>1.1933333333333334E-3</v>
      </c>
      <c r="Y329">
        <f t="shared" si="39"/>
        <v>4.6666666666666671E-3</v>
      </c>
    </row>
    <row r="330" spans="1:25" x14ac:dyDescent="0.25">
      <c r="B330" s="8" t="s">
        <v>27</v>
      </c>
      <c r="C330" s="8">
        <v>58</v>
      </c>
      <c r="D330" s="8"/>
      <c r="E330" s="8"/>
      <c r="F330" s="8">
        <v>1</v>
      </c>
      <c r="G330" s="8">
        <v>18.89</v>
      </c>
      <c r="H330" s="8">
        <v>29.5</v>
      </c>
      <c r="I330" s="8">
        <v>30.8</v>
      </c>
      <c r="J330" s="8">
        <v>27.1</v>
      </c>
      <c r="K330" s="8">
        <v>0.66</v>
      </c>
      <c r="L330" s="8">
        <v>0.38</v>
      </c>
      <c r="M330" s="8">
        <v>0.14000000000000001</v>
      </c>
      <c r="N330" s="8">
        <v>10</v>
      </c>
      <c r="O330" s="8">
        <v>4.9599999999999998E-2</v>
      </c>
      <c r="P330" s="8">
        <v>2.75E-2</v>
      </c>
      <c r="Q330" s="8">
        <v>0.1239</v>
      </c>
      <c r="R330" s="8"/>
      <c r="S330" s="8"/>
      <c r="T330" s="8"/>
      <c r="U330" s="8">
        <v>568</v>
      </c>
      <c r="V330">
        <f t="shared" si="36"/>
        <v>56.8</v>
      </c>
      <c r="W330">
        <f t="shared" si="37"/>
        <v>4.96E-3</v>
      </c>
      <c r="X330">
        <f t="shared" si="38"/>
        <v>2.7499999999999998E-3</v>
      </c>
      <c r="Y330">
        <f t="shared" si="39"/>
        <v>1.239E-2</v>
      </c>
    </row>
    <row r="331" spans="1:25" x14ac:dyDescent="0.25">
      <c r="B331" s="3" t="s">
        <v>16</v>
      </c>
      <c r="C331" s="3">
        <v>20</v>
      </c>
      <c r="D331" s="3">
        <v>12</v>
      </c>
      <c r="E331" s="3">
        <v>22</v>
      </c>
      <c r="F331" s="3">
        <v>12</v>
      </c>
      <c r="G331" s="3">
        <v>8.23</v>
      </c>
      <c r="H331" s="3">
        <v>50.4</v>
      </c>
      <c r="I331" s="3">
        <v>69.3</v>
      </c>
      <c r="J331" s="3">
        <v>69.400000000000006</v>
      </c>
      <c r="K331" s="3">
        <v>0.23</v>
      </c>
      <c r="L331" s="3">
        <v>0.3</v>
      </c>
      <c r="M331" s="3">
        <v>0.4</v>
      </c>
      <c r="N331" s="3">
        <v>5</v>
      </c>
      <c r="O331" s="3">
        <v>0.11269999999999999</v>
      </c>
      <c r="P331" s="3">
        <v>7.6700000000000004E-2</v>
      </c>
      <c r="Q331" s="3">
        <v>0.15010000000000001</v>
      </c>
      <c r="R331" s="3">
        <v>0.34</v>
      </c>
      <c r="S331" s="3">
        <v>142</v>
      </c>
      <c r="T331" s="3">
        <f>(R331/2)^2*3.14*2*R331</f>
        <v>6.1707280000000017E-2</v>
      </c>
      <c r="U331" s="3"/>
      <c r="V331">
        <f t="shared" si="36"/>
        <v>0</v>
      </c>
      <c r="W331">
        <f t="shared" si="37"/>
        <v>2.2539999999999998E-2</v>
      </c>
      <c r="X331">
        <f t="shared" si="38"/>
        <v>1.5340000000000001E-2</v>
      </c>
      <c r="Y331">
        <f t="shared" si="39"/>
        <v>3.0020000000000002E-2</v>
      </c>
    </row>
    <row r="332" spans="1:25" x14ac:dyDescent="0.25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>
        <v>0.36</v>
      </c>
      <c r="S332" s="3">
        <v>148</v>
      </c>
      <c r="T332" s="3">
        <f>(R332/2)^2*3.14*2*R332</f>
        <v>7.3249919999999996E-2</v>
      </c>
      <c r="U332" s="3"/>
      <c r="V332" t="e">
        <f t="shared" si="36"/>
        <v>#DIV/0!</v>
      </c>
      <c r="W332" t="e">
        <f t="shared" si="37"/>
        <v>#DIV/0!</v>
      </c>
      <c r="X332" t="e">
        <f t="shared" si="38"/>
        <v>#DIV/0!</v>
      </c>
      <c r="Y332" t="e">
        <f t="shared" si="39"/>
        <v>#DIV/0!</v>
      </c>
    </row>
    <row r="333" spans="1:25" x14ac:dyDescent="0.25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>
        <v>0.36</v>
      </c>
      <c r="S333" s="3">
        <v>127.5</v>
      </c>
      <c r="T333" s="3">
        <f>(R333/2)^2*3.14*2*R333</f>
        <v>7.3249919999999996E-2</v>
      </c>
      <c r="U333" s="3"/>
      <c r="V333" t="e">
        <f t="shared" si="36"/>
        <v>#DIV/0!</v>
      </c>
      <c r="W333" t="e">
        <f t="shared" si="37"/>
        <v>#DIV/0!</v>
      </c>
      <c r="X333" t="e">
        <f t="shared" si="38"/>
        <v>#DIV/0!</v>
      </c>
      <c r="Y333" t="e">
        <f t="shared" si="39"/>
        <v>#DIV/0!</v>
      </c>
    </row>
    <row r="334" spans="1:25" x14ac:dyDescent="0.25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>
        <v>0.4</v>
      </c>
      <c r="S334" s="3">
        <v>97</v>
      </c>
      <c r="T334" s="3">
        <f>(R334/2)^2*3.14*2*R334</f>
        <v>0.10048000000000001</v>
      </c>
      <c r="U334" s="3"/>
      <c r="V334" t="e">
        <f t="shared" si="36"/>
        <v>#DIV/0!</v>
      </c>
      <c r="W334" t="e">
        <f t="shared" si="37"/>
        <v>#DIV/0!</v>
      </c>
      <c r="X334" t="e">
        <f t="shared" si="38"/>
        <v>#DIV/0!</v>
      </c>
      <c r="Y334" t="e">
        <f t="shared" si="39"/>
        <v>#DIV/0!</v>
      </c>
    </row>
    <row r="335" spans="1:25" x14ac:dyDescent="0.25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>
        <v>0.38</v>
      </c>
      <c r="S335" s="3">
        <v>75</v>
      </c>
      <c r="T335" s="3">
        <f>(R335/2)^2*3.14*2*R335</f>
        <v>8.614904000000001E-2</v>
      </c>
      <c r="U335" s="3">
        <f>AVERAGEA(T331:T335)</f>
        <v>7.8967231999999998E-2</v>
      </c>
      <c r="V335" t="e">
        <f t="shared" si="36"/>
        <v>#DIV/0!</v>
      </c>
      <c r="W335" t="e">
        <f t="shared" si="37"/>
        <v>#DIV/0!</v>
      </c>
      <c r="X335" t="e">
        <f t="shared" si="38"/>
        <v>#DIV/0!</v>
      </c>
      <c r="Y335" t="e">
        <f t="shared" si="39"/>
        <v>#DIV/0!</v>
      </c>
    </row>
    <row r="336" spans="1:25" x14ac:dyDescent="0.25">
      <c r="A336" s="2" t="s">
        <v>96</v>
      </c>
      <c r="B336" s="5" t="s">
        <v>35</v>
      </c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>
        <v>10</v>
      </c>
      <c r="O336" s="5">
        <v>0.3674</v>
      </c>
      <c r="P336" s="5">
        <v>8.9399999999999993E-2</v>
      </c>
      <c r="Q336" s="5">
        <v>0.55510000000000004</v>
      </c>
      <c r="R336" s="5"/>
      <c r="S336" s="5"/>
      <c r="T336" s="5"/>
      <c r="U336" s="5">
        <v>1649</v>
      </c>
      <c r="V336">
        <f t="shared" si="36"/>
        <v>164.9</v>
      </c>
      <c r="W336">
        <f t="shared" si="37"/>
        <v>3.6740000000000002E-2</v>
      </c>
      <c r="X336">
        <f t="shared" si="38"/>
        <v>8.94E-3</v>
      </c>
      <c r="Y336">
        <f t="shared" si="39"/>
        <v>5.5510000000000004E-2</v>
      </c>
    </row>
    <row r="337" spans="1:25" x14ac:dyDescent="0.25">
      <c r="B337" s="6" t="s">
        <v>97</v>
      </c>
      <c r="C337" s="6">
        <v>25</v>
      </c>
      <c r="D337" s="6">
        <v>8</v>
      </c>
      <c r="E337" s="6">
        <v>31</v>
      </c>
      <c r="F337" s="6">
        <v>13</v>
      </c>
      <c r="G337" s="6">
        <v>17.87</v>
      </c>
      <c r="H337" s="6">
        <v>12.7</v>
      </c>
      <c r="I337" s="6">
        <v>11</v>
      </c>
      <c r="J337" s="6">
        <v>11.2</v>
      </c>
      <c r="K337" s="6">
        <v>0.3</v>
      </c>
      <c r="L337" s="6">
        <v>0.39</v>
      </c>
      <c r="M337" s="6">
        <v>0.12</v>
      </c>
      <c r="N337" s="6">
        <v>10</v>
      </c>
      <c r="O337" s="6">
        <v>0.5857</v>
      </c>
      <c r="P337" s="6">
        <v>0.17799999999999999</v>
      </c>
      <c r="Q337" s="6">
        <v>0.81889999999999996</v>
      </c>
      <c r="R337" s="6"/>
      <c r="S337" s="6"/>
      <c r="T337" s="6"/>
      <c r="U337" s="6">
        <v>1671</v>
      </c>
      <c r="V337">
        <f t="shared" si="36"/>
        <v>167.1</v>
      </c>
      <c r="W337">
        <f t="shared" si="37"/>
        <v>5.8569999999999997E-2</v>
      </c>
      <c r="X337">
        <f t="shared" si="38"/>
        <v>1.78E-2</v>
      </c>
      <c r="Y337">
        <f t="shared" si="39"/>
        <v>8.1889999999999991E-2</v>
      </c>
    </row>
    <row r="338" spans="1:25" x14ac:dyDescent="0.25">
      <c r="B338" s="7" t="s">
        <v>32</v>
      </c>
      <c r="C338" s="7">
        <v>26</v>
      </c>
      <c r="D338" s="7">
        <v>21</v>
      </c>
      <c r="E338" s="7">
        <v>6</v>
      </c>
      <c r="F338" s="7">
        <v>28</v>
      </c>
      <c r="G338" s="7">
        <v>59.56</v>
      </c>
      <c r="H338" s="7">
        <v>26.4</v>
      </c>
      <c r="I338" s="7">
        <v>34.700000000000003</v>
      </c>
      <c r="J338" s="7">
        <v>32.799999999999997</v>
      </c>
      <c r="K338" s="7">
        <v>0.59</v>
      </c>
      <c r="L338" s="7">
        <v>0.44</v>
      </c>
      <c r="M338" s="7">
        <v>0.42</v>
      </c>
      <c r="N338" s="7">
        <v>25</v>
      </c>
      <c r="O338" s="7">
        <v>0.1066</v>
      </c>
      <c r="P338" s="7">
        <v>6.6E-3</v>
      </c>
      <c r="Q338" s="7">
        <v>9.2700000000000005E-2</v>
      </c>
      <c r="R338" s="7">
        <v>0.74</v>
      </c>
      <c r="S338" s="7">
        <v>4.3099999999999996</v>
      </c>
      <c r="T338" s="7">
        <f>(R338/2)^2*3.14*2*R338</f>
        <v>0.63620167999999999</v>
      </c>
      <c r="U338" s="7"/>
      <c r="V338">
        <f t="shared" si="36"/>
        <v>0</v>
      </c>
      <c r="W338">
        <f t="shared" si="37"/>
        <v>4.2640000000000004E-3</v>
      </c>
      <c r="X338">
        <f t="shared" si="38"/>
        <v>2.6400000000000002E-4</v>
      </c>
      <c r="Y338">
        <f t="shared" si="39"/>
        <v>3.7080000000000004E-3</v>
      </c>
    </row>
    <row r="339" spans="1:25" x14ac:dyDescent="0.25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>
        <v>0.77</v>
      </c>
      <c r="S339" s="7">
        <v>4.05</v>
      </c>
      <c r="T339" s="7">
        <f>(R339/2)^2*3.14*2*R339</f>
        <v>0.71675681000000002</v>
      </c>
      <c r="U339" s="7"/>
      <c r="V339" t="e">
        <f t="shared" si="36"/>
        <v>#DIV/0!</v>
      </c>
      <c r="W339" t="e">
        <f t="shared" si="37"/>
        <v>#DIV/0!</v>
      </c>
      <c r="X339" t="e">
        <f t="shared" si="38"/>
        <v>#DIV/0!</v>
      </c>
      <c r="Y339" t="e">
        <f t="shared" si="39"/>
        <v>#DIV/0!</v>
      </c>
    </row>
    <row r="340" spans="1:25" x14ac:dyDescent="0.25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>
        <v>0.89</v>
      </c>
      <c r="S340" s="7">
        <v>4.5199999999999996</v>
      </c>
      <c r="T340" s="7">
        <f>(R340/2)^2*3.14*2*R340</f>
        <v>1.1068013300000001</v>
      </c>
      <c r="U340" s="7"/>
      <c r="V340" t="e">
        <f t="shared" si="36"/>
        <v>#DIV/0!</v>
      </c>
      <c r="W340" t="e">
        <f t="shared" si="37"/>
        <v>#DIV/0!</v>
      </c>
      <c r="X340" t="e">
        <f t="shared" si="38"/>
        <v>#DIV/0!</v>
      </c>
      <c r="Y340" t="e">
        <f t="shared" si="39"/>
        <v>#DIV/0!</v>
      </c>
    </row>
    <row r="341" spans="1:25" x14ac:dyDescent="0.25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>
        <v>1.01</v>
      </c>
      <c r="S341" s="7">
        <v>4.05</v>
      </c>
      <c r="T341" s="7">
        <f>(R341/2)^2*3.14*2*R341</f>
        <v>1.6175725700000001</v>
      </c>
      <c r="U341" s="7"/>
      <c r="V341" t="e">
        <f t="shared" si="36"/>
        <v>#DIV/0!</v>
      </c>
      <c r="W341" t="e">
        <f t="shared" si="37"/>
        <v>#DIV/0!</v>
      </c>
      <c r="X341" t="e">
        <f t="shared" si="38"/>
        <v>#DIV/0!</v>
      </c>
      <c r="Y341" t="e">
        <f t="shared" si="39"/>
        <v>#DIV/0!</v>
      </c>
    </row>
    <row r="342" spans="1:25" x14ac:dyDescent="0.25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>
        <v>1.03</v>
      </c>
      <c r="S342" s="7">
        <v>5</v>
      </c>
      <c r="T342" s="7">
        <f>(R342/2)^2*3.14*2*R342</f>
        <v>1.7155813900000001</v>
      </c>
      <c r="U342" s="7">
        <f>AVERAGEA(T338:T342)</f>
        <v>1.1585827560000002</v>
      </c>
      <c r="V342" t="e">
        <f t="shared" si="36"/>
        <v>#DIV/0!</v>
      </c>
      <c r="W342" t="e">
        <f t="shared" si="37"/>
        <v>#DIV/0!</v>
      </c>
      <c r="X342" t="e">
        <f t="shared" si="38"/>
        <v>#DIV/0!</v>
      </c>
      <c r="Y342" t="e">
        <f t="shared" si="39"/>
        <v>#DIV/0!</v>
      </c>
    </row>
    <row r="343" spans="1:25" x14ac:dyDescent="0.25">
      <c r="A343" s="2" t="s">
        <v>98</v>
      </c>
      <c r="B343" s="5" t="s">
        <v>35</v>
      </c>
      <c r="C343" s="5">
        <v>26</v>
      </c>
      <c r="D343" s="5">
        <v>12</v>
      </c>
      <c r="E343" s="5">
        <v>5</v>
      </c>
      <c r="F343" s="5">
        <v>7</v>
      </c>
      <c r="G343" s="5">
        <v>32.94</v>
      </c>
      <c r="H343" s="5">
        <v>22.3</v>
      </c>
      <c r="I343" s="5">
        <v>45.5</v>
      </c>
      <c r="J343" s="5">
        <v>53.4</v>
      </c>
      <c r="K343" s="5">
        <v>0.49</v>
      </c>
      <c r="L343" s="5">
        <v>0.41</v>
      </c>
      <c r="M343" s="5">
        <v>0.25</v>
      </c>
      <c r="N343" s="5">
        <v>10</v>
      </c>
      <c r="O343" s="5">
        <v>0.49840000000000001</v>
      </c>
      <c r="P343" s="5">
        <v>0.15079999999999999</v>
      </c>
      <c r="Q343" s="5">
        <v>1.1459999999999999</v>
      </c>
      <c r="R343" s="5"/>
      <c r="S343" s="5"/>
      <c r="T343" s="5"/>
      <c r="U343" s="5">
        <v>2326</v>
      </c>
      <c r="V343">
        <f t="shared" si="36"/>
        <v>232.6</v>
      </c>
      <c r="W343">
        <f t="shared" si="37"/>
        <v>4.9840000000000002E-2</v>
      </c>
      <c r="X343">
        <f t="shared" si="38"/>
        <v>1.508E-2</v>
      </c>
      <c r="Y343">
        <f t="shared" si="39"/>
        <v>0.11459999999999999</v>
      </c>
    </row>
    <row r="344" spans="1:25" x14ac:dyDescent="0.25">
      <c r="B344" s="6" t="s">
        <v>39</v>
      </c>
      <c r="C344" s="6">
        <v>25</v>
      </c>
      <c r="D344" s="6">
        <v>18</v>
      </c>
      <c r="E344" s="6">
        <v>10</v>
      </c>
      <c r="F344" s="6">
        <v>12</v>
      </c>
      <c r="G344" s="6">
        <v>3.28</v>
      </c>
      <c r="H344" s="6">
        <v>19.2</v>
      </c>
      <c r="I344" s="6">
        <v>11.3</v>
      </c>
      <c r="J344" s="6">
        <v>9.9</v>
      </c>
      <c r="K344" s="6">
        <v>0.16</v>
      </c>
      <c r="L344" s="6">
        <v>0.13</v>
      </c>
      <c r="M344" s="6">
        <v>0.1</v>
      </c>
      <c r="N344" s="6">
        <v>15</v>
      </c>
      <c r="O344" s="6">
        <v>6.5299999999999997E-2</v>
      </c>
      <c r="P344" s="6">
        <v>3.1600000000000003E-2</v>
      </c>
      <c r="Q344" s="6">
        <v>0.12959999999999999</v>
      </c>
      <c r="R344" s="6"/>
      <c r="S344" s="6"/>
      <c r="T344" s="6"/>
      <c r="U344" s="6">
        <v>1142</v>
      </c>
      <c r="V344">
        <f t="shared" si="36"/>
        <v>76.13333333333334</v>
      </c>
      <c r="W344">
        <f t="shared" si="37"/>
        <v>4.3533333333333332E-3</v>
      </c>
      <c r="X344">
        <f t="shared" si="38"/>
        <v>2.1066666666666668E-3</v>
      </c>
      <c r="Y344">
        <f t="shared" si="39"/>
        <v>8.6400000000000001E-3</v>
      </c>
    </row>
    <row r="345" spans="1:25" x14ac:dyDescent="0.25">
      <c r="B345" s="7" t="s">
        <v>16</v>
      </c>
      <c r="C345" s="7">
        <v>33</v>
      </c>
      <c r="D345" s="7">
        <v>8.5</v>
      </c>
      <c r="E345" s="7">
        <v>14</v>
      </c>
      <c r="F345" s="7">
        <v>7</v>
      </c>
      <c r="G345" s="7">
        <v>6.15</v>
      </c>
      <c r="H345" s="7">
        <v>23.3</v>
      </c>
      <c r="I345" s="7">
        <v>19.100000000000001</v>
      </c>
      <c r="J345" s="7">
        <v>21.5</v>
      </c>
      <c r="K345" s="7">
        <v>0.16</v>
      </c>
      <c r="L345" s="7">
        <v>0.13</v>
      </c>
      <c r="M345" s="7">
        <v>0.1</v>
      </c>
      <c r="N345" s="7">
        <v>5</v>
      </c>
      <c r="O345" s="7">
        <v>0.154</v>
      </c>
      <c r="P345" s="7">
        <v>0.1106</v>
      </c>
      <c r="Q345" s="7">
        <v>0.22120000000000001</v>
      </c>
      <c r="R345" s="7">
        <v>0.52</v>
      </c>
      <c r="S345" s="7">
        <v>176</v>
      </c>
      <c r="T345" s="7">
        <f>(R345/2)^2*3.14*2*R345</f>
        <v>0.22075456000000004</v>
      </c>
      <c r="U345" s="7"/>
      <c r="V345">
        <f t="shared" si="36"/>
        <v>0</v>
      </c>
      <c r="W345">
        <f t="shared" si="37"/>
        <v>3.0800000000000001E-2</v>
      </c>
      <c r="X345">
        <f t="shared" si="38"/>
        <v>2.2120000000000001E-2</v>
      </c>
      <c r="Y345">
        <f t="shared" si="39"/>
        <v>4.4240000000000002E-2</v>
      </c>
    </row>
    <row r="346" spans="1:25" x14ac:dyDescent="0.25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>
        <v>0.49</v>
      </c>
      <c r="S346" s="7">
        <v>137</v>
      </c>
      <c r="T346" s="7">
        <f>(R346/2)^2*3.14*2*R346</f>
        <v>0.18470892999999999</v>
      </c>
      <c r="U346" s="7"/>
      <c r="V346" t="e">
        <f t="shared" si="36"/>
        <v>#DIV/0!</v>
      </c>
      <c r="W346" t="e">
        <f t="shared" si="37"/>
        <v>#DIV/0!</v>
      </c>
      <c r="X346" t="e">
        <f t="shared" si="38"/>
        <v>#DIV/0!</v>
      </c>
      <c r="Y346" t="e">
        <f t="shared" si="39"/>
        <v>#DIV/0!</v>
      </c>
    </row>
    <row r="347" spans="1:25" x14ac:dyDescent="0.25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>
        <v>0.4</v>
      </c>
      <c r="S347" s="7">
        <v>116</v>
      </c>
      <c r="T347" s="7">
        <f>(R347/2)^2*3.14*2*R347</f>
        <v>0.10048000000000001</v>
      </c>
      <c r="U347" s="7"/>
      <c r="V347" t="e">
        <f t="shared" si="36"/>
        <v>#DIV/0!</v>
      </c>
      <c r="W347" t="e">
        <f t="shared" si="37"/>
        <v>#DIV/0!</v>
      </c>
      <c r="X347" t="e">
        <f t="shared" si="38"/>
        <v>#DIV/0!</v>
      </c>
      <c r="Y347" t="e">
        <f t="shared" si="39"/>
        <v>#DIV/0!</v>
      </c>
    </row>
    <row r="348" spans="1:25" x14ac:dyDescent="0.25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>
        <v>0.32</v>
      </c>
      <c r="S348" s="7">
        <v>151</v>
      </c>
      <c r="T348" s="7">
        <f>(R348/2)^2*3.14*2*R348</f>
        <v>5.1445760000000007E-2</v>
      </c>
      <c r="U348" s="7"/>
      <c r="V348" t="e">
        <f t="shared" si="36"/>
        <v>#DIV/0!</v>
      </c>
      <c r="W348" t="e">
        <f t="shared" si="37"/>
        <v>#DIV/0!</v>
      </c>
      <c r="X348" t="e">
        <f t="shared" si="38"/>
        <v>#DIV/0!</v>
      </c>
      <c r="Y348" t="e">
        <f t="shared" si="39"/>
        <v>#DIV/0!</v>
      </c>
    </row>
    <row r="349" spans="1:25" x14ac:dyDescent="0.25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>
        <v>0.39</v>
      </c>
      <c r="S349" s="7">
        <v>172</v>
      </c>
      <c r="T349" s="7">
        <f>(R349/2)^2*3.14*2*R349</f>
        <v>9.3130830000000012E-2</v>
      </c>
      <c r="U349" s="7">
        <f>AVERAGEA(T345:T349)</f>
        <v>0.13010401600000002</v>
      </c>
      <c r="V349" t="e">
        <f t="shared" si="36"/>
        <v>#DIV/0!</v>
      </c>
      <c r="W349" t="e">
        <f t="shared" si="37"/>
        <v>#DIV/0!</v>
      </c>
      <c r="X349" t="e">
        <f t="shared" si="38"/>
        <v>#DIV/0!</v>
      </c>
      <c r="Y349" t="e">
        <f t="shared" si="39"/>
        <v>#DIV/0!</v>
      </c>
    </row>
    <row r="350" spans="1:25" x14ac:dyDescent="0.25">
      <c r="A350" s="2" t="s">
        <v>99</v>
      </c>
      <c r="B350" s="5" t="s">
        <v>35</v>
      </c>
      <c r="C350" s="5">
        <v>35</v>
      </c>
      <c r="D350" s="5"/>
      <c r="E350" s="5"/>
      <c r="F350" s="5">
        <v>1</v>
      </c>
      <c r="G350" s="5">
        <v>7.15</v>
      </c>
      <c r="H350" s="5">
        <v>35.5</v>
      </c>
      <c r="I350" s="5">
        <v>47.1</v>
      </c>
      <c r="J350" s="5">
        <v>40.1</v>
      </c>
      <c r="K350" s="5">
        <v>0.23</v>
      </c>
      <c r="L350" s="5">
        <v>0.24</v>
      </c>
      <c r="M350" s="5">
        <v>0.26</v>
      </c>
      <c r="N350" s="5">
        <v>10</v>
      </c>
      <c r="O350" s="5">
        <v>0.4718</v>
      </c>
      <c r="P350" s="5">
        <v>0.1419</v>
      </c>
      <c r="Q350" s="5">
        <v>1.9769000000000001</v>
      </c>
      <c r="R350" s="5"/>
      <c r="S350" s="5"/>
      <c r="T350" s="5"/>
      <c r="U350" s="5">
        <v>2082</v>
      </c>
      <c r="V350">
        <f t="shared" si="36"/>
        <v>208.2</v>
      </c>
      <c r="W350">
        <f t="shared" si="37"/>
        <v>4.718E-2</v>
      </c>
      <c r="X350">
        <f t="shared" si="38"/>
        <v>1.4189999999999999E-2</v>
      </c>
      <c r="Y350">
        <f t="shared" si="39"/>
        <v>0.19769</v>
      </c>
    </row>
    <row r="351" spans="1:25" x14ac:dyDescent="0.25">
      <c r="B351" s="6" t="s">
        <v>27</v>
      </c>
      <c r="C351" s="6">
        <v>51</v>
      </c>
      <c r="D351" s="6">
        <v>21</v>
      </c>
      <c r="E351" s="6"/>
      <c r="F351" s="6">
        <v>26</v>
      </c>
      <c r="G351" s="6">
        <v>37.71</v>
      </c>
      <c r="H351" s="6">
        <v>51.4</v>
      </c>
      <c r="I351" s="6">
        <v>21.7</v>
      </c>
      <c r="J351" s="6">
        <v>54.4</v>
      </c>
      <c r="K351" s="6">
        <v>0.25</v>
      </c>
      <c r="L351" s="6">
        <v>0.35</v>
      </c>
      <c r="M351" s="6">
        <v>0.26</v>
      </c>
      <c r="N351" s="6">
        <v>5</v>
      </c>
      <c r="O351" s="6">
        <v>8.5099999999999995E-2</v>
      </c>
      <c r="P351" s="6">
        <v>2.7199999999999998E-2</v>
      </c>
      <c r="Q351" s="6">
        <v>0.10290000000000001</v>
      </c>
      <c r="R351" s="6"/>
      <c r="S351" s="6"/>
      <c r="T351" s="6"/>
      <c r="U351" s="6">
        <v>469</v>
      </c>
      <c r="V351">
        <f t="shared" si="36"/>
        <v>93.8</v>
      </c>
      <c r="W351">
        <f t="shared" si="37"/>
        <v>1.702E-2</v>
      </c>
      <c r="X351">
        <f t="shared" si="38"/>
        <v>5.4399999999999995E-3</v>
      </c>
      <c r="Y351">
        <f t="shared" si="39"/>
        <v>2.0580000000000001E-2</v>
      </c>
    </row>
    <row r="352" spans="1:25" x14ac:dyDescent="0.25">
      <c r="B352" s="7" t="s">
        <v>24</v>
      </c>
      <c r="C352" s="7">
        <v>13</v>
      </c>
      <c r="D352" s="7">
        <v>21</v>
      </c>
      <c r="E352" s="7">
        <v>16</v>
      </c>
      <c r="F352" s="7">
        <v>4</v>
      </c>
      <c r="G352" s="7">
        <v>21.01</v>
      </c>
      <c r="H352" s="7">
        <v>18.8</v>
      </c>
      <c r="I352" s="7">
        <v>20.7</v>
      </c>
      <c r="J352" s="7">
        <v>26.6</v>
      </c>
      <c r="K352" s="7">
        <v>0.21</v>
      </c>
      <c r="L352" s="7">
        <v>0.28999999999999998</v>
      </c>
      <c r="M352" s="7">
        <v>0.08</v>
      </c>
      <c r="N352" s="7">
        <v>20</v>
      </c>
      <c r="O352" s="7">
        <v>9.2200000000000004E-2</v>
      </c>
      <c r="P352" s="7">
        <v>3.5499999999999997E-2</v>
      </c>
      <c r="Q352" s="7">
        <v>0.18279999999999999</v>
      </c>
      <c r="R352" s="7"/>
      <c r="S352" s="7"/>
      <c r="T352" s="7"/>
      <c r="U352" s="7">
        <v>637</v>
      </c>
      <c r="V352">
        <f t="shared" si="36"/>
        <v>31.85</v>
      </c>
      <c r="W352">
        <f t="shared" si="37"/>
        <v>4.6100000000000004E-3</v>
      </c>
      <c r="X352">
        <f t="shared" si="38"/>
        <v>1.7749999999999999E-3</v>
      </c>
      <c r="Y352">
        <f t="shared" si="39"/>
        <v>9.1399999999999988E-3</v>
      </c>
    </row>
    <row r="353" spans="1:25" x14ac:dyDescent="0.25">
      <c r="B353" s="8" t="s">
        <v>16</v>
      </c>
      <c r="C353" s="8">
        <v>22</v>
      </c>
      <c r="D353" s="8">
        <v>15</v>
      </c>
      <c r="E353" s="8">
        <v>11</v>
      </c>
      <c r="F353" s="8">
        <v>6</v>
      </c>
      <c r="G353" s="8">
        <v>4.7</v>
      </c>
      <c r="H353" s="8">
        <v>21.5</v>
      </c>
      <c r="I353" s="8">
        <v>34</v>
      </c>
      <c r="J353" s="8">
        <v>27.1</v>
      </c>
      <c r="K353" s="8">
        <v>0.25</v>
      </c>
      <c r="L353" s="8">
        <v>0.24</v>
      </c>
      <c r="M353" s="8">
        <v>0.15</v>
      </c>
      <c r="N353" s="8">
        <v>5</v>
      </c>
      <c r="O353" s="8">
        <v>9.9000000000000005E-2</v>
      </c>
      <c r="P353" s="8">
        <v>7.0900000000000005E-2</v>
      </c>
      <c r="Q353" s="8">
        <v>0.16439999999999999</v>
      </c>
      <c r="R353" s="8">
        <v>0.3</v>
      </c>
      <c r="S353" s="8">
        <v>144</v>
      </c>
      <c r="T353" s="8">
        <f>(R353/2)^2*3.14*2*R353</f>
        <v>4.2390000000000004E-2</v>
      </c>
      <c r="U353" s="8"/>
      <c r="V353">
        <f t="shared" si="36"/>
        <v>0</v>
      </c>
      <c r="W353">
        <f t="shared" si="37"/>
        <v>1.9800000000000002E-2</v>
      </c>
      <c r="X353">
        <f t="shared" si="38"/>
        <v>1.4180000000000002E-2</v>
      </c>
      <c r="Y353">
        <f t="shared" si="39"/>
        <v>3.288E-2</v>
      </c>
    </row>
    <row r="354" spans="1:25" x14ac:dyDescent="0.25"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>
        <v>0.26</v>
      </c>
      <c r="S354" s="8">
        <v>154</v>
      </c>
      <c r="T354" s="8">
        <f>(R354/2)^2*3.14*2*R354</f>
        <v>2.7594320000000006E-2</v>
      </c>
      <c r="U354" s="8"/>
      <c r="V354" t="e">
        <f t="shared" si="36"/>
        <v>#DIV/0!</v>
      </c>
      <c r="W354" t="e">
        <f t="shared" si="37"/>
        <v>#DIV/0!</v>
      </c>
      <c r="X354" t="e">
        <f t="shared" si="38"/>
        <v>#DIV/0!</v>
      </c>
      <c r="Y354" t="e">
        <f t="shared" si="39"/>
        <v>#DIV/0!</v>
      </c>
    </row>
    <row r="355" spans="1:25" x14ac:dyDescent="0.25"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>
        <v>0.28999999999999998</v>
      </c>
      <c r="S355" s="8">
        <v>123</v>
      </c>
      <c r="T355" s="8">
        <f>(R355/2)^2*3.14*2*R355</f>
        <v>3.8290729999999995E-2</v>
      </c>
      <c r="U355" s="8"/>
      <c r="V355" t="e">
        <f t="shared" si="36"/>
        <v>#DIV/0!</v>
      </c>
      <c r="W355" t="e">
        <f t="shared" si="37"/>
        <v>#DIV/0!</v>
      </c>
      <c r="X355" t="e">
        <f t="shared" si="38"/>
        <v>#DIV/0!</v>
      </c>
      <c r="Y355" t="e">
        <f t="shared" si="39"/>
        <v>#DIV/0!</v>
      </c>
    </row>
    <row r="356" spans="1:25" x14ac:dyDescent="0.25"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>
        <v>0.32</v>
      </c>
      <c r="S356" s="8">
        <v>170</v>
      </c>
      <c r="T356" s="8">
        <f>(R356/2)^2*3.14*2*R356</f>
        <v>5.1445760000000007E-2</v>
      </c>
      <c r="U356" s="8"/>
      <c r="V356" t="e">
        <f t="shared" si="36"/>
        <v>#DIV/0!</v>
      </c>
      <c r="W356" t="e">
        <f t="shared" si="37"/>
        <v>#DIV/0!</v>
      </c>
      <c r="X356" t="e">
        <f t="shared" si="38"/>
        <v>#DIV/0!</v>
      </c>
      <c r="Y356" t="e">
        <f t="shared" si="39"/>
        <v>#DIV/0!</v>
      </c>
    </row>
    <row r="357" spans="1:25" x14ac:dyDescent="0.25"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>
        <v>0.42</v>
      </c>
      <c r="S357" s="8">
        <v>178</v>
      </c>
      <c r="T357" s="8">
        <f>(R357/2)^2*3.14*2*R357</f>
        <v>0.11631815999999999</v>
      </c>
      <c r="U357" s="8">
        <f>AVERAGEA(T353:T357)</f>
        <v>5.5207793999999998E-2</v>
      </c>
      <c r="V357" t="e">
        <f t="shared" si="36"/>
        <v>#DIV/0!</v>
      </c>
      <c r="W357" t="e">
        <f t="shared" si="37"/>
        <v>#DIV/0!</v>
      </c>
      <c r="X357" t="e">
        <f t="shared" si="38"/>
        <v>#DIV/0!</v>
      </c>
      <c r="Y357" t="e">
        <f t="shared" si="39"/>
        <v>#DIV/0!</v>
      </c>
    </row>
    <row r="358" spans="1:25" x14ac:dyDescent="0.25">
      <c r="A358" s="2" t="s">
        <v>100</v>
      </c>
      <c r="B358" s="5" t="s">
        <v>101</v>
      </c>
      <c r="C358" s="5">
        <v>1</v>
      </c>
      <c r="D358" s="5">
        <v>1.5</v>
      </c>
      <c r="E358" s="5"/>
      <c r="F358" s="5">
        <v>2</v>
      </c>
      <c r="G358" s="5">
        <v>0.45</v>
      </c>
      <c r="H358" s="5">
        <v>52.5</v>
      </c>
      <c r="I358" s="5">
        <v>22.2</v>
      </c>
      <c r="J358" s="5">
        <v>48</v>
      </c>
      <c r="K358" s="5">
        <v>0.14000000000000001</v>
      </c>
      <c r="L358" s="5">
        <v>0.09</v>
      </c>
      <c r="M358" s="5">
        <v>0.09</v>
      </c>
      <c r="N358" s="5">
        <v>30</v>
      </c>
      <c r="O358" s="5">
        <v>3.2800000000000003E-2</v>
      </c>
      <c r="P358" s="5">
        <v>9.7000000000000003E-3</v>
      </c>
      <c r="Q358" s="5">
        <v>4.6300000000000001E-2</v>
      </c>
      <c r="R358" s="5"/>
      <c r="S358" s="5"/>
      <c r="T358" s="5"/>
      <c r="U358" s="5">
        <v>453</v>
      </c>
      <c r="V358">
        <f t="shared" si="36"/>
        <v>15.1</v>
      </c>
      <c r="W358">
        <f t="shared" si="37"/>
        <v>1.0933333333333335E-3</v>
      </c>
      <c r="X358">
        <f t="shared" si="38"/>
        <v>3.2333333333333335E-4</v>
      </c>
      <c r="Y358">
        <f t="shared" si="39"/>
        <v>1.5433333333333334E-3</v>
      </c>
    </row>
    <row r="359" spans="1:25" x14ac:dyDescent="0.25">
      <c r="B359" s="7" t="s">
        <v>103</v>
      </c>
      <c r="C359" s="7">
        <v>9.5</v>
      </c>
      <c r="D359" s="7">
        <v>6</v>
      </c>
      <c r="E359" s="7">
        <v>10.5</v>
      </c>
      <c r="F359" s="7">
        <v>7</v>
      </c>
      <c r="G359" s="7">
        <v>1.1200000000000001</v>
      </c>
      <c r="H359" s="7">
        <v>15.3</v>
      </c>
      <c r="I359" s="7">
        <v>24.8</v>
      </c>
      <c r="J359" s="7">
        <v>28.9</v>
      </c>
      <c r="K359" s="7">
        <v>0.14000000000000001</v>
      </c>
      <c r="L359" s="7">
        <v>0.19</v>
      </c>
      <c r="M359" s="7">
        <v>0.16</v>
      </c>
      <c r="N359" s="7">
        <v>58</v>
      </c>
      <c r="O359" s="7">
        <v>0.13120000000000001</v>
      </c>
      <c r="P359" s="7">
        <v>2.52E-2</v>
      </c>
      <c r="Q359" s="7">
        <v>0.2321</v>
      </c>
      <c r="R359" s="7"/>
      <c r="S359" s="7"/>
      <c r="T359" s="7"/>
      <c r="U359" s="7">
        <v>1024</v>
      </c>
      <c r="V359">
        <f t="shared" si="36"/>
        <v>17.655172413793103</v>
      </c>
      <c r="W359">
        <f t="shared" si="37"/>
        <v>2.2620689655172416E-3</v>
      </c>
      <c r="X359">
        <f t="shared" si="38"/>
        <v>4.3448275862068968E-4</v>
      </c>
      <c r="Y359">
        <f t="shared" si="39"/>
        <v>4.0017241379310346E-3</v>
      </c>
    </row>
    <row r="360" spans="1:25" x14ac:dyDescent="0.25">
      <c r="B360" s="8" t="s">
        <v>70</v>
      </c>
      <c r="C360" s="8">
        <v>33</v>
      </c>
      <c r="D360" s="8">
        <v>35</v>
      </c>
      <c r="E360" s="8">
        <v>42</v>
      </c>
      <c r="F360" s="8">
        <v>8</v>
      </c>
      <c r="G360" s="8">
        <v>32.96</v>
      </c>
      <c r="H360" s="8">
        <v>44.1</v>
      </c>
      <c r="I360" s="8">
        <v>54.5</v>
      </c>
      <c r="J360" s="8">
        <v>53.8</v>
      </c>
      <c r="K360" s="8">
        <v>0.22</v>
      </c>
      <c r="L360" s="8">
        <v>0.21</v>
      </c>
      <c r="M360" s="8">
        <v>0.25</v>
      </c>
      <c r="N360" s="8">
        <v>5</v>
      </c>
      <c r="O360" s="8">
        <v>0.86870000000000003</v>
      </c>
      <c r="P360" s="8">
        <v>0.33069999999999999</v>
      </c>
      <c r="Q360" s="8">
        <v>1.3302</v>
      </c>
      <c r="R360" s="8">
        <v>1.2</v>
      </c>
      <c r="S360" s="8">
        <v>299</v>
      </c>
      <c r="T360" s="8">
        <f>(R360/2)^2*3.14*2*R360</f>
        <v>2.7129600000000003</v>
      </c>
      <c r="U360" s="8"/>
      <c r="V360">
        <f t="shared" si="36"/>
        <v>0</v>
      </c>
      <c r="W360">
        <f t="shared" si="37"/>
        <v>0.17374000000000001</v>
      </c>
      <c r="X360">
        <f t="shared" si="38"/>
        <v>6.6140000000000004E-2</v>
      </c>
      <c r="Y360">
        <f t="shared" si="39"/>
        <v>0.26604</v>
      </c>
    </row>
    <row r="361" spans="1:25" x14ac:dyDescent="0.25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>
        <v>1.25</v>
      </c>
      <c r="S361" s="8">
        <v>331</v>
      </c>
      <c r="T361" s="8">
        <f>(R361/2)^2*3.14*2*R361</f>
        <v>3.06640625</v>
      </c>
      <c r="U361" s="8"/>
      <c r="V361" t="e">
        <f t="shared" si="36"/>
        <v>#DIV/0!</v>
      </c>
      <c r="W361" t="e">
        <f t="shared" si="37"/>
        <v>#DIV/0!</v>
      </c>
      <c r="X361" t="e">
        <f t="shared" si="38"/>
        <v>#DIV/0!</v>
      </c>
      <c r="Y361" t="e">
        <f t="shared" si="39"/>
        <v>#DIV/0!</v>
      </c>
    </row>
    <row r="362" spans="1:25" x14ac:dyDescent="0.25"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>
        <v>1.17</v>
      </c>
      <c r="S362" s="8">
        <v>273</v>
      </c>
      <c r="T362" s="8">
        <f>(R362/2)^2*3.14*2*R362</f>
        <v>2.5145324099999997</v>
      </c>
      <c r="U362" s="8"/>
      <c r="V362" t="e">
        <f t="shared" si="36"/>
        <v>#DIV/0!</v>
      </c>
      <c r="W362" t="e">
        <f t="shared" si="37"/>
        <v>#DIV/0!</v>
      </c>
      <c r="X362" t="e">
        <f t="shared" si="38"/>
        <v>#DIV/0!</v>
      </c>
      <c r="Y362" t="e">
        <f t="shared" si="39"/>
        <v>#DIV/0!</v>
      </c>
    </row>
    <row r="363" spans="1:25" x14ac:dyDescent="0.25"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>
        <v>0.93</v>
      </c>
      <c r="S363" s="8">
        <v>312</v>
      </c>
      <c r="T363" s="8">
        <f>(R363/2)^2*3.14*2*R363</f>
        <v>1.2628404900000003</v>
      </c>
      <c r="U363" s="8"/>
      <c r="V363" t="e">
        <f t="shared" si="36"/>
        <v>#DIV/0!</v>
      </c>
      <c r="W363" t="e">
        <f t="shared" si="37"/>
        <v>#DIV/0!</v>
      </c>
      <c r="X363" t="e">
        <f t="shared" si="38"/>
        <v>#DIV/0!</v>
      </c>
      <c r="Y363" t="e">
        <f t="shared" si="39"/>
        <v>#DIV/0!</v>
      </c>
    </row>
    <row r="364" spans="1:25" x14ac:dyDescent="0.25"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>
        <v>1.07</v>
      </c>
      <c r="S364" s="8">
        <v>297.5</v>
      </c>
      <c r="T364" s="8">
        <f>(R364/2)^2*3.14*2*R364</f>
        <v>1.9233175100000002</v>
      </c>
      <c r="U364" s="8">
        <f>AVERAGEA(T360:T364)</f>
        <v>2.296011332</v>
      </c>
      <c r="V364" t="e">
        <f t="shared" si="36"/>
        <v>#DIV/0!</v>
      </c>
      <c r="W364" t="e">
        <f t="shared" si="37"/>
        <v>#DIV/0!</v>
      </c>
      <c r="X364" t="e">
        <f t="shared" si="38"/>
        <v>#DIV/0!</v>
      </c>
      <c r="Y364" t="e">
        <f t="shared" si="39"/>
        <v>#DIV/0!</v>
      </c>
    </row>
    <row r="365" spans="1:25" x14ac:dyDescent="0.25">
      <c r="B365" s="6" t="s">
        <v>27</v>
      </c>
      <c r="C365" s="6">
        <v>17</v>
      </c>
      <c r="D365" s="6">
        <v>19</v>
      </c>
      <c r="E365" s="6">
        <v>34</v>
      </c>
      <c r="F365" s="6">
        <v>6</v>
      </c>
      <c r="G365" s="6">
        <v>4.42</v>
      </c>
      <c r="H365" s="6">
        <v>15.2</v>
      </c>
      <c r="I365" s="6">
        <v>15.6</v>
      </c>
      <c r="J365" s="6">
        <v>10</v>
      </c>
      <c r="K365" s="6">
        <v>0.15</v>
      </c>
      <c r="L365" s="6">
        <v>0.12</v>
      </c>
      <c r="M365" s="6">
        <v>0.15</v>
      </c>
      <c r="N365" s="6">
        <v>10</v>
      </c>
      <c r="O365" s="6">
        <v>0.1021</v>
      </c>
      <c r="P365" s="6">
        <v>3.3799999999999997E-2</v>
      </c>
      <c r="Q365" s="6">
        <v>0.16719999999999999</v>
      </c>
      <c r="R365" s="6"/>
      <c r="S365" s="6"/>
      <c r="T365" s="6"/>
      <c r="U365" s="6">
        <v>664</v>
      </c>
      <c r="V365">
        <f t="shared" si="36"/>
        <v>66.400000000000006</v>
      </c>
      <c r="W365">
        <f t="shared" si="37"/>
        <v>1.021E-2</v>
      </c>
      <c r="X365">
        <f t="shared" si="38"/>
        <v>3.3799999999999998E-3</v>
      </c>
      <c r="Y365">
        <f t="shared" si="39"/>
        <v>1.6719999999999999E-2</v>
      </c>
    </row>
    <row r="366" spans="1:25" x14ac:dyDescent="0.25">
      <c r="B366" s="5" t="s">
        <v>16</v>
      </c>
      <c r="C366" s="5">
        <v>20</v>
      </c>
      <c r="D366" s="5">
        <v>18</v>
      </c>
      <c r="E366" s="5"/>
      <c r="F366" s="5">
        <v>2</v>
      </c>
      <c r="G366" s="5">
        <v>1.96</v>
      </c>
      <c r="H366" s="5">
        <v>28.8</v>
      </c>
      <c r="I366" s="5">
        <v>63.3</v>
      </c>
      <c r="J366" s="5">
        <v>30.7</v>
      </c>
      <c r="K366" s="5">
        <v>0.16</v>
      </c>
      <c r="L366" s="5">
        <v>0.14000000000000001</v>
      </c>
      <c r="M366" s="5">
        <v>0.14000000000000001</v>
      </c>
      <c r="N366" s="5">
        <v>5</v>
      </c>
      <c r="O366" s="5">
        <v>9.11E-2</v>
      </c>
      <c r="P366" s="5">
        <v>5.4699999999999999E-2</v>
      </c>
      <c r="Q366" s="5">
        <v>0.14829999999999999</v>
      </c>
      <c r="R366" s="5">
        <v>0.45</v>
      </c>
      <c r="S366" s="5">
        <v>180</v>
      </c>
      <c r="T366" s="5">
        <f t="shared" ref="T366:T375" si="40">(R366/2)^2*3.14*2*R366</f>
        <v>0.14306625000000001</v>
      </c>
      <c r="U366" s="5"/>
      <c r="V366">
        <f t="shared" si="36"/>
        <v>0</v>
      </c>
      <c r="W366">
        <f t="shared" si="37"/>
        <v>1.822E-2</v>
      </c>
      <c r="X366">
        <f t="shared" si="38"/>
        <v>1.094E-2</v>
      </c>
      <c r="Y366">
        <f t="shared" si="39"/>
        <v>2.9659999999999999E-2</v>
      </c>
    </row>
    <row r="367" spans="1:25" x14ac:dyDescent="0.25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>
        <v>0.44</v>
      </c>
      <c r="S367" s="5">
        <v>168</v>
      </c>
      <c r="T367" s="5">
        <f t="shared" si="40"/>
        <v>0.13373888</v>
      </c>
      <c r="U367" s="5"/>
      <c r="V367" t="e">
        <f t="shared" si="36"/>
        <v>#DIV/0!</v>
      </c>
      <c r="W367" t="e">
        <f t="shared" si="37"/>
        <v>#DIV/0!</v>
      </c>
      <c r="X367" t="e">
        <f t="shared" si="38"/>
        <v>#DIV/0!</v>
      </c>
      <c r="Y367" t="e">
        <f t="shared" si="39"/>
        <v>#DIV/0!</v>
      </c>
    </row>
    <row r="368" spans="1:25" x14ac:dyDescent="0.25"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>
        <v>0.28999999999999998</v>
      </c>
      <c r="S368" s="5">
        <v>133</v>
      </c>
      <c r="T368" s="5">
        <f t="shared" si="40"/>
        <v>3.8290729999999995E-2</v>
      </c>
      <c r="U368" s="5"/>
      <c r="V368" t="e">
        <f t="shared" si="36"/>
        <v>#DIV/0!</v>
      </c>
      <c r="W368" t="e">
        <f t="shared" si="37"/>
        <v>#DIV/0!</v>
      </c>
      <c r="X368" t="e">
        <f t="shared" si="38"/>
        <v>#DIV/0!</v>
      </c>
      <c r="Y368" t="e">
        <f t="shared" si="39"/>
        <v>#DIV/0!</v>
      </c>
    </row>
    <row r="369" spans="1:25" x14ac:dyDescent="0.25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>
        <v>0.41</v>
      </c>
      <c r="S369" s="5">
        <v>166</v>
      </c>
      <c r="T369" s="5">
        <f t="shared" si="40"/>
        <v>0.10820596999999997</v>
      </c>
      <c r="U369" s="5"/>
      <c r="V369" t="e">
        <f t="shared" si="36"/>
        <v>#DIV/0!</v>
      </c>
      <c r="W369" t="e">
        <f t="shared" si="37"/>
        <v>#DIV/0!</v>
      </c>
      <c r="X369" t="e">
        <f t="shared" si="38"/>
        <v>#DIV/0!</v>
      </c>
      <c r="Y369" t="e">
        <f t="shared" si="39"/>
        <v>#DIV/0!</v>
      </c>
    </row>
    <row r="370" spans="1:25" x14ac:dyDescent="0.25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>
        <v>0.42</v>
      </c>
      <c r="S370" s="5">
        <v>168</v>
      </c>
      <c r="T370" s="5">
        <f t="shared" si="40"/>
        <v>0.11631815999999999</v>
      </c>
      <c r="U370" s="5">
        <f>AVERAGEA(T366:T370)</f>
        <v>0.10792399799999999</v>
      </c>
      <c r="V370" t="e">
        <f t="shared" si="36"/>
        <v>#DIV/0!</v>
      </c>
      <c r="W370" t="e">
        <f t="shared" si="37"/>
        <v>#DIV/0!</v>
      </c>
      <c r="X370" t="e">
        <f t="shared" si="38"/>
        <v>#DIV/0!</v>
      </c>
      <c r="Y370" t="e">
        <f t="shared" si="39"/>
        <v>#DIV/0!</v>
      </c>
    </row>
    <row r="371" spans="1:25" x14ac:dyDescent="0.25">
      <c r="B371" s="9" t="s">
        <v>167</v>
      </c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>
        <v>5</v>
      </c>
      <c r="O371" s="9">
        <v>4.0387000000000004</v>
      </c>
      <c r="P371" s="9">
        <v>2.1840999999999999</v>
      </c>
      <c r="Q371" s="9">
        <v>6.1954000000000002</v>
      </c>
      <c r="R371" s="9">
        <v>1.92</v>
      </c>
      <c r="S371" s="9">
        <v>595</v>
      </c>
      <c r="T371" s="9">
        <f t="shared" si="40"/>
        <v>11.11228416</v>
      </c>
      <c r="U371" s="9"/>
      <c r="V371">
        <f t="shared" si="36"/>
        <v>0</v>
      </c>
      <c r="W371">
        <f t="shared" si="37"/>
        <v>0.80774000000000012</v>
      </c>
      <c r="X371">
        <f t="shared" si="38"/>
        <v>0.43681999999999999</v>
      </c>
      <c r="Y371">
        <f t="shared" si="39"/>
        <v>1.23908</v>
      </c>
    </row>
    <row r="372" spans="1:25" x14ac:dyDescent="0.25"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>
        <v>1.42</v>
      </c>
      <c r="S372" s="9">
        <v>475</v>
      </c>
      <c r="T372" s="9">
        <f t="shared" si="40"/>
        <v>4.49536216</v>
      </c>
      <c r="U372" s="9"/>
      <c r="V372" t="e">
        <f t="shared" si="36"/>
        <v>#DIV/0!</v>
      </c>
      <c r="W372" t="e">
        <f t="shared" si="37"/>
        <v>#DIV/0!</v>
      </c>
      <c r="X372" t="e">
        <f t="shared" si="38"/>
        <v>#DIV/0!</v>
      </c>
      <c r="Y372" t="e">
        <f t="shared" si="39"/>
        <v>#DIV/0!</v>
      </c>
    </row>
    <row r="373" spans="1:25" x14ac:dyDescent="0.25"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>
        <v>1.1399999999999999</v>
      </c>
      <c r="S373" s="9">
        <v>474</v>
      </c>
      <c r="T373" s="9">
        <f t="shared" si="40"/>
        <v>2.3260240799999998</v>
      </c>
      <c r="U373" s="9"/>
      <c r="V373" t="e">
        <f t="shared" si="36"/>
        <v>#DIV/0!</v>
      </c>
      <c r="W373" t="e">
        <f t="shared" si="37"/>
        <v>#DIV/0!</v>
      </c>
      <c r="X373" t="e">
        <f t="shared" si="38"/>
        <v>#DIV/0!</v>
      </c>
      <c r="Y373" t="e">
        <f t="shared" si="39"/>
        <v>#DIV/0!</v>
      </c>
    </row>
    <row r="374" spans="1:25" x14ac:dyDescent="0.25"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>
        <v>2.02</v>
      </c>
      <c r="S374" s="9">
        <v>636</v>
      </c>
      <c r="T374" s="9">
        <f t="shared" si="40"/>
        <v>12.940580560000001</v>
      </c>
      <c r="U374" s="9"/>
      <c r="V374" t="e">
        <f t="shared" si="36"/>
        <v>#DIV/0!</v>
      </c>
      <c r="W374" t="e">
        <f t="shared" si="37"/>
        <v>#DIV/0!</v>
      </c>
      <c r="X374" t="e">
        <f t="shared" si="38"/>
        <v>#DIV/0!</v>
      </c>
      <c r="Y374" t="e">
        <f t="shared" si="39"/>
        <v>#DIV/0!</v>
      </c>
    </row>
    <row r="375" spans="1:25" x14ac:dyDescent="0.25"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>
        <v>1.82</v>
      </c>
      <c r="S375" s="9">
        <v>570</v>
      </c>
      <c r="T375" s="9">
        <f t="shared" si="40"/>
        <v>9.4648517600000019</v>
      </c>
      <c r="U375" s="9">
        <f>AVERAGEA(T371:T375)</f>
        <v>8.0678205439999999</v>
      </c>
      <c r="V375" t="e">
        <f t="shared" si="36"/>
        <v>#DIV/0!</v>
      </c>
      <c r="W375" t="e">
        <f t="shared" si="37"/>
        <v>#DIV/0!</v>
      </c>
      <c r="X375" t="e">
        <f t="shared" si="38"/>
        <v>#DIV/0!</v>
      </c>
      <c r="Y375" t="e">
        <f t="shared" si="39"/>
        <v>#DIV/0!</v>
      </c>
    </row>
    <row r="376" spans="1:25" x14ac:dyDescent="0.25">
      <c r="B376" s="9" t="s">
        <v>102</v>
      </c>
      <c r="C376" s="9">
        <v>60</v>
      </c>
      <c r="D376" s="9"/>
      <c r="E376" s="9"/>
      <c r="F376" s="9">
        <v>1</v>
      </c>
      <c r="G376" s="9">
        <v>35.950000000000003</v>
      </c>
      <c r="H376" s="9">
        <v>26.9</v>
      </c>
      <c r="I376" s="9">
        <v>17.8</v>
      </c>
      <c r="J376" s="9">
        <v>26.8</v>
      </c>
      <c r="K376" s="9">
        <v>0.33</v>
      </c>
      <c r="L376" s="9">
        <v>0.28000000000000003</v>
      </c>
      <c r="M376" s="9">
        <v>0.16</v>
      </c>
      <c r="N376" s="9">
        <v>10</v>
      </c>
      <c r="O376" s="9">
        <v>9.3399999999999997E-2</v>
      </c>
      <c r="P376" s="9">
        <v>2.6499999999999999E-2</v>
      </c>
      <c r="Q376" s="9">
        <v>0.1326</v>
      </c>
      <c r="R376" s="9"/>
      <c r="S376" s="9"/>
      <c r="T376" s="9"/>
      <c r="U376" s="9">
        <v>560</v>
      </c>
      <c r="V376">
        <f t="shared" si="36"/>
        <v>56</v>
      </c>
      <c r="W376">
        <f t="shared" si="37"/>
        <v>9.3399999999999993E-3</v>
      </c>
      <c r="X376">
        <f t="shared" si="38"/>
        <v>2.65E-3</v>
      </c>
      <c r="Y376">
        <f t="shared" si="39"/>
        <v>1.3259999999999999E-2</v>
      </c>
    </row>
    <row r="377" spans="1:25" x14ac:dyDescent="0.25">
      <c r="B377" s="9" t="s">
        <v>93</v>
      </c>
      <c r="C377" s="9">
        <v>56</v>
      </c>
      <c r="D377" s="9">
        <v>45</v>
      </c>
      <c r="E377" s="9">
        <v>15</v>
      </c>
      <c r="F377" s="9">
        <v>8</v>
      </c>
      <c r="G377" s="9">
        <v>108.43</v>
      </c>
      <c r="H377" s="9">
        <v>61.2</v>
      </c>
      <c r="I377" s="9">
        <v>63</v>
      </c>
      <c r="J377" s="9">
        <v>55.6</v>
      </c>
      <c r="K377" s="9">
        <v>0.23</v>
      </c>
      <c r="L377" s="9">
        <v>0.2</v>
      </c>
      <c r="M377" s="9">
        <v>0.18</v>
      </c>
      <c r="N377" s="9">
        <v>10</v>
      </c>
      <c r="O377" s="9">
        <v>0.26719999999999999</v>
      </c>
      <c r="P377" s="9">
        <v>0.12909999999999999</v>
      </c>
      <c r="Q377" s="9">
        <v>0.3543</v>
      </c>
      <c r="R377" s="9"/>
      <c r="S377" s="9"/>
      <c r="T377" s="9"/>
      <c r="U377" s="9">
        <v>1712</v>
      </c>
      <c r="V377">
        <f t="shared" si="36"/>
        <v>171.2</v>
      </c>
      <c r="W377">
        <f t="shared" si="37"/>
        <v>2.6720000000000001E-2</v>
      </c>
      <c r="X377">
        <f t="shared" si="38"/>
        <v>1.291E-2</v>
      </c>
      <c r="Y377">
        <f t="shared" si="39"/>
        <v>3.5430000000000003E-2</v>
      </c>
    </row>
    <row r="378" spans="1:25" x14ac:dyDescent="0.25">
      <c r="A378" s="2" t="s">
        <v>104</v>
      </c>
      <c r="B378" s="5" t="s">
        <v>32</v>
      </c>
      <c r="C378" s="5">
        <v>21</v>
      </c>
      <c r="D378" s="5">
        <v>27</v>
      </c>
      <c r="E378" s="5"/>
      <c r="F378" s="5">
        <v>2</v>
      </c>
      <c r="G378" s="5">
        <v>3.08</v>
      </c>
      <c r="H378" s="5">
        <v>25.2</v>
      </c>
      <c r="I378" s="5">
        <v>16.100000000000001</v>
      </c>
      <c r="J378" s="5">
        <v>13.7</v>
      </c>
      <c r="K378" s="5">
        <v>0.53</v>
      </c>
      <c r="L378" s="5">
        <v>0.49</v>
      </c>
      <c r="M378" s="5">
        <v>0.55000000000000004</v>
      </c>
      <c r="N378" s="5">
        <v>20</v>
      </c>
      <c r="O378" s="5">
        <v>0.11550000000000001</v>
      </c>
      <c r="P378" s="5">
        <v>9.9000000000000008E-3</v>
      </c>
      <c r="Q378" s="5">
        <v>0.1192</v>
      </c>
      <c r="R378" s="5">
        <v>1.05</v>
      </c>
      <c r="S378" s="5">
        <v>6.96</v>
      </c>
      <c r="T378" s="5">
        <f>(R378/2)^2*3.14*2*R378</f>
        <v>1.8174712500000001</v>
      </c>
      <c r="U378" s="5"/>
      <c r="V378">
        <f t="shared" si="36"/>
        <v>0</v>
      </c>
      <c r="W378">
        <f t="shared" si="37"/>
        <v>5.7750000000000006E-3</v>
      </c>
      <c r="X378">
        <f t="shared" si="38"/>
        <v>4.95E-4</v>
      </c>
      <c r="Y378">
        <f t="shared" si="39"/>
        <v>5.96E-3</v>
      </c>
    </row>
    <row r="379" spans="1:25" x14ac:dyDescent="0.25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>
        <v>1.01</v>
      </c>
      <c r="S379" s="5">
        <v>5.3</v>
      </c>
      <c r="T379" s="5">
        <f>(R379/2)^2*3.14*2*R379</f>
        <v>1.6175725700000001</v>
      </c>
      <c r="U379" s="5"/>
      <c r="V379" t="e">
        <f t="shared" si="36"/>
        <v>#DIV/0!</v>
      </c>
      <c r="W379" t="e">
        <f t="shared" si="37"/>
        <v>#DIV/0!</v>
      </c>
      <c r="X379" t="e">
        <f t="shared" si="38"/>
        <v>#DIV/0!</v>
      </c>
      <c r="Y379" t="e">
        <f t="shared" si="39"/>
        <v>#DIV/0!</v>
      </c>
    </row>
    <row r="380" spans="1:25" x14ac:dyDescent="0.25"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>
        <v>1.19</v>
      </c>
      <c r="S380" s="5">
        <v>6.09</v>
      </c>
      <c r="T380" s="5">
        <f>(R380/2)^2*3.14*2*R380</f>
        <v>2.6456996299999997</v>
      </c>
      <c r="U380" s="5"/>
      <c r="V380" t="e">
        <f t="shared" si="36"/>
        <v>#DIV/0!</v>
      </c>
      <c r="W380" t="e">
        <f t="shared" si="37"/>
        <v>#DIV/0!</v>
      </c>
      <c r="X380" t="e">
        <f t="shared" si="38"/>
        <v>#DIV/0!</v>
      </c>
      <c r="Y380" t="e">
        <f t="shared" si="39"/>
        <v>#DIV/0!</v>
      </c>
    </row>
    <row r="381" spans="1:25" x14ac:dyDescent="0.25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>
        <v>1.1299999999999999</v>
      </c>
      <c r="S381" s="5">
        <v>4.2300000000000004</v>
      </c>
      <c r="T381" s="5">
        <f>(R381/2)^2*3.14*2*R381</f>
        <v>2.265348289999999</v>
      </c>
      <c r="U381" s="5"/>
      <c r="V381" t="e">
        <f t="shared" si="36"/>
        <v>#DIV/0!</v>
      </c>
      <c r="W381" t="e">
        <f t="shared" si="37"/>
        <v>#DIV/0!</v>
      </c>
      <c r="X381" t="e">
        <f t="shared" si="38"/>
        <v>#DIV/0!</v>
      </c>
      <c r="Y381" t="e">
        <f t="shared" si="39"/>
        <v>#DIV/0!</v>
      </c>
    </row>
    <row r="382" spans="1:25" x14ac:dyDescent="0.25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>
        <v>1.17</v>
      </c>
      <c r="S382" s="5">
        <v>4.8499999999999996</v>
      </c>
      <c r="T382" s="5">
        <f>(R382/2)^2*3.14*2*R382</f>
        <v>2.5145324099999997</v>
      </c>
      <c r="U382" s="5">
        <f>AVERAGEA(T378:T382)</f>
        <v>2.1721248299999996</v>
      </c>
      <c r="V382" t="e">
        <f t="shared" si="36"/>
        <v>#DIV/0!</v>
      </c>
      <c r="W382" t="e">
        <f t="shared" si="37"/>
        <v>#DIV/0!</v>
      </c>
      <c r="X382" t="e">
        <f t="shared" si="38"/>
        <v>#DIV/0!</v>
      </c>
      <c r="Y382" t="e">
        <f t="shared" si="39"/>
        <v>#DIV/0!</v>
      </c>
    </row>
    <row r="383" spans="1:25" x14ac:dyDescent="0.25">
      <c r="B383" s="7" t="s">
        <v>93</v>
      </c>
      <c r="C383" s="7">
        <v>58</v>
      </c>
      <c r="D383" s="7">
        <v>37</v>
      </c>
      <c r="E383" s="7">
        <v>32</v>
      </c>
      <c r="F383" s="7">
        <v>3</v>
      </c>
      <c r="G383" s="7">
        <v>13.52</v>
      </c>
      <c r="H383" s="7">
        <v>55.1</v>
      </c>
      <c r="I383" s="7">
        <v>55.4</v>
      </c>
      <c r="J383" s="7">
        <v>55.7</v>
      </c>
      <c r="K383" s="7">
        <v>0.27</v>
      </c>
      <c r="L383" s="7">
        <v>0.26</v>
      </c>
      <c r="M383" s="7">
        <v>0.23</v>
      </c>
      <c r="N383" s="7">
        <v>15</v>
      </c>
      <c r="O383" s="7">
        <v>0.34399999999999997</v>
      </c>
      <c r="P383" s="7">
        <v>0.15310000000000001</v>
      </c>
      <c r="Q383" s="7">
        <v>0.4541</v>
      </c>
      <c r="R383" s="7"/>
      <c r="S383" s="7"/>
      <c r="T383" s="7"/>
      <c r="U383" s="7">
        <v>1865</v>
      </c>
      <c r="V383">
        <f t="shared" si="36"/>
        <v>124.33333333333333</v>
      </c>
      <c r="W383">
        <f t="shared" si="37"/>
        <v>2.293333333333333E-2</v>
      </c>
      <c r="X383">
        <f t="shared" si="38"/>
        <v>1.0206666666666668E-2</v>
      </c>
      <c r="Y383">
        <f t="shared" si="39"/>
        <v>3.0273333333333333E-2</v>
      </c>
    </row>
    <row r="384" spans="1:25" x14ac:dyDescent="0.25">
      <c r="B384" s="8" t="s">
        <v>35</v>
      </c>
      <c r="C384" s="8">
        <v>40</v>
      </c>
      <c r="D384" s="8">
        <v>38</v>
      </c>
      <c r="E384" s="8">
        <v>37</v>
      </c>
      <c r="F384" s="8">
        <v>44</v>
      </c>
      <c r="G384" s="8">
        <v>144.91999999999999</v>
      </c>
      <c r="H384" s="8">
        <v>64.8</v>
      </c>
      <c r="I384" s="8">
        <v>69.3</v>
      </c>
      <c r="J384" s="8">
        <v>64.900000000000006</v>
      </c>
      <c r="K384" s="8">
        <v>0.14000000000000001</v>
      </c>
      <c r="L384" s="8">
        <v>0.16</v>
      </c>
      <c r="M384" s="8">
        <v>0.17</v>
      </c>
      <c r="N384" s="8">
        <v>10</v>
      </c>
      <c r="O384" s="8">
        <v>0.21479999999999999</v>
      </c>
      <c r="P384" s="8">
        <v>8.0100000000000005E-2</v>
      </c>
      <c r="Q384" s="8">
        <v>0.54779999999999995</v>
      </c>
      <c r="R384" s="8"/>
      <c r="S384" s="8"/>
      <c r="T384" s="8"/>
      <c r="U384" s="8">
        <v>1123</v>
      </c>
      <c r="V384">
        <f t="shared" si="36"/>
        <v>112.3</v>
      </c>
      <c r="W384">
        <f t="shared" si="37"/>
        <v>2.1479999999999999E-2</v>
      </c>
      <c r="X384">
        <f t="shared" si="38"/>
        <v>8.0099999999999998E-3</v>
      </c>
      <c r="Y384">
        <f t="shared" si="39"/>
        <v>5.4779999999999995E-2</v>
      </c>
    </row>
    <row r="385" spans="1:25" x14ac:dyDescent="0.25">
      <c r="A385" s="2" t="s">
        <v>105</v>
      </c>
      <c r="B385" s="5" t="s">
        <v>39</v>
      </c>
      <c r="C385" s="5">
        <v>40</v>
      </c>
      <c r="D385" s="5">
        <v>24</v>
      </c>
      <c r="E385" s="5">
        <v>35</v>
      </c>
      <c r="F385" s="5">
        <v>15</v>
      </c>
      <c r="G385" s="5">
        <v>22.41</v>
      </c>
      <c r="H385" s="5">
        <v>48</v>
      </c>
      <c r="I385" s="5">
        <v>21.9</v>
      </c>
      <c r="J385" s="5">
        <v>45.9</v>
      </c>
      <c r="K385" s="5">
        <v>0.21</v>
      </c>
      <c r="L385" s="5">
        <v>0.24</v>
      </c>
      <c r="M385" s="5">
        <v>0.18</v>
      </c>
      <c r="N385" s="5">
        <v>20</v>
      </c>
      <c r="O385" s="5">
        <v>4.36E-2</v>
      </c>
      <c r="P385" s="5">
        <v>2.1100000000000001E-2</v>
      </c>
      <c r="Q385" s="5">
        <v>8.3000000000000004E-2</v>
      </c>
      <c r="R385" s="5"/>
      <c r="S385" s="5"/>
      <c r="T385" s="5"/>
      <c r="U385" s="5">
        <v>392</v>
      </c>
      <c r="V385">
        <f t="shared" si="36"/>
        <v>19.600000000000001</v>
      </c>
      <c r="W385">
        <f t="shared" si="37"/>
        <v>2.1800000000000001E-3</v>
      </c>
      <c r="X385">
        <f t="shared" si="38"/>
        <v>1.0549999999999999E-3</v>
      </c>
      <c r="Y385">
        <f t="shared" si="39"/>
        <v>4.15E-3</v>
      </c>
    </row>
    <row r="386" spans="1:25" x14ac:dyDescent="0.25">
      <c r="B386" s="14" t="s">
        <v>168</v>
      </c>
      <c r="C386" s="14">
        <v>88</v>
      </c>
      <c r="D386" s="14"/>
      <c r="E386" s="14"/>
      <c r="F386" s="14">
        <v>1</v>
      </c>
      <c r="G386" s="14">
        <v>40.1</v>
      </c>
      <c r="H386" s="14">
        <v>5.3</v>
      </c>
      <c r="I386" s="14">
        <v>4.8</v>
      </c>
      <c r="J386" s="14">
        <v>5.6</v>
      </c>
      <c r="K386" s="14">
        <v>0.17</v>
      </c>
      <c r="L386" s="14">
        <v>0.2</v>
      </c>
      <c r="M386" s="14">
        <v>0.25</v>
      </c>
      <c r="N386" s="14">
        <v>15</v>
      </c>
      <c r="O386" s="14">
        <v>5.45E-2</v>
      </c>
      <c r="P386" s="14">
        <v>2.0500000000000001E-2</v>
      </c>
      <c r="Q386" s="14">
        <v>8.3599999999999994E-2</v>
      </c>
      <c r="R386" s="14"/>
      <c r="S386" s="14"/>
      <c r="T386" s="14"/>
      <c r="U386" s="14">
        <v>443</v>
      </c>
      <c r="V386">
        <f t="shared" ref="V386:V449" si="41">U386/N386</f>
        <v>29.533333333333335</v>
      </c>
      <c r="W386">
        <f t="shared" si="37"/>
        <v>3.6333333333333335E-3</v>
      </c>
      <c r="X386">
        <f t="shared" si="38"/>
        <v>1.3666666666666666E-3</v>
      </c>
      <c r="Y386">
        <f t="shared" si="39"/>
        <v>5.5733333333333329E-3</v>
      </c>
    </row>
    <row r="387" spans="1:25" x14ac:dyDescent="0.25">
      <c r="B387" s="6" t="s">
        <v>169</v>
      </c>
      <c r="C387" s="6">
        <v>30</v>
      </c>
      <c r="D387" s="6">
        <v>23</v>
      </c>
      <c r="E387" s="6">
        <v>19</v>
      </c>
      <c r="F387" s="6">
        <v>3</v>
      </c>
      <c r="G387" s="6">
        <v>8.23</v>
      </c>
      <c r="H387" s="6">
        <v>59.9</v>
      </c>
      <c r="I387" s="6">
        <v>50.1</v>
      </c>
      <c r="J387" s="6">
        <v>61.1</v>
      </c>
      <c r="K387" s="6">
        <v>0.25</v>
      </c>
      <c r="L387" s="6">
        <v>0.2</v>
      </c>
      <c r="M387" s="6">
        <v>0.28999999999999998</v>
      </c>
      <c r="N387" s="6">
        <v>10</v>
      </c>
      <c r="O387" s="6">
        <v>0.54810000000000003</v>
      </c>
      <c r="P387" s="6">
        <v>0.24759999999999999</v>
      </c>
      <c r="Q387" s="6">
        <v>0.71930000000000005</v>
      </c>
      <c r="R387" s="6"/>
      <c r="S387" s="6"/>
      <c r="T387" s="6"/>
      <c r="U387" s="6">
        <v>2619</v>
      </c>
      <c r="V387">
        <f t="shared" si="41"/>
        <v>261.89999999999998</v>
      </c>
      <c r="W387">
        <f t="shared" ref="W387:W450" si="42">O387/N387</f>
        <v>5.4810000000000005E-2</v>
      </c>
      <c r="X387">
        <f t="shared" ref="X387:X450" si="43">P387/N387</f>
        <v>2.4759999999999997E-2</v>
      </c>
      <c r="Y387">
        <f t="shared" ref="Y387:Y450" si="44">Q387/N387</f>
        <v>7.1930000000000008E-2</v>
      </c>
    </row>
    <row r="388" spans="1:25" x14ac:dyDescent="0.25">
      <c r="B388" s="7" t="s">
        <v>106</v>
      </c>
      <c r="C388" s="7">
        <v>47</v>
      </c>
      <c r="D388" s="7"/>
      <c r="E388" s="7"/>
      <c r="F388" s="7">
        <v>1</v>
      </c>
      <c r="G388" s="7">
        <v>31.37</v>
      </c>
      <c r="H388" s="7">
        <v>62.3</v>
      </c>
      <c r="I388" s="7">
        <v>78.5</v>
      </c>
      <c r="J388" s="7">
        <v>54.3</v>
      </c>
      <c r="K388" s="7">
        <v>0.37</v>
      </c>
      <c r="L388" s="7">
        <v>0.32</v>
      </c>
      <c r="M388" s="7">
        <v>0.34</v>
      </c>
      <c r="N388" s="7">
        <v>5</v>
      </c>
      <c r="O388" s="7">
        <v>0.63480000000000003</v>
      </c>
      <c r="P388" s="7">
        <v>0.23769999999999999</v>
      </c>
      <c r="Q388" s="7">
        <v>0.94240000000000002</v>
      </c>
      <c r="R388" s="7"/>
      <c r="S388" s="7"/>
      <c r="T388" s="7"/>
      <c r="U388" s="7">
        <v>2022</v>
      </c>
      <c r="V388">
        <f t="shared" si="41"/>
        <v>404.4</v>
      </c>
      <c r="W388">
        <f t="shared" si="42"/>
        <v>0.12696000000000002</v>
      </c>
      <c r="X388">
        <f t="shared" si="43"/>
        <v>4.7539999999999999E-2</v>
      </c>
      <c r="Y388">
        <f t="shared" si="44"/>
        <v>0.18848000000000001</v>
      </c>
    </row>
    <row r="389" spans="1:25" x14ac:dyDescent="0.25">
      <c r="B389" s="8" t="s">
        <v>107</v>
      </c>
      <c r="C389" s="8">
        <v>39</v>
      </c>
      <c r="D389" s="8">
        <v>31</v>
      </c>
      <c r="E389" s="8">
        <v>33</v>
      </c>
      <c r="F389" s="8">
        <v>7</v>
      </c>
      <c r="G389" s="8">
        <v>6.43</v>
      </c>
      <c r="H389" s="8">
        <v>8.1</v>
      </c>
      <c r="I389" s="8">
        <v>6</v>
      </c>
      <c r="J389" s="8">
        <v>13.5</v>
      </c>
      <c r="K389" s="8">
        <v>7.0000000000000007E-2</v>
      </c>
      <c r="L389" s="8">
        <v>0.27</v>
      </c>
      <c r="M389" s="8">
        <v>0.28999999999999998</v>
      </c>
      <c r="N389" s="8">
        <v>1</v>
      </c>
      <c r="O389" s="8">
        <v>4.7199999999999999E-2</v>
      </c>
      <c r="P389" s="8">
        <v>1.11E-2</v>
      </c>
      <c r="Q389" s="8">
        <v>6.4600000000000005E-2</v>
      </c>
      <c r="R389" s="8">
        <v>0.3</v>
      </c>
      <c r="S389" s="8">
        <v>33</v>
      </c>
      <c r="T389" s="8">
        <f t="shared" ref="T389:T403" si="45">(R389/2)^2*3.14*2*R389</f>
        <v>4.2390000000000004E-2</v>
      </c>
      <c r="U389" s="8"/>
      <c r="V389">
        <f t="shared" si="41"/>
        <v>0</v>
      </c>
      <c r="W389">
        <f t="shared" si="42"/>
        <v>4.7199999999999999E-2</v>
      </c>
      <c r="X389">
        <f t="shared" si="43"/>
        <v>1.11E-2</v>
      </c>
      <c r="Y389">
        <f t="shared" si="44"/>
        <v>6.4600000000000005E-2</v>
      </c>
    </row>
    <row r="390" spans="1:25" x14ac:dyDescent="0.25"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>
        <v>0.21</v>
      </c>
      <c r="S390" s="8">
        <v>40</v>
      </c>
      <c r="T390" s="8">
        <f t="shared" si="45"/>
        <v>1.4539769999999999E-2</v>
      </c>
      <c r="U390" s="8"/>
      <c r="V390" t="e">
        <f t="shared" si="41"/>
        <v>#DIV/0!</v>
      </c>
      <c r="W390" t="e">
        <f t="shared" si="42"/>
        <v>#DIV/0!</v>
      </c>
      <c r="X390" t="e">
        <f t="shared" si="43"/>
        <v>#DIV/0!</v>
      </c>
      <c r="Y390" t="e">
        <f t="shared" si="44"/>
        <v>#DIV/0!</v>
      </c>
    </row>
    <row r="391" spans="1:25" x14ac:dyDescent="0.25"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>
        <v>0.23</v>
      </c>
      <c r="S391" s="8">
        <v>38</v>
      </c>
      <c r="T391" s="8">
        <f t="shared" si="45"/>
        <v>1.9102190000000002E-2</v>
      </c>
      <c r="U391" s="8"/>
      <c r="V391" t="e">
        <f t="shared" si="41"/>
        <v>#DIV/0!</v>
      </c>
      <c r="W391" t="e">
        <f t="shared" si="42"/>
        <v>#DIV/0!</v>
      </c>
      <c r="X391" t="e">
        <f t="shared" si="43"/>
        <v>#DIV/0!</v>
      </c>
      <c r="Y391" t="e">
        <f t="shared" si="44"/>
        <v>#DIV/0!</v>
      </c>
    </row>
    <row r="392" spans="1:25" x14ac:dyDescent="0.25"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>
        <v>0.2</v>
      </c>
      <c r="S392" s="8">
        <v>29</v>
      </c>
      <c r="T392" s="8">
        <f t="shared" si="45"/>
        <v>1.2560000000000002E-2</v>
      </c>
      <c r="U392" s="8"/>
      <c r="V392" t="e">
        <f t="shared" si="41"/>
        <v>#DIV/0!</v>
      </c>
      <c r="W392" t="e">
        <f t="shared" si="42"/>
        <v>#DIV/0!</v>
      </c>
      <c r="X392" t="e">
        <f t="shared" si="43"/>
        <v>#DIV/0!</v>
      </c>
      <c r="Y392" t="e">
        <f t="shared" si="44"/>
        <v>#DIV/0!</v>
      </c>
    </row>
    <row r="393" spans="1:25" x14ac:dyDescent="0.25"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>
        <v>0.18</v>
      </c>
      <c r="S393" s="8">
        <v>29</v>
      </c>
      <c r="T393" s="8">
        <f t="shared" si="45"/>
        <v>9.1562399999999995E-3</v>
      </c>
      <c r="U393" s="8">
        <f>AVERAGEA(T389:T393)</f>
        <v>1.954964E-2</v>
      </c>
      <c r="V393" t="e">
        <f t="shared" si="41"/>
        <v>#DIV/0!</v>
      </c>
      <c r="W393" t="e">
        <f t="shared" si="42"/>
        <v>#DIV/0!</v>
      </c>
      <c r="X393" t="e">
        <f t="shared" si="43"/>
        <v>#DIV/0!</v>
      </c>
      <c r="Y393" t="e">
        <f t="shared" si="44"/>
        <v>#DIV/0!</v>
      </c>
    </row>
    <row r="394" spans="1:25" x14ac:dyDescent="0.25">
      <c r="B394" s="5" t="s">
        <v>16</v>
      </c>
      <c r="C394" s="5">
        <v>25</v>
      </c>
      <c r="D394" s="5">
        <v>29</v>
      </c>
      <c r="E394" s="5">
        <v>15</v>
      </c>
      <c r="F394" s="5">
        <v>12</v>
      </c>
      <c r="G394" s="5">
        <v>11.24</v>
      </c>
      <c r="H394" s="5">
        <v>27.5</v>
      </c>
      <c r="I394" s="5">
        <v>19.899999999999999</v>
      </c>
      <c r="J394" s="5">
        <v>25.3</v>
      </c>
      <c r="K394" s="5">
        <v>0.15</v>
      </c>
      <c r="L394" s="5">
        <v>0.16</v>
      </c>
      <c r="M394" s="5">
        <v>0.17</v>
      </c>
      <c r="N394" s="5">
        <v>5</v>
      </c>
      <c r="O394" s="5">
        <v>0.15329999999999999</v>
      </c>
      <c r="P394" s="5">
        <v>0.1002</v>
      </c>
      <c r="Q394" s="5">
        <v>0.2243</v>
      </c>
      <c r="R394" s="5">
        <v>0.28000000000000003</v>
      </c>
      <c r="S394" s="5">
        <v>173</v>
      </c>
      <c r="T394" s="5">
        <f t="shared" si="45"/>
        <v>3.4464640000000005E-2</v>
      </c>
      <c r="U394" s="5"/>
      <c r="V394">
        <f t="shared" si="41"/>
        <v>0</v>
      </c>
      <c r="W394">
        <f t="shared" si="42"/>
        <v>3.066E-2</v>
      </c>
      <c r="X394">
        <f t="shared" si="43"/>
        <v>2.0039999999999999E-2</v>
      </c>
      <c r="Y394">
        <f t="shared" si="44"/>
        <v>4.4859999999999997E-2</v>
      </c>
    </row>
    <row r="395" spans="1:25" x14ac:dyDescent="0.25"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>
        <v>0.26</v>
      </c>
      <c r="S395" s="5">
        <v>222</v>
      </c>
      <c r="T395" s="5">
        <f t="shared" si="45"/>
        <v>2.7594320000000006E-2</v>
      </c>
      <c r="U395" s="5"/>
      <c r="V395" t="e">
        <f t="shared" si="41"/>
        <v>#DIV/0!</v>
      </c>
      <c r="W395" t="e">
        <f t="shared" si="42"/>
        <v>#DIV/0!</v>
      </c>
      <c r="X395" t="e">
        <f t="shared" si="43"/>
        <v>#DIV/0!</v>
      </c>
      <c r="Y395" t="e">
        <f t="shared" si="44"/>
        <v>#DIV/0!</v>
      </c>
    </row>
    <row r="396" spans="1:25" x14ac:dyDescent="0.25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>
        <v>0.33</v>
      </c>
      <c r="S396" s="5">
        <v>242</v>
      </c>
      <c r="T396" s="5">
        <f t="shared" si="45"/>
        <v>5.6421090000000007E-2</v>
      </c>
      <c r="U396" s="5"/>
      <c r="V396" t="e">
        <f t="shared" si="41"/>
        <v>#DIV/0!</v>
      </c>
      <c r="W396" t="e">
        <f t="shared" si="42"/>
        <v>#DIV/0!</v>
      </c>
      <c r="X396" t="e">
        <f t="shared" si="43"/>
        <v>#DIV/0!</v>
      </c>
      <c r="Y396" t="e">
        <f t="shared" si="44"/>
        <v>#DIV/0!</v>
      </c>
    </row>
    <row r="397" spans="1:25" x14ac:dyDescent="0.25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>
        <v>0.23</v>
      </c>
      <c r="S397" s="5">
        <v>162</v>
      </c>
      <c r="T397" s="5">
        <f t="shared" si="45"/>
        <v>1.9102190000000002E-2</v>
      </c>
      <c r="U397" s="5"/>
      <c r="V397" t="e">
        <f t="shared" si="41"/>
        <v>#DIV/0!</v>
      </c>
      <c r="W397" t="e">
        <f t="shared" si="42"/>
        <v>#DIV/0!</v>
      </c>
      <c r="X397" t="e">
        <f t="shared" si="43"/>
        <v>#DIV/0!</v>
      </c>
      <c r="Y397" t="e">
        <f t="shared" si="44"/>
        <v>#DIV/0!</v>
      </c>
    </row>
    <row r="398" spans="1:25" x14ac:dyDescent="0.25"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>
        <v>0.24</v>
      </c>
      <c r="S398" s="5">
        <v>181</v>
      </c>
      <c r="T398" s="5">
        <f t="shared" si="45"/>
        <v>2.170368E-2</v>
      </c>
      <c r="U398" s="5">
        <f>AVERAGEA(T394:T398)</f>
        <v>3.1857184000000004E-2</v>
      </c>
      <c r="V398" t="e">
        <f t="shared" si="41"/>
        <v>#DIV/0!</v>
      </c>
      <c r="W398" t="e">
        <f t="shared" si="42"/>
        <v>#DIV/0!</v>
      </c>
      <c r="X398" t="e">
        <f t="shared" si="43"/>
        <v>#DIV/0!</v>
      </c>
      <c r="Y398" t="e">
        <f t="shared" si="44"/>
        <v>#DIV/0!</v>
      </c>
    </row>
    <row r="399" spans="1:25" x14ac:dyDescent="0.25">
      <c r="A399" s="2" t="s">
        <v>108</v>
      </c>
      <c r="B399" s="3" t="s">
        <v>109</v>
      </c>
      <c r="C399" s="3">
        <v>33</v>
      </c>
      <c r="D399" s="3">
        <v>16</v>
      </c>
      <c r="E399" s="3">
        <v>17</v>
      </c>
      <c r="F399" s="3">
        <v>16</v>
      </c>
      <c r="G399" s="3">
        <v>14.96</v>
      </c>
      <c r="H399" s="3">
        <v>22.1</v>
      </c>
      <c r="I399" s="3">
        <v>27.8</v>
      </c>
      <c r="J399" s="3">
        <v>25.3</v>
      </c>
      <c r="K399" s="3">
        <v>0.13</v>
      </c>
      <c r="L399" s="3">
        <v>0.08</v>
      </c>
      <c r="M399" s="3">
        <v>0.11</v>
      </c>
      <c r="N399" s="3">
        <v>15</v>
      </c>
      <c r="O399" s="3">
        <v>0.1179</v>
      </c>
      <c r="P399" s="3">
        <v>2.6200000000000001E-2</v>
      </c>
      <c r="Q399" s="3">
        <v>0.16439999999999999</v>
      </c>
      <c r="R399" s="3">
        <v>0.4</v>
      </c>
      <c r="S399" s="3">
        <v>56</v>
      </c>
      <c r="T399" s="3">
        <f t="shared" si="45"/>
        <v>0.10048000000000001</v>
      </c>
      <c r="U399" s="3"/>
      <c r="V399">
        <f t="shared" si="41"/>
        <v>0</v>
      </c>
      <c r="W399">
        <f t="shared" si="42"/>
        <v>7.8600000000000007E-3</v>
      </c>
      <c r="X399">
        <f t="shared" si="43"/>
        <v>1.7466666666666668E-3</v>
      </c>
      <c r="Y399">
        <f t="shared" si="44"/>
        <v>1.0959999999999999E-2</v>
      </c>
    </row>
    <row r="400" spans="1:25" x14ac:dyDescent="0.25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>
        <v>0.48</v>
      </c>
      <c r="S400" s="3">
        <v>57</v>
      </c>
      <c r="T400" s="3">
        <f t="shared" si="45"/>
        <v>0.17362944</v>
      </c>
      <c r="U400" s="3"/>
      <c r="V400" t="e">
        <f t="shared" si="41"/>
        <v>#DIV/0!</v>
      </c>
      <c r="W400" t="e">
        <f t="shared" si="42"/>
        <v>#DIV/0!</v>
      </c>
      <c r="X400" t="e">
        <f t="shared" si="43"/>
        <v>#DIV/0!</v>
      </c>
      <c r="Y400" t="e">
        <f t="shared" si="44"/>
        <v>#DIV/0!</v>
      </c>
    </row>
    <row r="401" spans="1:25" x14ac:dyDescent="0.25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>
        <v>0.39</v>
      </c>
      <c r="S401" s="3">
        <v>25</v>
      </c>
      <c r="T401" s="3">
        <f t="shared" si="45"/>
        <v>9.3130830000000012E-2</v>
      </c>
      <c r="U401" s="3"/>
      <c r="V401" t="e">
        <f t="shared" si="41"/>
        <v>#DIV/0!</v>
      </c>
      <c r="W401" t="e">
        <f t="shared" si="42"/>
        <v>#DIV/0!</v>
      </c>
      <c r="X401" t="e">
        <f t="shared" si="43"/>
        <v>#DIV/0!</v>
      </c>
      <c r="Y401" t="e">
        <f t="shared" si="44"/>
        <v>#DIV/0!</v>
      </c>
    </row>
    <row r="402" spans="1:25" x14ac:dyDescent="0.25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>
        <v>0.31</v>
      </c>
      <c r="S402" s="3">
        <v>26</v>
      </c>
      <c r="T402" s="3">
        <f t="shared" si="45"/>
        <v>4.677187E-2</v>
      </c>
      <c r="U402" s="3"/>
      <c r="V402" t="e">
        <f t="shared" si="41"/>
        <v>#DIV/0!</v>
      </c>
      <c r="W402" t="e">
        <f t="shared" si="42"/>
        <v>#DIV/0!</v>
      </c>
      <c r="X402" t="e">
        <f t="shared" si="43"/>
        <v>#DIV/0!</v>
      </c>
      <c r="Y402" t="e">
        <f t="shared" si="44"/>
        <v>#DIV/0!</v>
      </c>
    </row>
    <row r="403" spans="1:25" x14ac:dyDescent="0.25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>
        <v>0.46</v>
      </c>
      <c r="S403" s="3">
        <v>11</v>
      </c>
      <c r="T403" s="3">
        <f t="shared" si="45"/>
        <v>0.15281752000000001</v>
      </c>
      <c r="U403" s="3">
        <f>AVERAGEA(T399:T403)</f>
        <v>0.113365932</v>
      </c>
      <c r="V403" t="e">
        <f t="shared" si="41"/>
        <v>#DIV/0!</v>
      </c>
      <c r="W403" t="e">
        <f t="shared" si="42"/>
        <v>#DIV/0!</v>
      </c>
      <c r="X403" t="e">
        <f t="shared" si="43"/>
        <v>#DIV/0!</v>
      </c>
      <c r="Y403" t="e">
        <f t="shared" si="44"/>
        <v>#DIV/0!</v>
      </c>
    </row>
    <row r="404" spans="1:25" x14ac:dyDescent="0.25">
      <c r="B404" s="6" t="s">
        <v>111</v>
      </c>
      <c r="C404" s="6">
        <v>15</v>
      </c>
      <c r="D404" s="6">
        <v>15</v>
      </c>
      <c r="E404" s="6">
        <v>8</v>
      </c>
      <c r="F404" s="6">
        <v>3</v>
      </c>
      <c r="G404" s="6">
        <v>2.5299999999999998</v>
      </c>
      <c r="H404" s="6">
        <v>9.1999999999999993</v>
      </c>
      <c r="I404" s="6">
        <v>14.2</v>
      </c>
      <c r="J404" s="6">
        <v>12.6</v>
      </c>
      <c r="K404" s="6">
        <v>0.14000000000000001</v>
      </c>
      <c r="L404" s="6">
        <v>0.2</v>
      </c>
      <c r="M404" s="6">
        <v>0.16</v>
      </c>
      <c r="N404" s="6">
        <v>5</v>
      </c>
      <c r="O404" s="6">
        <v>0.16489999999999999</v>
      </c>
      <c r="P404" s="6">
        <v>4.19E-2</v>
      </c>
      <c r="Q404" s="6">
        <v>0.27089999999999997</v>
      </c>
      <c r="R404" s="6"/>
      <c r="S404" s="6"/>
      <c r="T404" s="6"/>
      <c r="U404" s="6">
        <v>1080</v>
      </c>
      <c r="V404">
        <f t="shared" si="41"/>
        <v>216</v>
      </c>
      <c r="W404">
        <f t="shared" si="42"/>
        <v>3.2979999999999995E-2</v>
      </c>
      <c r="X404">
        <f t="shared" si="43"/>
        <v>8.3800000000000003E-3</v>
      </c>
      <c r="Y404">
        <f t="shared" si="44"/>
        <v>5.4179999999999992E-2</v>
      </c>
    </row>
    <row r="405" spans="1:25" x14ac:dyDescent="0.25">
      <c r="B405" s="7" t="s">
        <v>35</v>
      </c>
      <c r="C405" s="7">
        <v>40</v>
      </c>
      <c r="D405" s="7">
        <v>32</v>
      </c>
      <c r="E405" s="7">
        <v>45</v>
      </c>
      <c r="F405" s="7">
        <v>33</v>
      </c>
      <c r="G405" s="7">
        <v>123.72</v>
      </c>
      <c r="H405" s="7">
        <v>72.2</v>
      </c>
      <c r="I405" s="7">
        <v>77.900000000000006</v>
      </c>
      <c r="J405" s="7">
        <v>54.3</v>
      </c>
      <c r="K405" s="7">
        <v>0.2</v>
      </c>
      <c r="L405" s="7">
        <v>0.48</v>
      </c>
      <c r="M405" s="7">
        <v>0.18</v>
      </c>
      <c r="N405" s="7">
        <v>10</v>
      </c>
      <c r="O405" s="7">
        <v>0.34849999999999998</v>
      </c>
      <c r="P405" s="7">
        <v>7.7299999999999994E-2</v>
      </c>
      <c r="Q405" s="7">
        <v>0.58799999999999997</v>
      </c>
      <c r="R405" s="7"/>
      <c r="S405" s="7"/>
      <c r="T405" s="7"/>
      <c r="U405" s="7">
        <v>1435</v>
      </c>
      <c r="V405">
        <f t="shared" si="41"/>
        <v>143.5</v>
      </c>
      <c r="W405">
        <f t="shared" si="42"/>
        <v>3.4849999999999999E-2</v>
      </c>
      <c r="X405">
        <f t="shared" si="43"/>
        <v>7.729999999999999E-3</v>
      </c>
      <c r="Y405">
        <f t="shared" si="44"/>
        <v>5.8799999999999998E-2</v>
      </c>
    </row>
    <row r="406" spans="1:25" x14ac:dyDescent="0.25">
      <c r="B406" s="8" t="s">
        <v>110</v>
      </c>
      <c r="C406" s="8">
        <v>26</v>
      </c>
      <c r="D406" s="8">
        <v>23</v>
      </c>
      <c r="E406" s="8">
        <v>30</v>
      </c>
      <c r="F406" s="8">
        <v>3</v>
      </c>
      <c r="G406" s="8">
        <v>5.18</v>
      </c>
      <c r="H406" s="8">
        <v>10.6</v>
      </c>
      <c r="I406" s="8">
        <v>21.7</v>
      </c>
      <c r="J406" s="8">
        <v>27.8</v>
      </c>
      <c r="K406" s="8">
        <v>0.21</v>
      </c>
      <c r="L406" s="8">
        <v>0.04</v>
      </c>
      <c r="M406" s="8">
        <v>0.16</v>
      </c>
      <c r="N406" s="8">
        <v>10</v>
      </c>
      <c r="O406" s="8">
        <v>5.9499999999999997E-2</v>
      </c>
      <c r="P406" s="8">
        <v>2.6800000000000001E-2</v>
      </c>
      <c r="Q406" s="8">
        <v>0.1119</v>
      </c>
      <c r="R406" s="8"/>
      <c r="S406" s="8"/>
      <c r="T406" s="8"/>
      <c r="U406" s="8">
        <v>693</v>
      </c>
      <c r="V406">
        <f t="shared" si="41"/>
        <v>69.3</v>
      </c>
      <c r="W406">
        <f t="shared" si="42"/>
        <v>5.9499999999999996E-3</v>
      </c>
      <c r="X406">
        <f t="shared" si="43"/>
        <v>2.6800000000000001E-3</v>
      </c>
      <c r="Y406">
        <f t="shared" si="44"/>
        <v>1.119E-2</v>
      </c>
    </row>
    <row r="407" spans="1:25" x14ac:dyDescent="0.25">
      <c r="B407" s="3" t="s">
        <v>27</v>
      </c>
      <c r="C407" s="3">
        <v>80</v>
      </c>
      <c r="D407" s="3"/>
      <c r="E407" s="3"/>
      <c r="F407" s="3">
        <v>1</v>
      </c>
      <c r="G407" s="3">
        <v>89.03</v>
      </c>
      <c r="H407" s="3">
        <v>28.5</v>
      </c>
      <c r="I407" s="3">
        <v>35.200000000000003</v>
      </c>
      <c r="J407" s="3">
        <v>45.1</v>
      </c>
      <c r="K407" s="3">
        <v>0.38</v>
      </c>
      <c r="L407" s="3">
        <v>0.17</v>
      </c>
      <c r="M407" s="3">
        <v>0.25</v>
      </c>
      <c r="N407" s="3"/>
      <c r="O407" s="3"/>
      <c r="P407" s="3"/>
      <c r="Q407" s="3"/>
      <c r="R407" s="3"/>
      <c r="S407" s="3"/>
      <c r="T407" s="3"/>
      <c r="U407" s="3"/>
      <c r="V407" t="e">
        <f t="shared" si="41"/>
        <v>#DIV/0!</v>
      </c>
      <c r="W407" t="e">
        <f t="shared" si="42"/>
        <v>#DIV/0!</v>
      </c>
      <c r="X407" t="e">
        <f t="shared" si="43"/>
        <v>#DIV/0!</v>
      </c>
      <c r="Y407" t="e">
        <f t="shared" si="44"/>
        <v>#DIV/0!</v>
      </c>
    </row>
    <row r="408" spans="1:25" x14ac:dyDescent="0.25">
      <c r="A408" s="2" t="s">
        <v>112</v>
      </c>
      <c r="B408" s="5" t="s">
        <v>110</v>
      </c>
      <c r="C408" s="5">
        <v>37</v>
      </c>
      <c r="D408" s="5">
        <v>22</v>
      </c>
      <c r="E408" s="5">
        <v>15</v>
      </c>
      <c r="F408" s="5">
        <v>18</v>
      </c>
      <c r="G408" s="5">
        <v>5.37</v>
      </c>
      <c r="H408" s="5">
        <v>12.9</v>
      </c>
      <c r="I408" s="5">
        <v>17.8</v>
      </c>
      <c r="J408" s="5">
        <v>21.2</v>
      </c>
      <c r="K408" s="5">
        <v>0.21</v>
      </c>
      <c r="L408" s="5">
        <v>0.16</v>
      </c>
      <c r="M408" s="5">
        <v>0.32</v>
      </c>
      <c r="N408" s="5">
        <v>5</v>
      </c>
      <c r="O408" s="5">
        <v>0.02</v>
      </c>
      <c r="P408" s="5">
        <v>7.4000000000000003E-3</v>
      </c>
      <c r="Q408" s="5">
        <v>5.57E-2</v>
      </c>
      <c r="R408" s="5"/>
      <c r="S408" s="5"/>
      <c r="T408" s="5"/>
      <c r="U408" s="5">
        <v>293</v>
      </c>
      <c r="V408">
        <f t="shared" si="41"/>
        <v>58.6</v>
      </c>
      <c r="W408">
        <f t="shared" si="42"/>
        <v>4.0000000000000001E-3</v>
      </c>
      <c r="X408">
        <f t="shared" si="43"/>
        <v>1.48E-3</v>
      </c>
      <c r="Y408">
        <f t="shared" si="44"/>
        <v>1.1140000000000001E-2</v>
      </c>
    </row>
    <row r="409" spans="1:25" x14ac:dyDescent="0.25">
      <c r="B409" s="6" t="s">
        <v>109</v>
      </c>
      <c r="C409" s="6">
        <v>28</v>
      </c>
      <c r="D409" s="6"/>
      <c r="E409" s="6"/>
      <c r="F409" s="6">
        <v>1</v>
      </c>
      <c r="G409" s="6">
        <v>0.34</v>
      </c>
      <c r="H409" s="6">
        <v>11.7</v>
      </c>
      <c r="I409" s="6">
        <v>11</v>
      </c>
      <c r="J409" s="6">
        <v>12.8</v>
      </c>
      <c r="K409" s="6">
        <v>0.99</v>
      </c>
      <c r="L409" s="6">
        <v>0.69</v>
      </c>
      <c r="M409" s="6">
        <v>0.52</v>
      </c>
      <c r="N409" s="6">
        <v>5</v>
      </c>
      <c r="O409" s="6">
        <v>0.02</v>
      </c>
      <c r="P409" s="6">
        <v>4.7000000000000002E-3</v>
      </c>
      <c r="Q409" s="6">
        <v>3.4099999999999998E-2</v>
      </c>
      <c r="R409" s="6">
        <v>0.82</v>
      </c>
      <c r="S409" s="6">
        <v>16.45</v>
      </c>
      <c r="T409" s="6">
        <f>(R409/2)^2*3.14*2*R409</f>
        <v>0.86564775999999977</v>
      </c>
      <c r="U409" s="6"/>
      <c r="V409">
        <f t="shared" si="41"/>
        <v>0</v>
      </c>
      <c r="W409">
        <f t="shared" si="42"/>
        <v>4.0000000000000001E-3</v>
      </c>
      <c r="X409">
        <f t="shared" si="43"/>
        <v>9.4000000000000008E-4</v>
      </c>
      <c r="Y409">
        <f t="shared" si="44"/>
        <v>6.8199999999999997E-3</v>
      </c>
    </row>
    <row r="410" spans="1:25" x14ac:dyDescent="0.25"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>
        <v>0.63</v>
      </c>
      <c r="S410" s="6">
        <v>18.36</v>
      </c>
      <c r="T410" s="6">
        <f>(R410/2)^2*3.14*2*R410</f>
        <v>0.39257379000000003</v>
      </c>
      <c r="U410" s="6"/>
      <c r="V410" t="e">
        <f t="shared" si="41"/>
        <v>#DIV/0!</v>
      </c>
      <c r="W410" t="e">
        <f t="shared" si="42"/>
        <v>#DIV/0!</v>
      </c>
      <c r="X410" t="e">
        <f t="shared" si="43"/>
        <v>#DIV/0!</v>
      </c>
      <c r="Y410" t="e">
        <f t="shared" si="44"/>
        <v>#DIV/0!</v>
      </c>
    </row>
    <row r="411" spans="1:25" x14ac:dyDescent="0.25"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>
        <v>0.49</v>
      </c>
      <c r="S411" s="6">
        <v>13.24</v>
      </c>
      <c r="T411" s="6">
        <f>(R411/2)^2*3.14*2*R411</f>
        <v>0.18470892999999999</v>
      </c>
      <c r="U411" s="6"/>
      <c r="V411" t="e">
        <f t="shared" si="41"/>
        <v>#DIV/0!</v>
      </c>
      <c r="W411" t="e">
        <f t="shared" si="42"/>
        <v>#DIV/0!</v>
      </c>
      <c r="X411" t="e">
        <f t="shared" si="43"/>
        <v>#DIV/0!</v>
      </c>
      <c r="Y411" t="e">
        <f t="shared" si="44"/>
        <v>#DIV/0!</v>
      </c>
    </row>
    <row r="412" spans="1:25" x14ac:dyDescent="0.25"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>
        <v>0.47</v>
      </c>
      <c r="S412" s="6">
        <v>15</v>
      </c>
      <c r="T412" s="6">
        <f>(R412/2)^2*3.14*2*R412</f>
        <v>0.16300210999999998</v>
      </c>
      <c r="U412" s="6"/>
      <c r="V412" t="e">
        <f t="shared" si="41"/>
        <v>#DIV/0!</v>
      </c>
      <c r="W412" t="e">
        <f t="shared" si="42"/>
        <v>#DIV/0!</v>
      </c>
      <c r="X412" t="e">
        <f t="shared" si="43"/>
        <v>#DIV/0!</v>
      </c>
      <c r="Y412" t="e">
        <f t="shared" si="44"/>
        <v>#DIV/0!</v>
      </c>
    </row>
    <row r="413" spans="1:25" x14ac:dyDescent="0.25"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>
        <v>0.67</v>
      </c>
      <c r="S413" s="6">
        <v>13.56</v>
      </c>
      <c r="T413" s="6">
        <f>(R413/2)^2*3.14*2*R413</f>
        <v>0.47219791000000011</v>
      </c>
      <c r="U413" s="6">
        <f>AVERAGEA(T409:T413)</f>
        <v>0.4156261</v>
      </c>
      <c r="V413" t="e">
        <f t="shared" si="41"/>
        <v>#DIV/0!</v>
      </c>
      <c r="W413" t="e">
        <f t="shared" si="42"/>
        <v>#DIV/0!</v>
      </c>
      <c r="X413" t="e">
        <f t="shared" si="43"/>
        <v>#DIV/0!</v>
      </c>
      <c r="Y413" t="e">
        <f t="shared" si="44"/>
        <v>#DIV/0!</v>
      </c>
    </row>
    <row r="414" spans="1:25" x14ac:dyDescent="0.25">
      <c r="B414" s="7" t="s">
        <v>35</v>
      </c>
      <c r="C414" s="7">
        <v>20</v>
      </c>
      <c r="D414" s="7">
        <v>17</v>
      </c>
      <c r="E414" s="7">
        <v>16</v>
      </c>
      <c r="F414" s="7">
        <v>15</v>
      </c>
      <c r="G414" s="7">
        <v>2.82</v>
      </c>
      <c r="H414" s="7">
        <v>55</v>
      </c>
      <c r="I414" s="7">
        <v>58.1</v>
      </c>
      <c r="J414" s="7">
        <v>66.3</v>
      </c>
      <c r="K414" s="7">
        <v>0.16</v>
      </c>
      <c r="L414" s="7">
        <v>0.16</v>
      </c>
      <c r="M414" s="7">
        <v>0.15</v>
      </c>
      <c r="N414" s="7">
        <v>5</v>
      </c>
      <c r="O414" s="7">
        <v>0.12</v>
      </c>
      <c r="P414" s="7">
        <v>3.9800000000000002E-2</v>
      </c>
      <c r="Q414" s="7">
        <v>0.35220000000000001</v>
      </c>
      <c r="R414" s="7"/>
      <c r="S414" s="7"/>
      <c r="T414" s="7"/>
      <c r="U414" s="7">
        <v>564</v>
      </c>
      <c r="V414">
        <f t="shared" si="41"/>
        <v>112.8</v>
      </c>
      <c r="W414">
        <f t="shared" si="42"/>
        <v>2.4E-2</v>
      </c>
      <c r="X414">
        <f t="shared" si="43"/>
        <v>7.9600000000000001E-3</v>
      </c>
      <c r="Y414">
        <f t="shared" si="44"/>
        <v>7.0440000000000003E-2</v>
      </c>
    </row>
    <row r="415" spans="1:25" x14ac:dyDescent="0.25">
      <c r="B415" s="8" t="s">
        <v>24</v>
      </c>
      <c r="C415" s="8">
        <v>14</v>
      </c>
      <c r="D415" s="8">
        <v>14</v>
      </c>
      <c r="E415" s="8">
        <v>16</v>
      </c>
      <c r="F415" s="8">
        <v>4</v>
      </c>
      <c r="G415" s="8">
        <v>0.42</v>
      </c>
      <c r="H415" s="8">
        <v>14.6</v>
      </c>
      <c r="I415" s="8">
        <v>15.9</v>
      </c>
      <c r="J415" s="8">
        <v>16.8</v>
      </c>
      <c r="K415" s="8">
        <v>0.49</v>
      </c>
      <c r="L415" s="8">
        <v>0.36</v>
      </c>
      <c r="M415" s="8">
        <v>0.61</v>
      </c>
      <c r="N415" s="8">
        <v>5</v>
      </c>
      <c r="O415" s="8">
        <v>0.03</v>
      </c>
      <c r="P415" s="8">
        <v>6.3E-3</v>
      </c>
      <c r="Q415" s="8">
        <v>5.1999999999999998E-2</v>
      </c>
      <c r="R415" s="8">
        <v>0.66</v>
      </c>
      <c r="S415" s="8">
        <v>18.84</v>
      </c>
      <c r="T415" s="8">
        <f>(R415/2)^2*3.14*2*R415</f>
        <v>0.45136872000000006</v>
      </c>
      <c r="U415" s="8"/>
      <c r="V415">
        <f t="shared" si="41"/>
        <v>0</v>
      </c>
      <c r="W415">
        <f t="shared" si="42"/>
        <v>6.0000000000000001E-3</v>
      </c>
      <c r="X415">
        <f t="shared" si="43"/>
        <v>1.2600000000000001E-3</v>
      </c>
      <c r="Y415">
        <f t="shared" si="44"/>
        <v>1.04E-2</v>
      </c>
    </row>
    <row r="416" spans="1:25" x14ac:dyDescent="0.25"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>
        <v>0.51</v>
      </c>
      <c r="S416" s="8">
        <v>11.84</v>
      </c>
      <c r="T416" s="8">
        <f>(R416/2)^2*3.14*2*R416</f>
        <v>0.20826207000000002</v>
      </c>
      <c r="U416" s="8"/>
      <c r="V416" t="e">
        <f t="shared" si="41"/>
        <v>#DIV/0!</v>
      </c>
      <c r="W416" t="e">
        <f t="shared" si="42"/>
        <v>#DIV/0!</v>
      </c>
      <c r="X416" t="e">
        <f t="shared" si="43"/>
        <v>#DIV/0!</v>
      </c>
      <c r="Y416" t="e">
        <f t="shared" si="44"/>
        <v>#DIV/0!</v>
      </c>
    </row>
    <row r="417" spans="1:25" x14ac:dyDescent="0.25"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>
        <v>0.66</v>
      </c>
      <c r="S417" s="8">
        <v>11.42</v>
      </c>
      <c r="T417" s="8">
        <f>(R417/2)^2*3.14*2*R417</f>
        <v>0.45136872000000006</v>
      </c>
      <c r="U417" s="8"/>
      <c r="V417" t="e">
        <f t="shared" si="41"/>
        <v>#DIV/0!</v>
      </c>
      <c r="W417" t="e">
        <f t="shared" si="42"/>
        <v>#DIV/0!</v>
      </c>
      <c r="X417" t="e">
        <f t="shared" si="43"/>
        <v>#DIV/0!</v>
      </c>
      <c r="Y417" t="e">
        <f t="shared" si="44"/>
        <v>#DIV/0!</v>
      </c>
    </row>
    <row r="418" spans="1:25" x14ac:dyDescent="0.25"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>
        <v>0.9</v>
      </c>
      <c r="S418" s="8">
        <v>14.38</v>
      </c>
      <c r="T418" s="8">
        <f>(R418/2)^2*3.14*2*R418</f>
        <v>1.14453</v>
      </c>
      <c r="U418" s="8"/>
      <c r="V418" t="e">
        <f t="shared" si="41"/>
        <v>#DIV/0!</v>
      </c>
      <c r="W418" t="e">
        <f t="shared" si="42"/>
        <v>#DIV/0!</v>
      </c>
      <c r="X418" t="e">
        <f t="shared" si="43"/>
        <v>#DIV/0!</v>
      </c>
      <c r="Y418" t="e">
        <f t="shared" si="44"/>
        <v>#DIV/0!</v>
      </c>
    </row>
    <row r="419" spans="1:25" x14ac:dyDescent="0.25"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>
        <v>0.93</v>
      </c>
      <c r="S419" s="8">
        <v>14.9</v>
      </c>
      <c r="T419" s="8">
        <f>(R419/2)^2*3.14*2*R419</f>
        <v>1.2628404900000003</v>
      </c>
      <c r="U419" s="8">
        <f>AVERAGEA(T415:T419)</f>
        <v>0.70367400000000013</v>
      </c>
      <c r="V419" t="e">
        <f t="shared" si="41"/>
        <v>#DIV/0!</v>
      </c>
      <c r="W419" t="e">
        <f t="shared" si="42"/>
        <v>#DIV/0!</v>
      </c>
      <c r="X419" t="e">
        <f t="shared" si="43"/>
        <v>#DIV/0!</v>
      </c>
      <c r="Y419" t="e">
        <f t="shared" si="44"/>
        <v>#DIV/0!</v>
      </c>
    </row>
    <row r="420" spans="1:25" x14ac:dyDescent="0.25">
      <c r="B420" s="6" t="s">
        <v>169</v>
      </c>
      <c r="C420" s="6">
        <v>40</v>
      </c>
      <c r="D420" s="6">
        <v>38</v>
      </c>
      <c r="E420" s="6">
        <v>32</v>
      </c>
      <c r="F420" s="6">
        <v>21</v>
      </c>
      <c r="G420" s="6">
        <v>58.11</v>
      </c>
      <c r="H420" s="6">
        <v>22.3</v>
      </c>
      <c r="I420" s="6">
        <v>44.1</v>
      </c>
      <c r="J420" s="6">
        <v>47.9</v>
      </c>
      <c r="K420" s="6">
        <v>0.19</v>
      </c>
      <c r="L420" s="6">
        <v>0.25</v>
      </c>
      <c r="M420" s="6">
        <v>0.21</v>
      </c>
      <c r="N420" s="6">
        <v>5</v>
      </c>
      <c r="O420" s="6">
        <v>0.24</v>
      </c>
      <c r="P420" s="6">
        <v>7.7499999999999999E-2</v>
      </c>
      <c r="Q420" s="6">
        <v>0.32219999999999999</v>
      </c>
      <c r="R420" s="6"/>
      <c r="S420" s="6"/>
      <c r="T420" s="6"/>
      <c r="U420" s="6">
        <v>1138</v>
      </c>
      <c r="V420">
        <f t="shared" si="41"/>
        <v>227.6</v>
      </c>
      <c r="W420">
        <f t="shared" si="42"/>
        <v>4.8000000000000001E-2</v>
      </c>
      <c r="X420">
        <f t="shared" si="43"/>
        <v>1.55E-2</v>
      </c>
      <c r="Y420">
        <f t="shared" si="44"/>
        <v>6.4439999999999997E-2</v>
      </c>
    </row>
    <row r="421" spans="1:25" x14ac:dyDescent="0.25">
      <c r="B421" s="5" t="s">
        <v>16</v>
      </c>
      <c r="C421" s="5">
        <v>30</v>
      </c>
      <c r="D421" s="5">
        <v>22</v>
      </c>
      <c r="E421" s="5">
        <v>28</v>
      </c>
      <c r="F421" s="5">
        <v>6</v>
      </c>
      <c r="G421" s="5">
        <v>9.2100000000000009</v>
      </c>
      <c r="H421" s="5">
        <v>31.8</v>
      </c>
      <c r="I421" s="5">
        <v>36.299999999999997</v>
      </c>
      <c r="J421" s="5">
        <v>29.5</v>
      </c>
      <c r="K421" s="5">
        <v>0.27</v>
      </c>
      <c r="L421" s="5">
        <v>0.19</v>
      </c>
      <c r="M421" s="5">
        <v>0.13</v>
      </c>
      <c r="N421" s="5">
        <v>5</v>
      </c>
      <c r="O421" s="5">
        <v>0.1</v>
      </c>
      <c r="P421" s="5">
        <v>6.7100000000000007E-2</v>
      </c>
      <c r="Q421" s="5">
        <v>0.19339999999999999</v>
      </c>
      <c r="R421" s="5">
        <v>0.24</v>
      </c>
      <c r="S421" s="5">
        <v>192</v>
      </c>
      <c r="T421" s="5">
        <f>(R421/2)^2*3.14*2*R421</f>
        <v>2.170368E-2</v>
      </c>
      <c r="U421" s="5"/>
      <c r="V421">
        <f t="shared" si="41"/>
        <v>0</v>
      </c>
      <c r="W421">
        <f t="shared" si="42"/>
        <v>0.02</v>
      </c>
      <c r="X421">
        <f t="shared" si="43"/>
        <v>1.3420000000000001E-2</v>
      </c>
      <c r="Y421">
        <f t="shared" si="44"/>
        <v>3.8679999999999999E-2</v>
      </c>
    </row>
    <row r="422" spans="1:25" x14ac:dyDescent="0.25"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>
        <v>0.26</v>
      </c>
      <c r="S422" s="5">
        <v>166</v>
      </c>
      <c r="T422" s="5">
        <f>(R422/2)^2*3.14*2*R422</f>
        <v>2.7594320000000006E-2</v>
      </c>
      <c r="U422" s="5"/>
      <c r="V422" t="e">
        <f t="shared" si="41"/>
        <v>#DIV/0!</v>
      </c>
      <c r="W422" t="e">
        <f t="shared" si="42"/>
        <v>#DIV/0!</v>
      </c>
      <c r="X422" t="e">
        <f t="shared" si="43"/>
        <v>#DIV/0!</v>
      </c>
      <c r="Y422" t="e">
        <f t="shared" si="44"/>
        <v>#DIV/0!</v>
      </c>
    </row>
    <row r="423" spans="1:25" x14ac:dyDescent="0.25"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>
        <v>0.25</v>
      </c>
      <c r="S423" s="5">
        <v>183</v>
      </c>
      <c r="T423" s="5">
        <f>(R423/2)^2*3.14*2*R423</f>
        <v>2.4531250000000001E-2</v>
      </c>
      <c r="U423" s="5"/>
      <c r="V423" t="e">
        <f t="shared" si="41"/>
        <v>#DIV/0!</v>
      </c>
      <c r="W423" t="e">
        <f t="shared" si="42"/>
        <v>#DIV/0!</v>
      </c>
      <c r="X423" t="e">
        <f t="shared" si="43"/>
        <v>#DIV/0!</v>
      </c>
      <c r="Y423" t="e">
        <f t="shared" si="44"/>
        <v>#DIV/0!</v>
      </c>
    </row>
    <row r="424" spans="1:25" x14ac:dyDescent="0.25"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>
        <v>0.23</v>
      </c>
      <c r="S424" s="5">
        <v>210</v>
      </c>
      <c r="T424" s="5">
        <f>(R424/2)^2*3.14*2*R424</f>
        <v>1.9102190000000002E-2</v>
      </c>
      <c r="U424" s="5"/>
      <c r="V424" t="e">
        <f t="shared" si="41"/>
        <v>#DIV/0!</v>
      </c>
      <c r="W424" t="e">
        <f t="shared" si="42"/>
        <v>#DIV/0!</v>
      </c>
      <c r="X424" t="e">
        <f t="shared" si="43"/>
        <v>#DIV/0!</v>
      </c>
      <c r="Y424" t="e">
        <f t="shared" si="44"/>
        <v>#DIV/0!</v>
      </c>
    </row>
    <row r="425" spans="1:25" x14ac:dyDescent="0.25"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>
        <v>0.32</v>
      </c>
      <c r="S425" s="5">
        <v>185</v>
      </c>
      <c r="T425" s="5">
        <f>(R425/2)^2*3.14*2*R425</f>
        <v>5.1445760000000007E-2</v>
      </c>
      <c r="U425" s="5">
        <f>AVERAGEA(T421:T425)</f>
        <v>2.8875440000000009E-2</v>
      </c>
      <c r="V425" t="e">
        <f t="shared" si="41"/>
        <v>#DIV/0!</v>
      </c>
      <c r="W425" t="e">
        <f t="shared" si="42"/>
        <v>#DIV/0!</v>
      </c>
      <c r="X425" t="e">
        <f t="shared" si="43"/>
        <v>#DIV/0!</v>
      </c>
      <c r="Y425" t="e">
        <f t="shared" si="44"/>
        <v>#DIV/0!</v>
      </c>
    </row>
    <row r="426" spans="1:25" x14ac:dyDescent="0.25">
      <c r="B426" s="3" t="s">
        <v>170</v>
      </c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>
        <v>5</v>
      </c>
      <c r="O426" s="3">
        <v>0.17</v>
      </c>
      <c r="P426" s="3">
        <v>3.9399999999999998E-2</v>
      </c>
      <c r="Q426" s="3">
        <v>0.21809999999999999</v>
      </c>
      <c r="R426" s="3"/>
      <c r="S426" s="3"/>
      <c r="T426" s="3"/>
      <c r="U426" s="3">
        <v>953</v>
      </c>
      <c r="V426">
        <f t="shared" si="41"/>
        <v>190.6</v>
      </c>
      <c r="W426">
        <f t="shared" si="42"/>
        <v>3.4000000000000002E-2</v>
      </c>
      <c r="X426">
        <f t="shared" si="43"/>
        <v>7.8799999999999999E-3</v>
      </c>
      <c r="Y426">
        <f t="shared" si="44"/>
        <v>4.3619999999999999E-2</v>
      </c>
    </row>
    <row r="427" spans="1:25" x14ac:dyDescent="0.25">
      <c r="A427" s="2" t="s">
        <v>113</v>
      </c>
      <c r="B427" s="5" t="s">
        <v>109</v>
      </c>
      <c r="C427" s="5">
        <v>26</v>
      </c>
      <c r="D427" s="5">
        <v>23</v>
      </c>
      <c r="E427" s="5"/>
      <c r="F427" s="5">
        <v>3</v>
      </c>
      <c r="G427" s="5">
        <v>2.12</v>
      </c>
      <c r="H427" s="5">
        <v>53.1</v>
      </c>
      <c r="I427" s="5">
        <v>66.2</v>
      </c>
      <c r="J427" s="5">
        <v>11.1</v>
      </c>
      <c r="K427" s="5">
        <v>0.28000000000000003</v>
      </c>
      <c r="L427" s="5">
        <v>0.16</v>
      </c>
      <c r="M427" s="5">
        <v>0.16</v>
      </c>
      <c r="N427" s="5">
        <v>10</v>
      </c>
      <c r="O427" s="5">
        <v>0.1067</v>
      </c>
      <c r="P427" s="5">
        <v>3.5499999999999997E-2</v>
      </c>
      <c r="Q427" s="5">
        <v>0.23449999999999999</v>
      </c>
      <c r="R427" s="5"/>
      <c r="S427" s="5"/>
      <c r="T427" s="5"/>
      <c r="U427" s="5">
        <v>911</v>
      </c>
      <c r="V427">
        <f t="shared" si="41"/>
        <v>91.1</v>
      </c>
      <c r="W427">
        <f t="shared" si="42"/>
        <v>1.0670000000000001E-2</v>
      </c>
      <c r="X427">
        <f t="shared" si="43"/>
        <v>3.5499999999999998E-3</v>
      </c>
      <c r="Y427">
        <f t="shared" si="44"/>
        <v>2.3449999999999999E-2</v>
      </c>
    </row>
    <row r="428" spans="1:25" x14ac:dyDescent="0.25">
      <c r="B428" s="14" t="s">
        <v>73</v>
      </c>
      <c r="C428" s="14">
        <v>29</v>
      </c>
      <c r="D428" s="14">
        <v>11</v>
      </c>
      <c r="E428" s="14">
        <v>13</v>
      </c>
      <c r="F428" s="14">
        <v>2</v>
      </c>
      <c r="G428" s="14">
        <v>2.88</v>
      </c>
      <c r="H428" s="14">
        <v>38</v>
      </c>
      <c r="I428" s="14">
        <v>40.1</v>
      </c>
      <c r="J428" s="14">
        <v>50.6</v>
      </c>
      <c r="K428" s="14">
        <v>0.25</v>
      </c>
      <c r="L428" s="14">
        <v>0.17</v>
      </c>
      <c r="M428" s="14">
        <v>0.14000000000000001</v>
      </c>
      <c r="N428" s="14">
        <v>5</v>
      </c>
      <c r="O428" s="14">
        <v>0.16689999999999999</v>
      </c>
      <c r="P428" s="14">
        <v>5.6300000000000003E-2</v>
      </c>
      <c r="Q428" s="14">
        <v>0.26769999999999999</v>
      </c>
      <c r="R428" s="14"/>
      <c r="S428" s="14"/>
      <c r="T428" s="14"/>
      <c r="U428" s="14">
        <v>1469</v>
      </c>
      <c r="V428">
        <f t="shared" si="41"/>
        <v>293.8</v>
      </c>
      <c r="W428">
        <f t="shared" si="42"/>
        <v>3.338E-2</v>
      </c>
      <c r="X428">
        <f t="shared" si="43"/>
        <v>1.1260000000000001E-2</v>
      </c>
      <c r="Y428">
        <f t="shared" si="44"/>
        <v>5.3539999999999997E-2</v>
      </c>
    </row>
    <row r="429" spans="1:25" x14ac:dyDescent="0.25">
      <c r="B429" s="6" t="s">
        <v>110</v>
      </c>
      <c r="C429" s="6">
        <v>53</v>
      </c>
      <c r="D429" s="6">
        <v>54</v>
      </c>
      <c r="E429" s="6"/>
      <c r="F429" s="6">
        <v>2</v>
      </c>
      <c r="G429" s="6">
        <v>7.68</v>
      </c>
      <c r="H429" s="6">
        <v>49.2</v>
      </c>
      <c r="I429" s="6">
        <v>27.9</v>
      </c>
      <c r="J429" s="6">
        <v>30.8</v>
      </c>
      <c r="K429" s="6">
        <v>0.22</v>
      </c>
      <c r="L429" s="6">
        <v>0.24</v>
      </c>
      <c r="M429" s="6">
        <v>0.19</v>
      </c>
      <c r="N429" s="6">
        <v>10</v>
      </c>
      <c r="O429" s="6">
        <v>6.5100000000000005E-2</v>
      </c>
      <c r="P429" s="6">
        <v>2.7900000000000001E-2</v>
      </c>
      <c r="Q429" s="6">
        <v>0.13650000000000001</v>
      </c>
      <c r="R429" s="6"/>
      <c r="S429" s="6"/>
      <c r="T429" s="6"/>
      <c r="U429" s="6">
        <v>980</v>
      </c>
      <c r="V429">
        <f t="shared" si="41"/>
        <v>98</v>
      </c>
      <c r="W429">
        <f t="shared" si="42"/>
        <v>6.5100000000000002E-3</v>
      </c>
      <c r="X429">
        <f t="shared" si="43"/>
        <v>2.7899999999999999E-3</v>
      </c>
      <c r="Y429">
        <f t="shared" si="44"/>
        <v>1.3650000000000001E-2</v>
      </c>
    </row>
    <row r="430" spans="1:25" x14ac:dyDescent="0.25">
      <c r="B430" s="7" t="s">
        <v>114</v>
      </c>
      <c r="C430" s="7">
        <v>30</v>
      </c>
      <c r="D430" s="7">
        <v>36</v>
      </c>
      <c r="E430" s="7">
        <v>21</v>
      </c>
      <c r="F430" s="7">
        <v>15</v>
      </c>
      <c r="G430" s="7">
        <v>19.989999999999998</v>
      </c>
      <c r="H430" s="7">
        <v>14.4</v>
      </c>
      <c r="I430" s="7">
        <v>53.4</v>
      </c>
      <c r="J430" s="7">
        <v>10.7</v>
      </c>
      <c r="K430" s="7">
        <v>0.16</v>
      </c>
      <c r="L430" s="7">
        <v>0.17</v>
      </c>
      <c r="M430" s="7">
        <v>0.2</v>
      </c>
      <c r="N430" s="7">
        <v>15</v>
      </c>
      <c r="O430" s="7">
        <v>0.1462</v>
      </c>
      <c r="P430" s="7">
        <v>3.8600000000000002E-2</v>
      </c>
      <c r="Q430" s="7">
        <v>0.25090000000000001</v>
      </c>
      <c r="R430" s="7"/>
      <c r="S430" s="7"/>
      <c r="T430" s="7"/>
      <c r="U430" s="7">
        <v>812</v>
      </c>
      <c r="V430">
        <f t="shared" si="41"/>
        <v>54.133333333333333</v>
      </c>
      <c r="W430">
        <f t="shared" si="42"/>
        <v>9.7466666666666656E-3</v>
      </c>
      <c r="X430">
        <f t="shared" si="43"/>
        <v>2.5733333333333333E-3</v>
      </c>
      <c r="Y430">
        <f t="shared" si="44"/>
        <v>1.6726666666666667E-2</v>
      </c>
    </row>
    <row r="431" spans="1:25" x14ac:dyDescent="0.25">
      <c r="B431" s="8" t="s">
        <v>23</v>
      </c>
      <c r="C431" s="8">
        <v>67</v>
      </c>
      <c r="D431" s="8"/>
      <c r="E431" s="8"/>
      <c r="F431" s="8">
        <v>1</v>
      </c>
      <c r="G431" s="8">
        <v>3.88</v>
      </c>
      <c r="H431" s="8">
        <v>47.4</v>
      </c>
      <c r="I431" s="8">
        <v>49.4</v>
      </c>
      <c r="J431" s="8">
        <v>51.5</v>
      </c>
      <c r="K431" s="8">
        <v>0.13</v>
      </c>
      <c r="L431" s="8">
        <v>0.12</v>
      </c>
      <c r="M431" s="8">
        <v>0.16</v>
      </c>
      <c r="N431" s="8">
        <v>5</v>
      </c>
      <c r="O431" s="8">
        <v>0.67979999999999996</v>
      </c>
      <c r="P431" s="8">
        <v>0.14530000000000001</v>
      </c>
      <c r="Q431" s="8">
        <v>1.1302000000000001</v>
      </c>
      <c r="R431" s="8"/>
      <c r="S431" s="8"/>
      <c r="T431" s="8"/>
      <c r="U431" s="8">
        <v>2786</v>
      </c>
      <c r="V431">
        <f t="shared" si="41"/>
        <v>557.20000000000005</v>
      </c>
      <c r="W431">
        <f t="shared" si="42"/>
        <v>0.13596</v>
      </c>
      <c r="X431">
        <f t="shared" si="43"/>
        <v>2.9060000000000002E-2</v>
      </c>
      <c r="Y431">
        <f t="shared" si="44"/>
        <v>0.22604000000000002</v>
      </c>
    </row>
    <row r="432" spans="1:25" x14ac:dyDescent="0.25">
      <c r="B432" s="5" t="s">
        <v>111</v>
      </c>
      <c r="C432" s="5">
        <v>31</v>
      </c>
      <c r="D432" s="5">
        <v>21</v>
      </c>
      <c r="E432" s="5">
        <v>8</v>
      </c>
      <c r="F432" s="5">
        <v>5</v>
      </c>
      <c r="G432" s="5">
        <v>3.9</v>
      </c>
      <c r="H432" s="5">
        <v>6</v>
      </c>
      <c r="I432" s="5">
        <v>17.399999999999999</v>
      </c>
      <c r="J432" s="5">
        <v>15.3</v>
      </c>
      <c r="K432" s="5">
        <v>0.2</v>
      </c>
      <c r="L432" s="5">
        <v>0.17</v>
      </c>
      <c r="M432" s="5">
        <v>0.12</v>
      </c>
      <c r="N432" s="5">
        <v>5</v>
      </c>
      <c r="O432" s="5">
        <v>0.12690000000000001</v>
      </c>
      <c r="P432" s="5">
        <v>3.61E-2</v>
      </c>
      <c r="Q432" s="5">
        <v>0.19450000000000001</v>
      </c>
      <c r="R432" s="5"/>
      <c r="S432" s="5"/>
      <c r="T432" s="5"/>
      <c r="U432" s="5">
        <v>1107</v>
      </c>
      <c r="V432">
        <f t="shared" si="41"/>
        <v>221.4</v>
      </c>
      <c r="W432">
        <f t="shared" si="42"/>
        <v>2.5380000000000003E-2</v>
      </c>
      <c r="X432">
        <f t="shared" si="43"/>
        <v>7.2199999999999999E-3</v>
      </c>
      <c r="Y432">
        <f t="shared" si="44"/>
        <v>3.8900000000000004E-2</v>
      </c>
    </row>
    <row r="433" spans="1:25" x14ac:dyDescent="0.25">
      <c r="B433" s="7" t="s">
        <v>115</v>
      </c>
      <c r="C433" s="7">
        <v>32</v>
      </c>
      <c r="D433" s="7">
        <v>30</v>
      </c>
      <c r="E433" s="7">
        <v>21</v>
      </c>
      <c r="F433" s="7">
        <v>3</v>
      </c>
      <c r="G433" s="7">
        <v>3.41</v>
      </c>
      <c r="H433" s="7">
        <v>19.8</v>
      </c>
      <c r="I433" s="7">
        <v>7.5</v>
      </c>
      <c r="J433" s="7">
        <v>32.700000000000003</v>
      </c>
      <c r="K433" s="7">
        <v>0.28999999999999998</v>
      </c>
      <c r="L433" s="7">
        <v>0.26</v>
      </c>
      <c r="M433" s="7">
        <v>0.2</v>
      </c>
      <c r="N433" s="7">
        <v>5</v>
      </c>
      <c r="O433" s="7">
        <v>0.16059999999999999</v>
      </c>
      <c r="P433" s="7">
        <v>2.7300000000000001E-2</v>
      </c>
      <c r="Q433" s="7">
        <v>0.15379999999999999</v>
      </c>
      <c r="R433" s="7"/>
      <c r="S433" s="7"/>
      <c r="T433" s="7"/>
      <c r="U433" s="7">
        <v>544</v>
      </c>
      <c r="V433">
        <f t="shared" si="41"/>
        <v>108.8</v>
      </c>
      <c r="W433">
        <f t="shared" si="42"/>
        <v>3.2119999999999996E-2</v>
      </c>
      <c r="X433">
        <f t="shared" si="43"/>
        <v>5.4600000000000004E-3</v>
      </c>
      <c r="Y433">
        <f t="shared" si="44"/>
        <v>3.0759999999999999E-2</v>
      </c>
    </row>
    <row r="434" spans="1:25" x14ac:dyDescent="0.25">
      <c r="B434" s="8" t="s">
        <v>169</v>
      </c>
      <c r="C434" s="8">
        <v>32</v>
      </c>
      <c r="D434" s="8">
        <v>27</v>
      </c>
      <c r="E434" s="8">
        <v>36</v>
      </c>
      <c r="F434" s="8">
        <v>11</v>
      </c>
      <c r="G434" s="8">
        <v>25.01</v>
      </c>
      <c r="H434" s="8">
        <v>40.799999999999997</v>
      </c>
      <c r="I434" s="8">
        <v>52.7</v>
      </c>
      <c r="J434" s="8">
        <v>50.3</v>
      </c>
      <c r="K434" s="8">
        <v>0.21</v>
      </c>
      <c r="L434" s="8">
        <v>0.18</v>
      </c>
      <c r="M434" s="8">
        <v>0.19</v>
      </c>
      <c r="N434" s="8">
        <v>10</v>
      </c>
      <c r="O434" s="8">
        <v>0.45090000000000002</v>
      </c>
      <c r="P434" s="8">
        <v>0.13739999999999999</v>
      </c>
      <c r="Q434" s="8">
        <v>0.63780000000000003</v>
      </c>
      <c r="R434" s="8"/>
      <c r="S434" s="8"/>
      <c r="T434" s="8"/>
      <c r="U434" s="8">
        <v>2374</v>
      </c>
      <c r="V434">
        <f t="shared" si="41"/>
        <v>237.4</v>
      </c>
      <c r="W434">
        <f t="shared" si="42"/>
        <v>4.5090000000000005E-2</v>
      </c>
      <c r="X434">
        <f t="shared" si="43"/>
        <v>1.3739999999999999E-2</v>
      </c>
      <c r="Y434">
        <f t="shared" si="44"/>
        <v>6.3780000000000003E-2</v>
      </c>
    </row>
    <row r="435" spans="1:25" x14ac:dyDescent="0.25">
      <c r="A435" s="2" t="s">
        <v>116</v>
      </c>
      <c r="B435" s="5" t="s">
        <v>117</v>
      </c>
      <c r="C435" s="5">
        <v>20</v>
      </c>
      <c r="D435" s="5">
        <v>15</v>
      </c>
      <c r="E435" s="5">
        <v>8</v>
      </c>
      <c r="F435" s="5">
        <v>10</v>
      </c>
      <c r="G435" s="5">
        <v>1.68</v>
      </c>
      <c r="H435" s="5">
        <v>13.7</v>
      </c>
      <c r="I435" s="5">
        <v>16.600000000000001</v>
      </c>
      <c r="J435" s="5">
        <v>14.4</v>
      </c>
      <c r="K435" s="5">
        <v>0.5</v>
      </c>
      <c r="L435" s="5">
        <v>0.33</v>
      </c>
      <c r="M435" s="5">
        <v>0.43</v>
      </c>
      <c r="N435" s="5">
        <v>20</v>
      </c>
      <c r="O435" s="5">
        <v>0.06</v>
      </c>
      <c r="P435" s="5">
        <v>1.9E-2</v>
      </c>
      <c r="Q435" s="5">
        <v>0.1411</v>
      </c>
      <c r="R435" s="5">
        <v>0.65</v>
      </c>
      <c r="S435" s="5">
        <v>10.210000000000001</v>
      </c>
      <c r="T435" s="5">
        <f>(R435/2)^2*3.14*2*R435</f>
        <v>0.43116125000000005</v>
      </c>
      <c r="U435" s="5"/>
      <c r="V435">
        <f t="shared" si="41"/>
        <v>0</v>
      </c>
      <c r="W435">
        <f t="shared" si="42"/>
        <v>3.0000000000000001E-3</v>
      </c>
      <c r="X435">
        <f t="shared" si="43"/>
        <v>9.5E-4</v>
      </c>
      <c r="Y435">
        <f t="shared" si="44"/>
        <v>7.0550000000000005E-3</v>
      </c>
    </row>
    <row r="436" spans="1:25" x14ac:dyDescent="0.25"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>
        <v>0.97</v>
      </c>
      <c r="S436" s="5">
        <v>11.14</v>
      </c>
      <c r="T436" s="5">
        <f>(R436/2)^2*3.14*2*R436</f>
        <v>1.4328966099999998</v>
      </c>
      <c r="U436" s="5"/>
      <c r="V436" t="e">
        <f t="shared" si="41"/>
        <v>#DIV/0!</v>
      </c>
      <c r="W436" t="e">
        <f t="shared" si="42"/>
        <v>#DIV/0!</v>
      </c>
      <c r="X436" t="e">
        <f t="shared" si="43"/>
        <v>#DIV/0!</v>
      </c>
      <c r="Y436" t="e">
        <f t="shared" si="44"/>
        <v>#DIV/0!</v>
      </c>
    </row>
    <row r="437" spans="1:25" x14ac:dyDescent="0.25"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>
        <v>1.1299999999999999</v>
      </c>
      <c r="S437" s="5">
        <v>7.44</v>
      </c>
      <c r="T437" s="5">
        <f>(R437/2)^2*3.14*2*R437</f>
        <v>2.265348289999999</v>
      </c>
      <c r="U437" s="5"/>
      <c r="V437" t="e">
        <f t="shared" si="41"/>
        <v>#DIV/0!</v>
      </c>
      <c r="W437" t="e">
        <f t="shared" si="42"/>
        <v>#DIV/0!</v>
      </c>
      <c r="X437" t="e">
        <f t="shared" si="43"/>
        <v>#DIV/0!</v>
      </c>
      <c r="Y437" t="e">
        <f t="shared" si="44"/>
        <v>#DIV/0!</v>
      </c>
    </row>
    <row r="438" spans="1:25" x14ac:dyDescent="0.25"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>
        <v>0.88</v>
      </c>
      <c r="S438" s="5">
        <v>6.32</v>
      </c>
      <c r="T438" s="5">
        <f>(R438/2)^2*3.14*2*R438</f>
        <v>1.06991104</v>
      </c>
      <c r="U438" s="5"/>
      <c r="V438" t="e">
        <f t="shared" si="41"/>
        <v>#DIV/0!</v>
      </c>
      <c r="W438" t="e">
        <f t="shared" si="42"/>
        <v>#DIV/0!</v>
      </c>
      <c r="X438" t="e">
        <f t="shared" si="43"/>
        <v>#DIV/0!</v>
      </c>
      <c r="Y438" t="e">
        <f t="shared" si="44"/>
        <v>#DIV/0!</v>
      </c>
    </row>
    <row r="439" spans="1:25" x14ac:dyDescent="0.25"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>
        <v>0.7</v>
      </c>
      <c r="S439" s="5">
        <v>7.47</v>
      </c>
      <c r="T439" s="5">
        <f>(R439/2)^2*3.14*2*R439</f>
        <v>0.53850999999999993</v>
      </c>
      <c r="U439" s="5">
        <f>AVERAGEA(T435:T439)</f>
        <v>1.1475654379999998</v>
      </c>
      <c r="V439" t="e">
        <f t="shared" si="41"/>
        <v>#DIV/0!</v>
      </c>
      <c r="W439" t="e">
        <f t="shared" si="42"/>
        <v>#DIV/0!</v>
      </c>
      <c r="X439" t="e">
        <f t="shared" si="43"/>
        <v>#DIV/0!</v>
      </c>
      <c r="Y439" t="e">
        <f t="shared" si="44"/>
        <v>#DIV/0!</v>
      </c>
    </row>
    <row r="440" spans="1:25" x14ac:dyDescent="0.25">
      <c r="B440" s="6" t="s">
        <v>35</v>
      </c>
      <c r="C440" s="6">
        <v>7.5</v>
      </c>
      <c r="D440" s="6">
        <v>18.5</v>
      </c>
      <c r="E440" s="6">
        <v>13</v>
      </c>
      <c r="F440" s="6">
        <v>7</v>
      </c>
      <c r="G440" s="6"/>
      <c r="H440" s="6">
        <v>25.5</v>
      </c>
      <c r="I440" s="6">
        <v>13.9</v>
      </c>
      <c r="J440" s="6">
        <v>41.3</v>
      </c>
      <c r="K440" s="6">
        <v>0.42</v>
      </c>
      <c r="L440" s="6">
        <v>0.32</v>
      </c>
      <c r="M440" s="6">
        <v>0.4</v>
      </c>
      <c r="N440" s="6">
        <v>20</v>
      </c>
      <c r="O440" s="6">
        <v>0.17</v>
      </c>
      <c r="P440" s="6">
        <v>0.06</v>
      </c>
      <c r="Q440" s="6">
        <v>0.35670000000000002</v>
      </c>
      <c r="R440" s="6"/>
      <c r="S440" s="6"/>
      <c r="T440" s="6"/>
      <c r="U440" s="6">
        <v>824</v>
      </c>
      <c r="V440">
        <f t="shared" si="41"/>
        <v>41.2</v>
      </c>
      <c r="W440">
        <f t="shared" si="42"/>
        <v>8.5000000000000006E-3</v>
      </c>
      <c r="X440">
        <f t="shared" si="43"/>
        <v>3.0000000000000001E-3</v>
      </c>
      <c r="Y440">
        <f t="shared" si="44"/>
        <v>1.7835E-2</v>
      </c>
    </row>
    <row r="441" spans="1:25" x14ac:dyDescent="0.25">
      <c r="B441" s="7" t="s">
        <v>109</v>
      </c>
      <c r="C441" s="7">
        <v>33</v>
      </c>
      <c r="D441" s="7">
        <v>49</v>
      </c>
      <c r="E441" s="7">
        <v>50</v>
      </c>
      <c r="F441" s="7">
        <v>12</v>
      </c>
      <c r="G441" s="7">
        <v>19.02</v>
      </c>
      <c r="H441" s="7">
        <v>49.8</v>
      </c>
      <c r="I441" s="7">
        <v>44.4</v>
      </c>
      <c r="J441" s="7">
        <v>46.8</v>
      </c>
      <c r="K441" s="7">
        <v>0.36</v>
      </c>
      <c r="L441" s="7">
        <v>0.27</v>
      </c>
      <c r="M441" s="7">
        <v>0.35</v>
      </c>
      <c r="N441" s="7">
        <v>20</v>
      </c>
      <c r="O441" s="7">
        <v>0.12</v>
      </c>
      <c r="P441" s="7">
        <v>2.6200000000000001E-2</v>
      </c>
      <c r="Q441" s="7">
        <v>0.18290000000000001</v>
      </c>
      <c r="R441" s="7">
        <v>1.48</v>
      </c>
      <c r="S441" s="7">
        <v>56.99</v>
      </c>
      <c r="T441" s="7">
        <f t="shared" ref="T441:T450" si="46">(R441/2)^2*3.14*2*R441</f>
        <v>5.0896134399999999</v>
      </c>
      <c r="U441" s="7"/>
      <c r="V441">
        <f t="shared" si="41"/>
        <v>0</v>
      </c>
      <c r="W441">
        <f t="shared" si="42"/>
        <v>6.0000000000000001E-3</v>
      </c>
      <c r="X441">
        <f t="shared" si="43"/>
        <v>1.31E-3</v>
      </c>
      <c r="Y441">
        <f t="shared" si="44"/>
        <v>9.1450000000000004E-3</v>
      </c>
    </row>
    <row r="442" spans="1:25" x14ac:dyDescent="0.25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>
        <v>0.44</v>
      </c>
      <c r="S442" s="7">
        <v>22.26</v>
      </c>
      <c r="T442" s="7">
        <f t="shared" si="46"/>
        <v>0.13373888</v>
      </c>
      <c r="U442" s="7"/>
      <c r="V442" t="e">
        <f t="shared" si="41"/>
        <v>#DIV/0!</v>
      </c>
      <c r="W442" t="e">
        <f t="shared" si="42"/>
        <v>#DIV/0!</v>
      </c>
      <c r="X442" t="e">
        <f t="shared" si="43"/>
        <v>#DIV/0!</v>
      </c>
      <c r="Y442" t="e">
        <f t="shared" si="44"/>
        <v>#DIV/0!</v>
      </c>
    </row>
    <row r="443" spans="1:25" x14ac:dyDescent="0.25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>
        <v>0.28000000000000003</v>
      </c>
      <c r="S443" s="7">
        <v>29.55</v>
      </c>
      <c r="T443" s="7">
        <f t="shared" si="46"/>
        <v>3.4464640000000005E-2</v>
      </c>
      <c r="U443" s="7"/>
      <c r="V443" t="e">
        <f t="shared" si="41"/>
        <v>#DIV/0!</v>
      </c>
      <c r="W443" t="e">
        <f t="shared" si="42"/>
        <v>#DIV/0!</v>
      </c>
      <c r="X443" t="e">
        <f t="shared" si="43"/>
        <v>#DIV/0!</v>
      </c>
      <c r="Y443" t="e">
        <f t="shared" si="44"/>
        <v>#DIV/0!</v>
      </c>
    </row>
    <row r="444" spans="1:25" x14ac:dyDescent="0.25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>
        <v>0.35</v>
      </c>
      <c r="S444" s="7">
        <v>36.799999999999997</v>
      </c>
      <c r="T444" s="7">
        <f t="shared" si="46"/>
        <v>6.7313749999999992E-2</v>
      </c>
      <c r="U444" s="7"/>
      <c r="V444" t="e">
        <f t="shared" si="41"/>
        <v>#DIV/0!</v>
      </c>
      <c r="W444" t="e">
        <f t="shared" si="42"/>
        <v>#DIV/0!</v>
      </c>
      <c r="X444" t="e">
        <f t="shared" si="43"/>
        <v>#DIV/0!</v>
      </c>
      <c r="Y444" t="e">
        <f t="shared" si="44"/>
        <v>#DIV/0!</v>
      </c>
    </row>
    <row r="445" spans="1:25" x14ac:dyDescent="0.25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>
        <v>0.26</v>
      </c>
      <c r="S445" s="7">
        <v>21.71</v>
      </c>
      <c r="T445" s="7">
        <f t="shared" si="46"/>
        <v>2.7594320000000006E-2</v>
      </c>
      <c r="U445" s="7">
        <f>AVERAGEA(T441:T445)</f>
        <v>1.0705450060000001</v>
      </c>
      <c r="V445" t="e">
        <f t="shared" si="41"/>
        <v>#DIV/0!</v>
      </c>
      <c r="W445" t="e">
        <f t="shared" si="42"/>
        <v>#DIV/0!</v>
      </c>
      <c r="X445" t="e">
        <f t="shared" si="43"/>
        <v>#DIV/0!</v>
      </c>
      <c r="Y445" t="e">
        <f t="shared" si="44"/>
        <v>#DIV/0!</v>
      </c>
    </row>
    <row r="446" spans="1:25" x14ac:dyDescent="0.25">
      <c r="B446" s="8" t="s">
        <v>110</v>
      </c>
      <c r="C446" s="8">
        <v>46</v>
      </c>
      <c r="D446" s="8">
        <v>46</v>
      </c>
      <c r="E446" s="8">
        <v>37</v>
      </c>
      <c r="F446" s="8">
        <v>7</v>
      </c>
      <c r="G446" s="8">
        <v>5.9</v>
      </c>
      <c r="H446" s="8">
        <v>11.7</v>
      </c>
      <c r="I446" s="8">
        <v>11.9</v>
      </c>
      <c r="J446" s="8">
        <v>8.8000000000000007</v>
      </c>
      <c r="K446" s="8">
        <v>0.27</v>
      </c>
      <c r="L446" s="8">
        <v>0.26</v>
      </c>
      <c r="M446" s="8">
        <v>0.28000000000000003</v>
      </c>
      <c r="N446" s="8">
        <v>100</v>
      </c>
      <c r="O446" s="8">
        <v>0.09</v>
      </c>
      <c r="P446" s="8">
        <v>4.4299999999999999E-2</v>
      </c>
      <c r="Q446" s="8">
        <v>0.24979999999999999</v>
      </c>
      <c r="R446" s="8">
        <v>1.1100000000000001</v>
      </c>
      <c r="S446" s="8">
        <v>2.63</v>
      </c>
      <c r="T446" s="8">
        <f t="shared" si="46"/>
        <v>2.1471806700000005</v>
      </c>
      <c r="U446" s="8"/>
      <c r="V446">
        <f t="shared" si="41"/>
        <v>0</v>
      </c>
      <c r="W446">
        <f t="shared" si="42"/>
        <v>8.9999999999999998E-4</v>
      </c>
      <c r="X446">
        <f t="shared" si="43"/>
        <v>4.4299999999999998E-4</v>
      </c>
      <c r="Y446">
        <f t="shared" si="44"/>
        <v>2.4979999999999998E-3</v>
      </c>
    </row>
    <row r="447" spans="1:25" x14ac:dyDescent="0.25"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>
        <v>0.86</v>
      </c>
      <c r="S447" s="8">
        <v>3.04</v>
      </c>
      <c r="T447" s="8">
        <f t="shared" si="46"/>
        <v>0.99860791999999987</v>
      </c>
      <c r="U447" s="8"/>
      <c r="V447" t="e">
        <f t="shared" si="41"/>
        <v>#DIV/0!</v>
      </c>
      <c r="W447" t="e">
        <f t="shared" si="42"/>
        <v>#DIV/0!</v>
      </c>
      <c r="X447" t="e">
        <f t="shared" si="43"/>
        <v>#DIV/0!</v>
      </c>
      <c r="Y447" t="e">
        <f t="shared" si="44"/>
        <v>#DIV/0!</v>
      </c>
    </row>
    <row r="448" spans="1:25" x14ac:dyDescent="0.25"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>
        <v>0.72</v>
      </c>
      <c r="S448" s="8">
        <v>3.07</v>
      </c>
      <c r="T448" s="8">
        <f t="shared" si="46"/>
        <v>0.58599935999999997</v>
      </c>
      <c r="U448" s="8"/>
      <c r="V448" t="e">
        <f t="shared" si="41"/>
        <v>#DIV/0!</v>
      </c>
      <c r="W448" t="e">
        <f t="shared" si="42"/>
        <v>#DIV/0!</v>
      </c>
      <c r="X448" t="e">
        <f t="shared" si="43"/>
        <v>#DIV/0!</v>
      </c>
      <c r="Y448" t="e">
        <f t="shared" si="44"/>
        <v>#DIV/0!</v>
      </c>
    </row>
    <row r="449" spans="1:25" x14ac:dyDescent="0.25"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>
        <v>0.8</v>
      </c>
      <c r="S449" s="8">
        <v>3.14</v>
      </c>
      <c r="T449" s="8">
        <f t="shared" si="46"/>
        <v>0.80384000000000011</v>
      </c>
      <c r="U449" s="8"/>
      <c r="V449" t="e">
        <f t="shared" si="41"/>
        <v>#DIV/0!</v>
      </c>
      <c r="W449" t="e">
        <f t="shared" si="42"/>
        <v>#DIV/0!</v>
      </c>
      <c r="X449" t="e">
        <f t="shared" si="43"/>
        <v>#DIV/0!</v>
      </c>
      <c r="Y449" t="e">
        <f t="shared" si="44"/>
        <v>#DIV/0!</v>
      </c>
    </row>
    <row r="450" spans="1:25" x14ac:dyDescent="0.25"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>
        <v>0.75</v>
      </c>
      <c r="S450" s="8">
        <v>2.54</v>
      </c>
      <c r="T450" s="8">
        <f t="shared" si="46"/>
        <v>0.66234375000000001</v>
      </c>
      <c r="U450" s="8">
        <f>AVERAGEA(T446:T450)</f>
        <v>1.0395943400000001</v>
      </c>
      <c r="V450" t="e">
        <f t="shared" ref="V450:V513" si="47">U450/N450</f>
        <v>#DIV/0!</v>
      </c>
      <c r="W450" t="e">
        <f t="shared" si="42"/>
        <v>#DIV/0!</v>
      </c>
      <c r="X450" t="e">
        <f t="shared" si="43"/>
        <v>#DIV/0!</v>
      </c>
      <c r="Y450" t="e">
        <f t="shared" si="44"/>
        <v>#DIV/0!</v>
      </c>
    </row>
    <row r="451" spans="1:25" x14ac:dyDescent="0.25">
      <c r="B451" s="3" t="s">
        <v>114</v>
      </c>
      <c r="C451" s="3">
        <v>20</v>
      </c>
      <c r="D451" s="3">
        <v>32</v>
      </c>
      <c r="E451" s="3">
        <v>16</v>
      </c>
      <c r="F451" s="3">
        <v>105</v>
      </c>
      <c r="G451" s="3">
        <v>30.77</v>
      </c>
      <c r="H451" s="3">
        <v>10.4</v>
      </c>
      <c r="I451" s="3">
        <v>7.7</v>
      </c>
      <c r="J451" s="3">
        <v>6.5</v>
      </c>
      <c r="K451" s="3">
        <v>0.24</v>
      </c>
      <c r="L451" s="3">
        <v>0.21</v>
      </c>
      <c r="M451" s="3">
        <v>0.2</v>
      </c>
      <c r="N451" s="3">
        <v>25</v>
      </c>
      <c r="O451" s="3">
        <v>0.25</v>
      </c>
      <c r="P451" s="3">
        <v>7.1999999999999995E-2</v>
      </c>
      <c r="Q451" s="3">
        <v>0.38219999999999998</v>
      </c>
      <c r="R451" s="3"/>
      <c r="S451" s="3"/>
      <c r="T451" s="3"/>
      <c r="U451" s="3">
        <v>1099</v>
      </c>
      <c r="V451">
        <f t="shared" si="47"/>
        <v>43.96</v>
      </c>
      <c r="W451">
        <f t="shared" ref="W451:W514" si="48">O451/N451</f>
        <v>0.01</v>
      </c>
      <c r="X451">
        <f t="shared" ref="X451:X514" si="49">P451/N451</f>
        <v>2.8799999999999997E-3</v>
      </c>
      <c r="Y451">
        <f t="shared" ref="Y451:Y514" si="50">Q451/N451</f>
        <v>1.5288E-2</v>
      </c>
    </row>
    <row r="452" spans="1:25" x14ac:dyDescent="0.25">
      <c r="A452" s="2" t="s">
        <v>118</v>
      </c>
      <c r="B452" s="5" t="s">
        <v>27</v>
      </c>
      <c r="C452" s="5">
        <v>28</v>
      </c>
      <c r="D452" s="5">
        <v>30</v>
      </c>
      <c r="E452" s="5">
        <v>24</v>
      </c>
      <c r="F452" s="5">
        <v>7</v>
      </c>
      <c r="G452" s="5">
        <v>4.72</v>
      </c>
      <c r="H452" s="5">
        <v>33.5</v>
      </c>
      <c r="I452" s="5">
        <v>19.5</v>
      </c>
      <c r="J452" s="5">
        <v>25.5</v>
      </c>
      <c r="K452" s="5">
        <v>0.2</v>
      </c>
      <c r="L452" s="5">
        <v>0.23</v>
      </c>
      <c r="M452" s="5">
        <v>0.15</v>
      </c>
      <c r="N452" s="5">
        <v>10</v>
      </c>
      <c r="O452" s="5">
        <v>3.4000000000000002E-2</v>
      </c>
      <c r="P452" s="5">
        <v>1.2999999999999999E-2</v>
      </c>
      <c r="Q452" s="5">
        <v>6.1499999999999999E-2</v>
      </c>
      <c r="R452" s="5"/>
      <c r="S452" s="5"/>
      <c r="T452" s="5"/>
      <c r="U452" s="5">
        <v>239</v>
      </c>
      <c r="V452">
        <f t="shared" si="47"/>
        <v>23.9</v>
      </c>
      <c r="W452">
        <f t="shared" si="48"/>
        <v>3.4000000000000002E-3</v>
      </c>
      <c r="X452">
        <f t="shared" si="49"/>
        <v>1.2999999999999999E-3</v>
      </c>
      <c r="Y452">
        <f t="shared" si="50"/>
        <v>6.1500000000000001E-3</v>
      </c>
    </row>
    <row r="453" spans="1:25" x14ac:dyDescent="0.25">
      <c r="B453" s="6" t="s">
        <v>35</v>
      </c>
      <c r="C453" s="6">
        <v>20</v>
      </c>
      <c r="D453" s="6">
        <v>16</v>
      </c>
      <c r="E453" s="6">
        <v>19</v>
      </c>
      <c r="F453" s="6">
        <v>9</v>
      </c>
      <c r="G453" s="6">
        <v>5.36</v>
      </c>
      <c r="H453" s="6">
        <v>58.1</v>
      </c>
      <c r="I453" s="6">
        <v>52</v>
      </c>
      <c r="J453" s="6">
        <v>51.5</v>
      </c>
      <c r="K453" s="6">
        <v>0.46</v>
      </c>
      <c r="L453" s="6">
        <v>0.4</v>
      </c>
      <c r="M453" s="6">
        <v>0.52</v>
      </c>
      <c r="N453" s="6">
        <v>10</v>
      </c>
      <c r="O453" s="6">
        <v>0.3619</v>
      </c>
      <c r="P453" s="6">
        <v>6.4199999999999993E-2</v>
      </c>
      <c r="Q453" s="6">
        <v>0.80900000000000005</v>
      </c>
      <c r="R453" s="6"/>
      <c r="S453" s="6"/>
      <c r="T453" s="6"/>
      <c r="U453" s="6">
        <v>1084</v>
      </c>
      <c r="V453">
        <f t="shared" si="47"/>
        <v>108.4</v>
      </c>
      <c r="W453">
        <f t="shared" si="48"/>
        <v>3.619E-2</v>
      </c>
      <c r="X453">
        <f t="shared" si="49"/>
        <v>6.4199999999999995E-3</v>
      </c>
      <c r="Y453">
        <f t="shared" si="50"/>
        <v>8.09E-2</v>
      </c>
    </row>
    <row r="454" spans="1:25" x14ac:dyDescent="0.25">
      <c r="B454" s="7" t="s">
        <v>109</v>
      </c>
      <c r="C454" s="7">
        <v>26</v>
      </c>
      <c r="D454" s="7">
        <v>40</v>
      </c>
      <c r="E454" s="7">
        <v>25</v>
      </c>
      <c r="F454" s="7">
        <v>10</v>
      </c>
      <c r="G454" s="7">
        <v>15.23</v>
      </c>
      <c r="H454" s="7">
        <v>27.2</v>
      </c>
      <c r="I454" s="7">
        <v>33</v>
      </c>
      <c r="J454" s="7">
        <v>32.4</v>
      </c>
      <c r="K454" s="7">
        <v>0.75</v>
      </c>
      <c r="L454" s="7">
        <v>0.14000000000000001</v>
      </c>
      <c r="M454" s="7">
        <v>0.13</v>
      </c>
      <c r="N454" s="7">
        <v>15</v>
      </c>
      <c r="O454" s="7">
        <v>6.2199999999999998E-2</v>
      </c>
      <c r="P454" s="7">
        <v>1.32E-2</v>
      </c>
      <c r="Q454" s="7">
        <v>5.2999999999999999E-2</v>
      </c>
      <c r="R454" s="7">
        <v>0.52</v>
      </c>
      <c r="S454" s="7">
        <v>21.75</v>
      </c>
      <c r="T454" s="7">
        <f t="shared" ref="T454:T468" si="51">(R454/2)^2*3.14*2*R454</f>
        <v>0.22075456000000004</v>
      </c>
      <c r="U454" s="7"/>
      <c r="V454">
        <f t="shared" si="47"/>
        <v>0</v>
      </c>
      <c r="W454">
        <f t="shared" si="48"/>
        <v>4.1466666666666666E-3</v>
      </c>
      <c r="X454">
        <f t="shared" si="49"/>
        <v>8.8000000000000003E-4</v>
      </c>
      <c r="Y454">
        <f t="shared" si="50"/>
        <v>3.5333333333333332E-3</v>
      </c>
    </row>
    <row r="455" spans="1:25" x14ac:dyDescent="0.25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>
        <v>0.5</v>
      </c>
      <c r="S455" s="7">
        <v>18.670000000000002</v>
      </c>
      <c r="T455" s="7">
        <f t="shared" si="51"/>
        <v>0.19625000000000001</v>
      </c>
      <c r="U455" s="7"/>
      <c r="V455" t="e">
        <f t="shared" si="47"/>
        <v>#DIV/0!</v>
      </c>
      <c r="W455" t="e">
        <f t="shared" si="48"/>
        <v>#DIV/0!</v>
      </c>
      <c r="X455" t="e">
        <f t="shared" si="49"/>
        <v>#DIV/0!</v>
      </c>
      <c r="Y455" t="e">
        <f t="shared" si="50"/>
        <v>#DIV/0!</v>
      </c>
    </row>
    <row r="456" spans="1:25" x14ac:dyDescent="0.25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>
        <v>0.47</v>
      </c>
      <c r="S456" s="7">
        <v>22.72</v>
      </c>
      <c r="T456" s="7">
        <f t="shared" si="51"/>
        <v>0.16300210999999998</v>
      </c>
      <c r="U456" s="7"/>
      <c r="V456" t="e">
        <f t="shared" si="47"/>
        <v>#DIV/0!</v>
      </c>
      <c r="W456" t="e">
        <f t="shared" si="48"/>
        <v>#DIV/0!</v>
      </c>
      <c r="X456" t="e">
        <f t="shared" si="49"/>
        <v>#DIV/0!</v>
      </c>
      <c r="Y456" t="e">
        <f t="shared" si="50"/>
        <v>#DIV/0!</v>
      </c>
    </row>
    <row r="457" spans="1:25" x14ac:dyDescent="0.25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>
        <v>0.46</v>
      </c>
      <c r="S457" s="7">
        <v>45.92</v>
      </c>
      <c r="T457" s="7">
        <f t="shared" si="51"/>
        <v>0.15281752000000001</v>
      </c>
      <c r="U457" s="7"/>
      <c r="V457" t="e">
        <f t="shared" si="47"/>
        <v>#DIV/0!</v>
      </c>
      <c r="W457" t="e">
        <f t="shared" si="48"/>
        <v>#DIV/0!</v>
      </c>
      <c r="X457" t="e">
        <f t="shared" si="49"/>
        <v>#DIV/0!</v>
      </c>
      <c r="Y457" t="e">
        <f t="shared" si="50"/>
        <v>#DIV/0!</v>
      </c>
    </row>
    <row r="458" spans="1:25" x14ac:dyDescent="0.25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>
        <v>0.43</v>
      </c>
      <c r="S458" s="7">
        <v>25.4</v>
      </c>
      <c r="T458" s="7">
        <f t="shared" si="51"/>
        <v>0.12482598999999998</v>
      </c>
      <c r="U458" s="7">
        <f>AVERAGEA(T454:T458)</f>
        <v>0.171530036</v>
      </c>
      <c r="V458" t="e">
        <f t="shared" si="47"/>
        <v>#DIV/0!</v>
      </c>
      <c r="W458" t="e">
        <f t="shared" si="48"/>
        <v>#DIV/0!</v>
      </c>
      <c r="X458" t="e">
        <f t="shared" si="49"/>
        <v>#DIV/0!</v>
      </c>
      <c r="Y458" t="e">
        <f t="shared" si="50"/>
        <v>#DIV/0!</v>
      </c>
    </row>
    <row r="459" spans="1:25" x14ac:dyDescent="0.25">
      <c r="B459" s="8" t="s">
        <v>167</v>
      </c>
      <c r="C459" s="8">
        <v>37</v>
      </c>
      <c r="D459" s="8"/>
      <c r="E459" s="8"/>
      <c r="F459" s="8">
        <v>1</v>
      </c>
      <c r="G459" s="8">
        <v>17.95</v>
      </c>
      <c r="H459" s="8">
        <v>17</v>
      </c>
      <c r="I459" s="8">
        <v>16.8</v>
      </c>
      <c r="J459" s="8">
        <v>18.899999999999999</v>
      </c>
      <c r="K459" s="8">
        <v>0.13</v>
      </c>
      <c r="L459" s="8">
        <v>0.14000000000000001</v>
      </c>
      <c r="M459" s="8">
        <v>0.15</v>
      </c>
      <c r="N459" s="8">
        <v>15</v>
      </c>
      <c r="O459" s="8">
        <v>9.2999999999999999E-2</v>
      </c>
      <c r="P459" s="8">
        <v>2.01E-2</v>
      </c>
      <c r="Q459" s="8">
        <v>7.7200000000000005E-2</v>
      </c>
      <c r="R459" s="8">
        <v>0.37</v>
      </c>
      <c r="S459" s="8">
        <v>36.590000000000003</v>
      </c>
      <c r="T459" s="8">
        <f t="shared" si="51"/>
        <v>7.9525209999999999E-2</v>
      </c>
      <c r="U459" s="8"/>
      <c r="V459">
        <f t="shared" si="47"/>
        <v>0</v>
      </c>
      <c r="W459">
        <f t="shared" si="48"/>
        <v>6.1999999999999998E-3</v>
      </c>
      <c r="X459">
        <f t="shared" si="49"/>
        <v>1.34E-3</v>
      </c>
      <c r="Y459">
        <f t="shared" si="50"/>
        <v>5.1466666666666666E-3</v>
      </c>
    </row>
    <row r="460" spans="1:25" x14ac:dyDescent="0.25"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>
        <v>0.54</v>
      </c>
      <c r="S460" s="8">
        <v>36.81</v>
      </c>
      <c r="T460" s="8">
        <f t="shared" si="51"/>
        <v>0.24721848000000005</v>
      </c>
      <c r="U460" s="8"/>
      <c r="V460" t="e">
        <f t="shared" si="47"/>
        <v>#DIV/0!</v>
      </c>
      <c r="W460" t="e">
        <f t="shared" si="48"/>
        <v>#DIV/0!</v>
      </c>
      <c r="X460" t="e">
        <f t="shared" si="49"/>
        <v>#DIV/0!</v>
      </c>
      <c r="Y460" t="e">
        <f t="shared" si="50"/>
        <v>#DIV/0!</v>
      </c>
    </row>
    <row r="461" spans="1:25" x14ac:dyDescent="0.25"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>
        <v>0.4</v>
      </c>
      <c r="S461" s="8">
        <v>33.18</v>
      </c>
      <c r="T461" s="8">
        <f t="shared" si="51"/>
        <v>0.10048000000000001</v>
      </c>
      <c r="U461" s="8"/>
      <c r="V461" t="e">
        <f t="shared" si="47"/>
        <v>#DIV/0!</v>
      </c>
      <c r="W461" t="e">
        <f t="shared" si="48"/>
        <v>#DIV/0!</v>
      </c>
      <c r="X461" t="e">
        <f t="shared" si="49"/>
        <v>#DIV/0!</v>
      </c>
      <c r="Y461" t="e">
        <f t="shared" si="50"/>
        <v>#DIV/0!</v>
      </c>
    </row>
    <row r="462" spans="1:25" x14ac:dyDescent="0.25"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>
        <v>0.45</v>
      </c>
      <c r="S462" s="8">
        <v>38.619999999999997</v>
      </c>
      <c r="T462" s="8">
        <f t="shared" si="51"/>
        <v>0.14306625000000001</v>
      </c>
      <c r="U462" s="8"/>
      <c r="V462" t="e">
        <f t="shared" si="47"/>
        <v>#DIV/0!</v>
      </c>
      <c r="W462" t="e">
        <f t="shared" si="48"/>
        <v>#DIV/0!</v>
      </c>
      <c r="X462" t="e">
        <f t="shared" si="49"/>
        <v>#DIV/0!</v>
      </c>
      <c r="Y462" t="e">
        <f t="shared" si="50"/>
        <v>#DIV/0!</v>
      </c>
    </row>
    <row r="463" spans="1:25" x14ac:dyDescent="0.25"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>
        <v>0.48</v>
      </c>
      <c r="S463" s="8">
        <v>29.55</v>
      </c>
      <c r="T463" s="8">
        <f t="shared" si="51"/>
        <v>0.17362944</v>
      </c>
      <c r="U463" s="8">
        <f>AVERAGEA(T459:T463)</f>
        <v>0.14878387600000004</v>
      </c>
      <c r="V463" t="e">
        <f t="shared" si="47"/>
        <v>#DIV/0!</v>
      </c>
      <c r="W463" t="e">
        <f t="shared" si="48"/>
        <v>#DIV/0!</v>
      </c>
      <c r="X463" t="e">
        <f t="shared" si="49"/>
        <v>#DIV/0!</v>
      </c>
      <c r="Y463" t="e">
        <f t="shared" si="50"/>
        <v>#DIV/0!</v>
      </c>
    </row>
    <row r="464" spans="1:25" x14ac:dyDescent="0.25">
      <c r="B464" s="3" t="s">
        <v>70</v>
      </c>
      <c r="C464" s="3">
        <v>36</v>
      </c>
      <c r="D464" s="3">
        <v>29</v>
      </c>
      <c r="E464" s="3">
        <v>40</v>
      </c>
      <c r="F464" s="3">
        <v>3</v>
      </c>
      <c r="G464" s="3">
        <v>3.33</v>
      </c>
      <c r="H464" s="3">
        <v>41.9</v>
      </c>
      <c r="I464" s="3">
        <v>31.2</v>
      </c>
      <c r="J464" s="3">
        <v>38.700000000000003</v>
      </c>
      <c r="K464" s="3">
        <v>0.32</v>
      </c>
      <c r="L464" s="3">
        <v>0.2</v>
      </c>
      <c r="M464" s="3">
        <v>0.22</v>
      </c>
      <c r="N464" s="3">
        <v>5</v>
      </c>
      <c r="O464" s="3">
        <v>1.0542</v>
      </c>
      <c r="P464" s="3">
        <v>0.57230000000000003</v>
      </c>
      <c r="Q464" s="3">
        <v>1.6698999999999999</v>
      </c>
      <c r="R464" s="3">
        <v>0.91</v>
      </c>
      <c r="S464" s="3">
        <v>112.4</v>
      </c>
      <c r="T464" s="3">
        <f t="shared" si="51"/>
        <v>1.1831064700000002</v>
      </c>
      <c r="U464" s="3"/>
      <c r="V464">
        <f t="shared" si="47"/>
        <v>0</v>
      </c>
      <c r="W464">
        <f t="shared" si="48"/>
        <v>0.21084</v>
      </c>
      <c r="X464">
        <f t="shared" si="49"/>
        <v>0.11446000000000001</v>
      </c>
      <c r="Y464">
        <f t="shared" si="50"/>
        <v>0.33398</v>
      </c>
    </row>
    <row r="465" spans="1:25" x14ac:dyDescent="0.25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>
        <v>0.84</v>
      </c>
      <c r="S465" s="3">
        <v>354</v>
      </c>
      <c r="T465" s="3">
        <f t="shared" si="51"/>
        <v>0.93054527999999992</v>
      </c>
      <c r="U465" s="3"/>
      <c r="V465" t="e">
        <f t="shared" si="47"/>
        <v>#DIV/0!</v>
      </c>
      <c r="W465" t="e">
        <f t="shared" si="48"/>
        <v>#DIV/0!</v>
      </c>
      <c r="X465" t="e">
        <f t="shared" si="49"/>
        <v>#DIV/0!</v>
      </c>
      <c r="Y465" t="e">
        <f t="shared" si="50"/>
        <v>#DIV/0!</v>
      </c>
    </row>
    <row r="466" spans="1:25" x14ac:dyDescent="0.25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>
        <v>0.91</v>
      </c>
      <c r="S466" s="3">
        <v>115</v>
      </c>
      <c r="T466" s="3">
        <f t="shared" si="51"/>
        <v>1.1831064700000002</v>
      </c>
      <c r="U466" s="3"/>
      <c r="V466" t="e">
        <f t="shared" si="47"/>
        <v>#DIV/0!</v>
      </c>
      <c r="W466" t="e">
        <f t="shared" si="48"/>
        <v>#DIV/0!</v>
      </c>
      <c r="X466" t="e">
        <f t="shared" si="49"/>
        <v>#DIV/0!</v>
      </c>
      <c r="Y466" t="e">
        <f t="shared" si="50"/>
        <v>#DIV/0!</v>
      </c>
    </row>
    <row r="467" spans="1:25" x14ac:dyDescent="0.25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>
        <v>0.88</v>
      </c>
      <c r="S467" s="3">
        <v>380</v>
      </c>
      <c r="T467" s="3">
        <f t="shared" si="51"/>
        <v>1.06991104</v>
      </c>
      <c r="U467" s="3"/>
      <c r="V467" t="e">
        <f t="shared" si="47"/>
        <v>#DIV/0!</v>
      </c>
      <c r="W467" t="e">
        <f t="shared" si="48"/>
        <v>#DIV/0!</v>
      </c>
      <c r="X467" t="e">
        <f t="shared" si="49"/>
        <v>#DIV/0!</v>
      </c>
      <c r="Y467" t="e">
        <f t="shared" si="50"/>
        <v>#DIV/0!</v>
      </c>
    </row>
    <row r="468" spans="1:25" x14ac:dyDescent="0.25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>
        <v>1.1100000000000001</v>
      </c>
      <c r="S468" s="3">
        <v>330.5</v>
      </c>
      <c r="T468" s="3">
        <f t="shared" si="51"/>
        <v>2.1471806700000005</v>
      </c>
      <c r="U468" s="3">
        <f>AVERAGEA(T464:T468)</f>
        <v>1.3027699860000002</v>
      </c>
      <c r="V468" t="e">
        <f t="shared" si="47"/>
        <v>#DIV/0!</v>
      </c>
      <c r="W468" t="e">
        <f t="shared" si="48"/>
        <v>#DIV/0!</v>
      </c>
      <c r="X468" t="e">
        <f t="shared" si="49"/>
        <v>#DIV/0!</v>
      </c>
      <c r="Y468" t="e">
        <f t="shared" si="50"/>
        <v>#DIV/0!</v>
      </c>
    </row>
    <row r="469" spans="1:25" x14ac:dyDescent="0.25">
      <c r="A469" s="2" t="s">
        <v>119</v>
      </c>
      <c r="B469" s="5" t="s">
        <v>35</v>
      </c>
      <c r="C469" s="5">
        <v>15</v>
      </c>
      <c r="D469" s="5">
        <v>8.5</v>
      </c>
      <c r="E469" s="5">
        <v>11</v>
      </c>
      <c r="F469" s="5">
        <v>20</v>
      </c>
      <c r="G469" s="5">
        <v>7.1</v>
      </c>
      <c r="H469" s="5">
        <v>45.1</v>
      </c>
      <c r="I469" s="5">
        <v>32.6</v>
      </c>
      <c r="J469" s="5">
        <v>47.3</v>
      </c>
      <c r="K469" s="5">
        <v>0.46</v>
      </c>
      <c r="L469" s="5">
        <v>0.31</v>
      </c>
      <c r="M469" s="5">
        <v>0.32</v>
      </c>
      <c r="N469" s="5">
        <v>10</v>
      </c>
      <c r="O469" s="5">
        <v>0.32</v>
      </c>
      <c r="P469" s="5">
        <v>7.9600000000000004E-2</v>
      </c>
      <c r="Q469" s="5">
        <v>0.68420000000000003</v>
      </c>
      <c r="R469" s="5"/>
      <c r="S469" s="5"/>
      <c r="T469" s="5"/>
      <c r="U469" s="5"/>
      <c r="V469">
        <f t="shared" si="47"/>
        <v>0</v>
      </c>
      <c r="W469">
        <f t="shared" si="48"/>
        <v>3.2000000000000001E-2</v>
      </c>
      <c r="X469">
        <f t="shared" si="49"/>
        <v>7.9600000000000001E-3</v>
      </c>
      <c r="Y469">
        <f t="shared" si="50"/>
        <v>6.8420000000000009E-2</v>
      </c>
    </row>
    <row r="470" spans="1:25" x14ac:dyDescent="0.25">
      <c r="B470" s="6" t="s">
        <v>111</v>
      </c>
      <c r="C470" s="6">
        <v>4</v>
      </c>
      <c r="D470" s="6">
        <v>25</v>
      </c>
      <c r="E470" s="6">
        <v>20</v>
      </c>
      <c r="F470" s="6">
        <v>8</v>
      </c>
      <c r="G470" s="6">
        <v>5</v>
      </c>
      <c r="H470" s="6">
        <v>5.4</v>
      </c>
      <c r="I470" s="6">
        <v>22.8</v>
      </c>
      <c r="J470" s="6">
        <v>11.1</v>
      </c>
      <c r="K470" s="6">
        <v>0.16</v>
      </c>
      <c r="L470" s="6">
        <v>0.21</v>
      </c>
      <c r="M470" s="6">
        <v>0.18</v>
      </c>
      <c r="N470" s="6">
        <v>5</v>
      </c>
      <c r="O470" s="6">
        <v>0.14000000000000001</v>
      </c>
      <c r="P470" s="6">
        <v>2.93E-2</v>
      </c>
      <c r="Q470" s="6">
        <v>0.1583</v>
      </c>
      <c r="R470" s="6"/>
      <c r="S470" s="6"/>
      <c r="T470" s="6"/>
      <c r="U470" s="6"/>
      <c r="V470">
        <f t="shared" si="47"/>
        <v>0</v>
      </c>
      <c r="W470">
        <f t="shared" si="48"/>
        <v>2.8000000000000004E-2</v>
      </c>
      <c r="X470">
        <f t="shared" si="49"/>
        <v>5.8599999999999998E-3</v>
      </c>
      <c r="Y470">
        <f t="shared" si="50"/>
        <v>3.1660000000000001E-2</v>
      </c>
    </row>
    <row r="471" spans="1:25" x14ac:dyDescent="0.25">
      <c r="B471" s="7" t="s">
        <v>109</v>
      </c>
      <c r="C471" s="7">
        <v>39</v>
      </c>
      <c r="D471" s="7">
        <v>46</v>
      </c>
      <c r="E471" s="7">
        <v>33</v>
      </c>
      <c r="F471" s="7">
        <v>16</v>
      </c>
      <c r="G471" s="7">
        <v>22.83</v>
      </c>
      <c r="H471" s="7">
        <v>51.7</v>
      </c>
      <c r="I471" s="7">
        <v>43.7</v>
      </c>
      <c r="J471" s="7">
        <v>76.2</v>
      </c>
      <c r="K471" s="7">
        <v>0.22</v>
      </c>
      <c r="L471" s="7">
        <v>0.25</v>
      </c>
      <c r="M471" s="7">
        <v>0.24</v>
      </c>
      <c r="N471" s="7">
        <v>15</v>
      </c>
      <c r="O471" s="7">
        <v>0.09</v>
      </c>
      <c r="P471" s="7">
        <v>2.1999999999999999E-2</v>
      </c>
      <c r="Q471" s="7">
        <v>0.1487</v>
      </c>
      <c r="R471" s="7">
        <v>0.37</v>
      </c>
      <c r="S471" s="7">
        <v>21</v>
      </c>
      <c r="T471" s="7">
        <f>(R471/2)^2*3.14*2*R471</f>
        <v>7.9525209999999999E-2</v>
      </c>
      <c r="U471" s="7"/>
      <c r="V471">
        <f t="shared" si="47"/>
        <v>0</v>
      </c>
      <c r="W471">
        <f t="shared" si="48"/>
        <v>6.0000000000000001E-3</v>
      </c>
      <c r="X471">
        <f t="shared" si="49"/>
        <v>1.4666666666666667E-3</v>
      </c>
      <c r="Y471">
        <f t="shared" si="50"/>
        <v>9.913333333333333E-3</v>
      </c>
    </row>
    <row r="472" spans="1:25" x14ac:dyDescent="0.25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>
        <v>0.49</v>
      </c>
      <c r="S472" s="7">
        <v>28.5</v>
      </c>
      <c r="T472" s="7">
        <f>(R472/2)^2*3.14*2*R472</f>
        <v>0.18470892999999999</v>
      </c>
      <c r="U472" s="7"/>
      <c r="V472" t="e">
        <f t="shared" si="47"/>
        <v>#DIV/0!</v>
      </c>
      <c r="W472" t="e">
        <f t="shared" si="48"/>
        <v>#DIV/0!</v>
      </c>
      <c r="X472" t="e">
        <f t="shared" si="49"/>
        <v>#DIV/0!</v>
      </c>
      <c r="Y472" t="e">
        <f t="shared" si="50"/>
        <v>#DIV/0!</v>
      </c>
    </row>
    <row r="473" spans="1:25" x14ac:dyDescent="0.25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>
        <v>0.38</v>
      </c>
      <c r="S473" s="7">
        <v>19.239999999999998</v>
      </c>
      <c r="T473" s="7">
        <f>(R473/2)^2*3.14*2*R473</f>
        <v>8.614904000000001E-2</v>
      </c>
      <c r="U473" s="7"/>
      <c r="V473" t="e">
        <f t="shared" si="47"/>
        <v>#DIV/0!</v>
      </c>
      <c r="W473" t="e">
        <f t="shared" si="48"/>
        <v>#DIV/0!</v>
      </c>
      <c r="X473" t="e">
        <f t="shared" si="49"/>
        <v>#DIV/0!</v>
      </c>
      <c r="Y473" t="e">
        <f t="shared" si="50"/>
        <v>#DIV/0!</v>
      </c>
    </row>
    <row r="474" spans="1:25" x14ac:dyDescent="0.25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>
        <v>0.44</v>
      </c>
      <c r="S474" s="7">
        <v>32.53</v>
      </c>
      <c r="T474" s="7">
        <f>(R474/2)^2*3.14*2*R474</f>
        <v>0.13373888</v>
      </c>
      <c r="U474" s="7"/>
      <c r="V474" t="e">
        <f t="shared" si="47"/>
        <v>#DIV/0!</v>
      </c>
      <c r="W474" t="e">
        <f t="shared" si="48"/>
        <v>#DIV/0!</v>
      </c>
      <c r="X474" t="e">
        <f t="shared" si="49"/>
        <v>#DIV/0!</v>
      </c>
      <c r="Y474" t="e">
        <f t="shared" si="50"/>
        <v>#DIV/0!</v>
      </c>
    </row>
    <row r="475" spans="1:25" x14ac:dyDescent="0.25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>
        <v>0.54</v>
      </c>
      <c r="S475" s="7">
        <v>47.12</v>
      </c>
      <c r="T475" s="7">
        <f>(R475/2)^2*3.14*2*R475</f>
        <v>0.24721848000000005</v>
      </c>
      <c r="U475" s="7">
        <f>AVERAGEA(T471:T475)</f>
        <v>0.14626810800000001</v>
      </c>
      <c r="V475" t="e">
        <f t="shared" si="47"/>
        <v>#DIV/0!</v>
      </c>
      <c r="W475" t="e">
        <f t="shared" si="48"/>
        <v>#DIV/0!</v>
      </c>
      <c r="X475" t="e">
        <f t="shared" si="49"/>
        <v>#DIV/0!</v>
      </c>
      <c r="Y475" t="e">
        <f t="shared" si="50"/>
        <v>#DIV/0!</v>
      </c>
    </row>
    <row r="476" spans="1:25" x14ac:dyDescent="0.25">
      <c r="B476" s="8" t="s">
        <v>114</v>
      </c>
      <c r="C476" s="8">
        <v>40</v>
      </c>
      <c r="D476" s="8">
        <v>25</v>
      </c>
      <c r="E476" s="8">
        <v>23</v>
      </c>
      <c r="F476" s="8">
        <v>17</v>
      </c>
      <c r="G476" s="8">
        <v>13.1</v>
      </c>
      <c r="H476" s="8">
        <v>54.8</v>
      </c>
      <c r="I476" s="8">
        <v>52.2</v>
      </c>
      <c r="J476" s="8">
        <v>36.700000000000003</v>
      </c>
      <c r="K476" s="8">
        <v>0.35</v>
      </c>
      <c r="L476" s="8">
        <v>0.28999999999999998</v>
      </c>
      <c r="M476" s="8">
        <v>0.55000000000000004</v>
      </c>
      <c r="N476" s="8">
        <v>10</v>
      </c>
      <c r="O476" s="8">
        <v>0.3594</v>
      </c>
      <c r="P476" s="8">
        <v>6.6699999999999995E-2</v>
      </c>
      <c r="Q476" s="8">
        <v>0.4592</v>
      </c>
      <c r="R476" s="8"/>
      <c r="S476" s="8"/>
      <c r="T476" s="8"/>
      <c r="U476" s="8">
        <v>1329</v>
      </c>
      <c r="V476">
        <f t="shared" si="47"/>
        <v>132.9</v>
      </c>
      <c r="W476">
        <f t="shared" si="48"/>
        <v>3.594E-2</v>
      </c>
      <c r="X476">
        <f t="shared" si="49"/>
        <v>6.6699999999999997E-3</v>
      </c>
      <c r="Y476">
        <f t="shared" si="50"/>
        <v>4.5920000000000002E-2</v>
      </c>
    </row>
    <row r="477" spans="1:25" x14ac:dyDescent="0.25">
      <c r="A477" s="2" t="s">
        <v>120</v>
      </c>
      <c r="B477" s="5" t="s">
        <v>114</v>
      </c>
      <c r="C477" s="5">
        <v>20</v>
      </c>
      <c r="D477" s="5">
        <v>9</v>
      </c>
      <c r="E477" s="5">
        <v>6</v>
      </c>
      <c r="F477" s="5">
        <v>7</v>
      </c>
      <c r="G477" s="5">
        <v>2.92</v>
      </c>
      <c r="H477" s="5">
        <v>13.8</v>
      </c>
      <c r="I477" s="5">
        <v>13.1</v>
      </c>
      <c r="J477" s="5">
        <v>2.7</v>
      </c>
      <c r="K477" s="5">
        <v>0.21</v>
      </c>
      <c r="L477" s="5">
        <v>0.16</v>
      </c>
      <c r="M477" s="5">
        <v>0.18</v>
      </c>
      <c r="N477" s="5">
        <v>20</v>
      </c>
      <c r="O477" s="5">
        <v>0.1196</v>
      </c>
      <c r="P477" s="5">
        <v>2.8000000000000001E-2</v>
      </c>
      <c r="Q477" s="5">
        <v>0.17960000000000001</v>
      </c>
      <c r="R477" s="5"/>
      <c r="S477" s="5"/>
      <c r="T477" s="5"/>
      <c r="U477" s="5">
        <v>506</v>
      </c>
      <c r="V477">
        <f t="shared" si="47"/>
        <v>25.3</v>
      </c>
      <c r="W477">
        <f t="shared" si="48"/>
        <v>5.9800000000000001E-3</v>
      </c>
      <c r="X477">
        <f t="shared" si="49"/>
        <v>1.4E-3</v>
      </c>
      <c r="Y477">
        <f t="shared" si="50"/>
        <v>8.9800000000000001E-3</v>
      </c>
    </row>
    <row r="478" spans="1:25" x14ac:dyDescent="0.25">
      <c r="B478" s="6" t="s">
        <v>110</v>
      </c>
      <c r="C478" s="6">
        <v>42</v>
      </c>
      <c r="D478" s="6">
        <v>32</v>
      </c>
      <c r="E478" s="6">
        <v>30</v>
      </c>
      <c r="F478" s="6">
        <v>14</v>
      </c>
      <c r="G478" s="6">
        <v>46.96</v>
      </c>
      <c r="H478" s="6">
        <v>14.5</v>
      </c>
      <c r="I478" s="6">
        <v>20.2</v>
      </c>
      <c r="J478" s="6">
        <v>15.5</v>
      </c>
      <c r="K478" s="6">
        <v>0.14000000000000001</v>
      </c>
      <c r="L478" s="6">
        <v>0.13</v>
      </c>
      <c r="M478" s="6">
        <v>0.16</v>
      </c>
      <c r="N478" s="6">
        <v>15</v>
      </c>
      <c r="O478" s="6">
        <v>6.5600000000000006E-2</v>
      </c>
      <c r="P478" s="6">
        <v>2.3199999999999998E-2</v>
      </c>
      <c r="Q478" s="6">
        <v>0.1298</v>
      </c>
      <c r="R478" s="6"/>
      <c r="S478" s="6"/>
      <c r="T478" s="6"/>
      <c r="U478" s="6">
        <v>518</v>
      </c>
      <c r="V478">
        <f t="shared" si="47"/>
        <v>34.533333333333331</v>
      </c>
      <c r="W478">
        <f t="shared" si="48"/>
        <v>4.3733333333333341E-3</v>
      </c>
      <c r="X478">
        <f t="shared" si="49"/>
        <v>1.5466666666666665E-3</v>
      </c>
      <c r="Y478">
        <f t="shared" si="50"/>
        <v>8.6533333333333341E-3</v>
      </c>
    </row>
    <row r="479" spans="1:25" x14ac:dyDescent="0.25">
      <c r="B479" s="7" t="s">
        <v>70</v>
      </c>
      <c r="C479" s="7">
        <v>29</v>
      </c>
      <c r="D479" s="7">
        <v>20</v>
      </c>
      <c r="E479" s="7">
        <v>12</v>
      </c>
      <c r="F479" s="7">
        <v>9</v>
      </c>
      <c r="G479" s="7">
        <v>0.86</v>
      </c>
      <c r="H479" s="7">
        <v>57.1</v>
      </c>
      <c r="I479" s="7">
        <v>59.3</v>
      </c>
      <c r="J479" s="7">
        <v>59.1</v>
      </c>
      <c r="K479" s="7">
        <v>0.15</v>
      </c>
      <c r="L479" s="7">
        <v>0.11</v>
      </c>
      <c r="M479" s="7">
        <v>0.13</v>
      </c>
      <c r="N479" s="7">
        <v>5</v>
      </c>
      <c r="O479" s="7">
        <v>0.16489999999999999</v>
      </c>
      <c r="P479" s="7">
        <v>3.9E-2</v>
      </c>
      <c r="Q479" s="7">
        <v>0.27260000000000001</v>
      </c>
      <c r="R479" s="7"/>
      <c r="S479" s="7"/>
      <c r="T479" s="7"/>
      <c r="U479" s="7">
        <v>1156</v>
      </c>
      <c r="V479">
        <f t="shared" si="47"/>
        <v>231.2</v>
      </c>
      <c r="W479">
        <f t="shared" si="48"/>
        <v>3.2979999999999995E-2</v>
      </c>
      <c r="X479">
        <f t="shared" si="49"/>
        <v>7.7999999999999996E-3</v>
      </c>
      <c r="Y479">
        <f t="shared" si="50"/>
        <v>5.4519999999999999E-2</v>
      </c>
    </row>
    <row r="480" spans="1:25" x14ac:dyDescent="0.25">
      <c r="B480" s="8" t="s">
        <v>109</v>
      </c>
      <c r="C480" s="8">
        <v>50</v>
      </c>
      <c r="D480" s="8">
        <v>44</v>
      </c>
      <c r="E480" s="8">
        <v>32</v>
      </c>
      <c r="F480" s="8">
        <v>74</v>
      </c>
      <c r="G480" s="8">
        <v>69.5</v>
      </c>
      <c r="H480" s="8">
        <v>25.8</v>
      </c>
      <c r="I480" s="8">
        <v>29.6</v>
      </c>
      <c r="J480" s="8">
        <v>31.1</v>
      </c>
      <c r="K480" s="8">
        <v>0.28000000000000003</v>
      </c>
      <c r="L480" s="8">
        <v>0.51</v>
      </c>
      <c r="M480" s="8">
        <v>0.25</v>
      </c>
      <c r="N480" s="8">
        <v>10</v>
      </c>
      <c r="O480" s="8">
        <v>0.11940000000000001</v>
      </c>
      <c r="P480" s="8">
        <v>3.1099999999999999E-2</v>
      </c>
      <c r="Q480" s="8">
        <v>0.1799</v>
      </c>
      <c r="R480" s="8">
        <v>0.72</v>
      </c>
      <c r="S480" s="8">
        <v>30.84</v>
      </c>
      <c r="T480" s="8">
        <f t="shared" ref="T480:T489" si="52">(R480/2)^2*3.14*2*R480</f>
        <v>0.58599935999999997</v>
      </c>
      <c r="U480" s="8"/>
      <c r="V480">
        <f t="shared" si="47"/>
        <v>0</v>
      </c>
      <c r="W480">
        <f t="shared" si="48"/>
        <v>1.1940000000000001E-2</v>
      </c>
      <c r="X480">
        <f t="shared" si="49"/>
        <v>3.1099999999999999E-3</v>
      </c>
      <c r="Y480">
        <f t="shared" si="50"/>
        <v>1.7989999999999999E-2</v>
      </c>
    </row>
    <row r="481" spans="1:25" x14ac:dyDescent="0.25"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>
        <v>0.78</v>
      </c>
      <c r="S481" s="8">
        <v>32.229999999999997</v>
      </c>
      <c r="T481" s="8">
        <f t="shared" si="52"/>
        <v>0.74504664000000009</v>
      </c>
      <c r="U481" s="8"/>
      <c r="V481" t="e">
        <f t="shared" si="47"/>
        <v>#DIV/0!</v>
      </c>
      <c r="W481" t="e">
        <f t="shared" si="48"/>
        <v>#DIV/0!</v>
      </c>
      <c r="X481" t="e">
        <f t="shared" si="49"/>
        <v>#DIV/0!</v>
      </c>
      <c r="Y481" t="e">
        <f t="shared" si="50"/>
        <v>#DIV/0!</v>
      </c>
    </row>
    <row r="482" spans="1:25" x14ac:dyDescent="0.25"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>
        <v>0.75</v>
      </c>
      <c r="S482" s="8">
        <v>14.36</v>
      </c>
      <c r="T482" s="8">
        <f t="shared" si="52"/>
        <v>0.66234375000000001</v>
      </c>
      <c r="U482" s="8"/>
      <c r="V482" t="e">
        <f t="shared" si="47"/>
        <v>#DIV/0!</v>
      </c>
      <c r="W482" t="e">
        <f t="shared" si="48"/>
        <v>#DIV/0!</v>
      </c>
      <c r="X482" t="e">
        <f t="shared" si="49"/>
        <v>#DIV/0!</v>
      </c>
      <c r="Y482" t="e">
        <f t="shared" si="50"/>
        <v>#DIV/0!</v>
      </c>
    </row>
    <row r="483" spans="1:25" x14ac:dyDescent="0.25"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>
        <v>0.79</v>
      </c>
      <c r="S483" s="8">
        <v>15.78</v>
      </c>
      <c r="T483" s="8">
        <f t="shared" si="52"/>
        <v>0.77407123000000022</v>
      </c>
      <c r="U483" s="8"/>
      <c r="V483" t="e">
        <f t="shared" si="47"/>
        <v>#DIV/0!</v>
      </c>
      <c r="W483" t="e">
        <f t="shared" si="48"/>
        <v>#DIV/0!</v>
      </c>
      <c r="X483" t="e">
        <f t="shared" si="49"/>
        <v>#DIV/0!</v>
      </c>
      <c r="Y483" t="e">
        <f t="shared" si="50"/>
        <v>#DIV/0!</v>
      </c>
    </row>
    <row r="484" spans="1:25" x14ac:dyDescent="0.25"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>
        <v>0.4</v>
      </c>
      <c r="S484" s="8">
        <v>27.61</v>
      </c>
      <c r="T484" s="8">
        <f t="shared" si="52"/>
        <v>0.10048000000000001</v>
      </c>
      <c r="U484" s="8">
        <f>AVERAGEA(T480:T484)</f>
        <v>0.57358819600000011</v>
      </c>
      <c r="V484" t="e">
        <f t="shared" si="47"/>
        <v>#DIV/0!</v>
      </c>
      <c r="W484" t="e">
        <f t="shared" si="48"/>
        <v>#DIV/0!</v>
      </c>
      <c r="X484" t="e">
        <f t="shared" si="49"/>
        <v>#DIV/0!</v>
      </c>
      <c r="Y484" t="e">
        <f t="shared" si="50"/>
        <v>#DIV/0!</v>
      </c>
    </row>
    <row r="485" spans="1:25" x14ac:dyDescent="0.25">
      <c r="B485" s="3" t="s">
        <v>24</v>
      </c>
      <c r="C485" s="3">
        <v>22.4</v>
      </c>
      <c r="D485" s="3">
        <v>24.3</v>
      </c>
      <c r="E485" s="3">
        <v>18</v>
      </c>
      <c r="F485" s="3">
        <v>4</v>
      </c>
      <c r="G485" s="3">
        <v>2.08</v>
      </c>
      <c r="H485" s="3">
        <v>28.6</v>
      </c>
      <c r="I485" s="3">
        <v>22.4</v>
      </c>
      <c r="J485" s="3">
        <v>24.7</v>
      </c>
      <c r="K485" s="3">
        <v>0.67</v>
      </c>
      <c r="L485" s="3">
        <v>0.99</v>
      </c>
      <c r="M485" s="3">
        <v>0.69</v>
      </c>
      <c r="N485" s="3">
        <v>10</v>
      </c>
      <c r="O485" s="3">
        <v>0.12479999999999999</v>
      </c>
      <c r="P485" s="3">
        <v>1.0500000000000001E-2</v>
      </c>
      <c r="Q485" s="3">
        <v>0.11409999999999999</v>
      </c>
      <c r="R485" s="3">
        <v>1.19</v>
      </c>
      <c r="S485" s="3">
        <v>16.07</v>
      </c>
      <c r="T485" s="3">
        <f t="shared" si="52"/>
        <v>2.6456996299999997</v>
      </c>
      <c r="U485" s="3"/>
      <c r="V485">
        <f t="shared" si="47"/>
        <v>0</v>
      </c>
      <c r="W485">
        <f t="shared" si="48"/>
        <v>1.248E-2</v>
      </c>
      <c r="X485">
        <f t="shared" si="49"/>
        <v>1.0500000000000002E-3</v>
      </c>
      <c r="Y485">
        <f t="shared" si="50"/>
        <v>1.141E-2</v>
      </c>
    </row>
    <row r="486" spans="1:25" x14ac:dyDescent="0.25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>
        <v>1.38</v>
      </c>
      <c r="S486" s="3">
        <v>18</v>
      </c>
      <c r="T486" s="3">
        <f t="shared" si="52"/>
        <v>4.1260730399999996</v>
      </c>
      <c r="U486" s="3"/>
      <c r="V486" t="e">
        <f t="shared" si="47"/>
        <v>#DIV/0!</v>
      </c>
      <c r="W486" t="e">
        <f t="shared" si="48"/>
        <v>#DIV/0!</v>
      </c>
      <c r="X486" t="e">
        <f t="shared" si="49"/>
        <v>#DIV/0!</v>
      </c>
      <c r="Y486" t="e">
        <f t="shared" si="50"/>
        <v>#DIV/0!</v>
      </c>
    </row>
    <row r="487" spans="1:25" x14ac:dyDescent="0.25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>
        <v>1.24</v>
      </c>
      <c r="S487" s="3">
        <v>19.559999999999999</v>
      </c>
      <c r="T487" s="3">
        <f t="shared" si="52"/>
        <v>2.99339968</v>
      </c>
      <c r="U487" s="3"/>
      <c r="V487" t="e">
        <f t="shared" si="47"/>
        <v>#DIV/0!</v>
      </c>
      <c r="W487" t="e">
        <f t="shared" si="48"/>
        <v>#DIV/0!</v>
      </c>
      <c r="X487" t="e">
        <f t="shared" si="49"/>
        <v>#DIV/0!</v>
      </c>
      <c r="Y487" t="e">
        <f t="shared" si="50"/>
        <v>#DIV/0!</v>
      </c>
    </row>
    <row r="488" spans="1:25" x14ac:dyDescent="0.25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>
        <v>1.23</v>
      </c>
      <c r="S488" s="3">
        <v>17.95</v>
      </c>
      <c r="T488" s="3">
        <f t="shared" si="52"/>
        <v>2.9215611899999998</v>
      </c>
      <c r="U488" s="3"/>
      <c r="V488" t="e">
        <f t="shared" si="47"/>
        <v>#DIV/0!</v>
      </c>
      <c r="W488" t="e">
        <f t="shared" si="48"/>
        <v>#DIV/0!</v>
      </c>
      <c r="X488" t="e">
        <f t="shared" si="49"/>
        <v>#DIV/0!</v>
      </c>
      <c r="Y488" t="e">
        <f t="shared" si="50"/>
        <v>#DIV/0!</v>
      </c>
    </row>
    <row r="489" spans="1:25" x14ac:dyDescent="0.25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>
        <v>1.46</v>
      </c>
      <c r="S489" s="3">
        <v>14.7</v>
      </c>
      <c r="T489" s="3">
        <f t="shared" si="52"/>
        <v>4.886053519999999</v>
      </c>
      <c r="U489" s="3">
        <f>AVERAGEA(T485:T489)</f>
        <v>3.5145574119999994</v>
      </c>
      <c r="V489" t="e">
        <f t="shared" si="47"/>
        <v>#DIV/0!</v>
      </c>
      <c r="W489" t="e">
        <f t="shared" si="48"/>
        <v>#DIV/0!</v>
      </c>
      <c r="X489" t="e">
        <f t="shared" si="49"/>
        <v>#DIV/0!</v>
      </c>
      <c r="Y489" t="e">
        <f t="shared" si="50"/>
        <v>#DIV/0!</v>
      </c>
    </row>
    <row r="490" spans="1:25" x14ac:dyDescent="0.25">
      <c r="A490" s="2" t="s">
        <v>121</v>
      </c>
      <c r="B490" s="5" t="s">
        <v>35</v>
      </c>
      <c r="C490" s="5">
        <v>33</v>
      </c>
      <c r="D490" s="5">
        <v>25</v>
      </c>
      <c r="E490" s="5">
        <v>15</v>
      </c>
      <c r="F490" s="5">
        <v>3</v>
      </c>
      <c r="G490" s="5">
        <v>22.47</v>
      </c>
      <c r="H490" s="5">
        <v>52.7</v>
      </c>
      <c r="I490" s="5">
        <v>60.9</v>
      </c>
      <c r="J490" s="5">
        <v>62.4</v>
      </c>
      <c r="K490" s="5">
        <v>0.33</v>
      </c>
      <c r="L490" s="5">
        <v>0.25</v>
      </c>
      <c r="M490" s="5">
        <v>0.34</v>
      </c>
      <c r="N490" s="5">
        <v>15</v>
      </c>
      <c r="O490" s="5">
        <v>0.33829999999999999</v>
      </c>
      <c r="P490" s="5">
        <v>7.3300000000000004E-2</v>
      </c>
      <c r="Q490" s="5">
        <v>0.68700000000000006</v>
      </c>
      <c r="R490" s="5"/>
      <c r="S490" s="5"/>
      <c r="T490" s="5"/>
      <c r="U490" s="5">
        <v>1251</v>
      </c>
      <c r="V490">
        <f t="shared" si="47"/>
        <v>83.4</v>
      </c>
      <c r="W490">
        <f t="shared" si="48"/>
        <v>2.2553333333333331E-2</v>
      </c>
      <c r="X490">
        <f t="shared" si="49"/>
        <v>4.8866666666666668E-3</v>
      </c>
      <c r="Y490">
        <f t="shared" si="50"/>
        <v>4.58E-2</v>
      </c>
    </row>
    <row r="491" spans="1:25" x14ac:dyDescent="0.25">
      <c r="B491" s="6" t="s">
        <v>115</v>
      </c>
      <c r="C491" s="6">
        <v>36</v>
      </c>
      <c r="D491" s="6">
        <v>26</v>
      </c>
      <c r="E491" s="6"/>
      <c r="F491" s="6">
        <v>2</v>
      </c>
      <c r="G491" s="6">
        <v>9.4700000000000006</v>
      </c>
      <c r="H491" s="6">
        <v>35</v>
      </c>
      <c r="I491" s="6">
        <v>23.3</v>
      </c>
      <c r="J491" s="6">
        <v>69.8</v>
      </c>
      <c r="K491" s="6">
        <v>0.3</v>
      </c>
      <c r="L491" s="6">
        <v>0.23</v>
      </c>
      <c r="M491" s="6">
        <v>0.26</v>
      </c>
      <c r="N491" s="6">
        <v>10</v>
      </c>
      <c r="O491" s="6">
        <v>0.13100000000000001</v>
      </c>
      <c r="P491" s="6">
        <v>3.2099999999999997E-2</v>
      </c>
      <c r="Q491" s="6">
        <v>0.15909999999999999</v>
      </c>
      <c r="R491" s="6"/>
      <c r="S491" s="6"/>
      <c r="T491" s="6"/>
      <c r="U491" s="6">
        <v>541</v>
      </c>
      <c r="V491">
        <f t="shared" si="47"/>
        <v>54.1</v>
      </c>
      <c r="W491">
        <f t="shared" si="48"/>
        <v>1.3100000000000001E-2</v>
      </c>
      <c r="X491">
        <f t="shared" si="49"/>
        <v>3.2099999999999997E-3</v>
      </c>
      <c r="Y491">
        <f t="shared" si="50"/>
        <v>1.5910000000000001E-2</v>
      </c>
    </row>
    <row r="492" spans="1:25" x14ac:dyDescent="0.25">
      <c r="B492" s="7" t="s">
        <v>114</v>
      </c>
      <c r="C492" s="7">
        <v>33</v>
      </c>
      <c r="D492" s="7">
        <v>18</v>
      </c>
      <c r="E492" s="7">
        <v>12.5</v>
      </c>
      <c r="F492" s="7">
        <v>3</v>
      </c>
      <c r="G492" s="7">
        <v>14.02</v>
      </c>
      <c r="H492" s="7">
        <v>20.9</v>
      </c>
      <c r="I492" s="7">
        <v>30.6</v>
      </c>
      <c r="J492" s="7">
        <v>21.9</v>
      </c>
      <c r="K492" s="7">
        <v>0.16</v>
      </c>
      <c r="L492" s="7">
        <v>0.17</v>
      </c>
      <c r="M492" s="7">
        <v>0.21</v>
      </c>
      <c r="N492" s="7">
        <v>20</v>
      </c>
      <c r="O492" s="7">
        <v>0.122</v>
      </c>
      <c r="P492" s="7">
        <v>2.0299999999999999E-2</v>
      </c>
      <c r="Q492" s="7">
        <v>0.19500000000000001</v>
      </c>
      <c r="R492" s="7">
        <v>0.61</v>
      </c>
      <c r="S492" s="7">
        <v>14.68</v>
      </c>
      <c r="T492" s="7">
        <f t="shared" ref="T492:T506" si="53">(R492/2)^2*3.14*2*R492</f>
        <v>0.35636016999999998</v>
      </c>
      <c r="U492" s="7"/>
      <c r="V492">
        <f t="shared" si="47"/>
        <v>0</v>
      </c>
      <c r="W492">
        <f t="shared" si="48"/>
        <v>6.0999999999999995E-3</v>
      </c>
      <c r="X492">
        <f t="shared" si="49"/>
        <v>1.0149999999999998E-3</v>
      </c>
      <c r="Y492">
        <f t="shared" si="50"/>
        <v>9.75E-3</v>
      </c>
    </row>
    <row r="493" spans="1:25" x14ac:dyDescent="0.25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>
        <v>0.66</v>
      </c>
      <c r="S493" s="7">
        <v>14.07</v>
      </c>
      <c r="T493" s="7">
        <f t="shared" si="53"/>
        <v>0.45136872000000006</v>
      </c>
      <c r="U493" s="7"/>
      <c r="V493" t="e">
        <f t="shared" si="47"/>
        <v>#DIV/0!</v>
      </c>
      <c r="W493" t="e">
        <f t="shared" si="48"/>
        <v>#DIV/0!</v>
      </c>
      <c r="X493" t="e">
        <f t="shared" si="49"/>
        <v>#DIV/0!</v>
      </c>
      <c r="Y493" t="e">
        <f t="shared" si="50"/>
        <v>#DIV/0!</v>
      </c>
    </row>
    <row r="494" spans="1:25" x14ac:dyDescent="0.25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>
        <v>0.75</v>
      </c>
      <c r="S494" s="7">
        <v>12.35</v>
      </c>
      <c r="T494" s="7">
        <f t="shared" si="53"/>
        <v>0.66234375000000001</v>
      </c>
      <c r="U494" s="7"/>
      <c r="V494" t="e">
        <f t="shared" si="47"/>
        <v>#DIV/0!</v>
      </c>
      <c r="W494" t="e">
        <f t="shared" si="48"/>
        <v>#DIV/0!</v>
      </c>
      <c r="X494" t="e">
        <f t="shared" si="49"/>
        <v>#DIV/0!</v>
      </c>
      <c r="Y494" t="e">
        <f t="shared" si="50"/>
        <v>#DIV/0!</v>
      </c>
    </row>
    <row r="495" spans="1:25" x14ac:dyDescent="0.25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>
        <v>0.86</v>
      </c>
      <c r="S495" s="7">
        <v>11.6</v>
      </c>
      <c r="T495" s="7">
        <f t="shared" si="53"/>
        <v>0.99860791999999987</v>
      </c>
      <c r="U495" s="7"/>
      <c r="V495" t="e">
        <f t="shared" si="47"/>
        <v>#DIV/0!</v>
      </c>
      <c r="W495" t="e">
        <f t="shared" si="48"/>
        <v>#DIV/0!</v>
      </c>
      <c r="X495" t="e">
        <f t="shared" si="49"/>
        <v>#DIV/0!</v>
      </c>
      <c r="Y495" t="e">
        <f t="shared" si="50"/>
        <v>#DIV/0!</v>
      </c>
    </row>
    <row r="496" spans="1:25" x14ac:dyDescent="0.25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>
        <v>0.71</v>
      </c>
      <c r="S496" s="7">
        <v>12.19</v>
      </c>
      <c r="T496" s="7">
        <f t="shared" si="53"/>
        <v>0.56192027</v>
      </c>
      <c r="U496" s="7">
        <f>AVERAGEA(T492:T496)</f>
        <v>0.60612016599999996</v>
      </c>
      <c r="V496" t="e">
        <f t="shared" si="47"/>
        <v>#DIV/0!</v>
      </c>
      <c r="W496" t="e">
        <f t="shared" si="48"/>
        <v>#DIV/0!</v>
      </c>
      <c r="X496" t="e">
        <f t="shared" si="49"/>
        <v>#DIV/0!</v>
      </c>
      <c r="Y496" t="e">
        <f t="shared" si="50"/>
        <v>#DIV/0!</v>
      </c>
    </row>
    <row r="497" spans="1:25" x14ac:dyDescent="0.25">
      <c r="B497" s="8" t="s">
        <v>110</v>
      </c>
      <c r="C497" s="8">
        <v>28</v>
      </c>
      <c r="D497" s="8">
        <v>26</v>
      </c>
      <c r="E497" s="8">
        <v>30</v>
      </c>
      <c r="F497" s="8">
        <v>15</v>
      </c>
      <c r="G497" s="8">
        <v>19.36</v>
      </c>
      <c r="H497" s="8">
        <v>21.8</v>
      </c>
      <c r="I497" s="8">
        <v>20.7</v>
      </c>
      <c r="J497" s="8">
        <v>23.1</v>
      </c>
      <c r="K497" s="8">
        <v>7.0000000000000007E-2</v>
      </c>
      <c r="L497" s="8">
        <v>0.23</v>
      </c>
      <c r="M497" s="8">
        <v>0.26</v>
      </c>
      <c r="N497" s="8">
        <v>20</v>
      </c>
      <c r="O497" s="8">
        <v>0.13930000000000001</v>
      </c>
      <c r="P497" s="8">
        <v>2.0899999999999998E-2</v>
      </c>
      <c r="Q497" s="8">
        <v>0.19900000000000001</v>
      </c>
      <c r="R497" s="8">
        <v>0.93</v>
      </c>
      <c r="S497" s="8">
        <v>11.52</v>
      </c>
      <c r="T497" s="8">
        <f t="shared" si="53"/>
        <v>1.2628404900000003</v>
      </c>
      <c r="U497" s="8"/>
      <c r="V497">
        <f t="shared" si="47"/>
        <v>0</v>
      </c>
      <c r="W497">
        <f t="shared" si="48"/>
        <v>6.9650000000000007E-3</v>
      </c>
      <c r="X497">
        <f t="shared" si="49"/>
        <v>1.0449999999999999E-3</v>
      </c>
      <c r="Y497">
        <f t="shared" si="50"/>
        <v>9.9500000000000005E-3</v>
      </c>
    </row>
    <row r="498" spans="1:25" x14ac:dyDescent="0.25"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>
        <v>1.17</v>
      </c>
      <c r="S498" s="8">
        <v>13.44</v>
      </c>
      <c r="T498" s="8">
        <f t="shared" si="53"/>
        <v>2.5145324099999997</v>
      </c>
      <c r="U498" s="8"/>
      <c r="V498" t="e">
        <f t="shared" si="47"/>
        <v>#DIV/0!</v>
      </c>
      <c r="W498" t="e">
        <f t="shared" si="48"/>
        <v>#DIV/0!</v>
      </c>
      <c r="X498" t="e">
        <f t="shared" si="49"/>
        <v>#DIV/0!</v>
      </c>
      <c r="Y498" t="e">
        <f t="shared" si="50"/>
        <v>#DIV/0!</v>
      </c>
    </row>
    <row r="499" spans="1:25" x14ac:dyDescent="0.25"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>
        <v>1</v>
      </c>
      <c r="S499" s="8">
        <v>13.01</v>
      </c>
      <c r="T499" s="8">
        <f t="shared" si="53"/>
        <v>1.57</v>
      </c>
      <c r="U499" s="8"/>
      <c r="V499" t="e">
        <f t="shared" si="47"/>
        <v>#DIV/0!</v>
      </c>
      <c r="W499" t="e">
        <f t="shared" si="48"/>
        <v>#DIV/0!</v>
      </c>
      <c r="X499" t="e">
        <f t="shared" si="49"/>
        <v>#DIV/0!</v>
      </c>
      <c r="Y499" t="e">
        <f t="shared" si="50"/>
        <v>#DIV/0!</v>
      </c>
    </row>
    <row r="500" spans="1:25" x14ac:dyDescent="0.25"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>
        <v>1.46</v>
      </c>
      <c r="S500" s="8">
        <v>11.62</v>
      </c>
      <c r="T500" s="8">
        <f t="shared" si="53"/>
        <v>4.886053519999999</v>
      </c>
      <c r="U500" s="8"/>
      <c r="V500" t="e">
        <f t="shared" si="47"/>
        <v>#DIV/0!</v>
      </c>
      <c r="W500" t="e">
        <f t="shared" si="48"/>
        <v>#DIV/0!</v>
      </c>
      <c r="X500" t="e">
        <f t="shared" si="49"/>
        <v>#DIV/0!</v>
      </c>
      <c r="Y500" t="e">
        <f t="shared" si="50"/>
        <v>#DIV/0!</v>
      </c>
    </row>
    <row r="501" spans="1:25" x14ac:dyDescent="0.25"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>
        <v>1.21</v>
      </c>
      <c r="S501" s="8">
        <v>10.91</v>
      </c>
      <c r="T501" s="8">
        <f t="shared" si="53"/>
        <v>2.7813507699999995</v>
      </c>
      <c r="U501" s="8">
        <f>AVERAGEA(T497:T501)</f>
        <v>2.6029554379999995</v>
      </c>
      <c r="V501" t="e">
        <f t="shared" si="47"/>
        <v>#DIV/0!</v>
      </c>
      <c r="W501" t="e">
        <f t="shared" si="48"/>
        <v>#DIV/0!</v>
      </c>
      <c r="X501" t="e">
        <f t="shared" si="49"/>
        <v>#DIV/0!</v>
      </c>
      <c r="Y501" t="e">
        <f t="shared" si="50"/>
        <v>#DIV/0!</v>
      </c>
    </row>
    <row r="502" spans="1:25" x14ac:dyDescent="0.25">
      <c r="B502" s="3" t="s">
        <v>109</v>
      </c>
      <c r="C502" s="3">
        <v>53</v>
      </c>
      <c r="D502" s="3">
        <v>63</v>
      </c>
      <c r="E502" s="3">
        <v>65</v>
      </c>
      <c r="F502" s="3">
        <v>4</v>
      </c>
      <c r="G502" s="3">
        <v>25.32</v>
      </c>
      <c r="H502" s="3">
        <v>41.9</v>
      </c>
      <c r="I502" s="3">
        <v>45.2</v>
      </c>
      <c r="J502" s="3">
        <v>78.2</v>
      </c>
      <c r="K502" s="3">
        <v>0.12</v>
      </c>
      <c r="L502" s="3">
        <v>0.26</v>
      </c>
      <c r="M502" s="3">
        <v>0.1</v>
      </c>
      <c r="N502" s="3">
        <v>15</v>
      </c>
      <c r="O502" s="3">
        <v>9.0200000000000002E-2</v>
      </c>
      <c r="P502" s="3">
        <v>1.61E-2</v>
      </c>
      <c r="Q502" s="3">
        <v>0.1195</v>
      </c>
      <c r="R502" s="3">
        <v>0.59</v>
      </c>
      <c r="S502" s="3">
        <v>34.799999999999997</v>
      </c>
      <c r="T502" s="3">
        <f t="shared" si="53"/>
        <v>0.32244502999999991</v>
      </c>
      <c r="U502" s="3"/>
      <c r="V502">
        <f t="shared" si="47"/>
        <v>0</v>
      </c>
      <c r="W502">
        <f t="shared" si="48"/>
        <v>6.0133333333333332E-3</v>
      </c>
      <c r="X502">
        <f t="shared" si="49"/>
        <v>1.0733333333333333E-3</v>
      </c>
      <c r="Y502">
        <f t="shared" si="50"/>
        <v>7.966666666666667E-3</v>
      </c>
    </row>
    <row r="503" spans="1:25" x14ac:dyDescent="0.25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>
        <v>0.61</v>
      </c>
      <c r="S503" s="3">
        <v>23.28</v>
      </c>
      <c r="T503" s="3">
        <f t="shared" si="53"/>
        <v>0.35636016999999998</v>
      </c>
      <c r="U503" s="3"/>
      <c r="V503" t="e">
        <f t="shared" si="47"/>
        <v>#DIV/0!</v>
      </c>
      <c r="W503" t="e">
        <f t="shared" si="48"/>
        <v>#DIV/0!</v>
      </c>
      <c r="X503" t="e">
        <f t="shared" si="49"/>
        <v>#DIV/0!</v>
      </c>
      <c r="Y503" t="e">
        <f t="shared" si="50"/>
        <v>#DIV/0!</v>
      </c>
    </row>
    <row r="504" spans="1:25" x14ac:dyDescent="0.25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>
        <v>0.77</v>
      </c>
      <c r="S504" s="3">
        <v>17.89</v>
      </c>
      <c r="T504" s="3">
        <f t="shared" si="53"/>
        <v>0.71675681000000002</v>
      </c>
      <c r="U504" s="3"/>
      <c r="V504" t="e">
        <f t="shared" si="47"/>
        <v>#DIV/0!</v>
      </c>
      <c r="W504" t="e">
        <f t="shared" si="48"/>
        <v>#DIV/0!</v>
      </c>
      <c r="X504" t="e">
        <f t="shared" si="49"/>
        <v>#DIV/0!</v>
      </c>
      <c r="Y504" t="e">
        <f t="shared" si="50"/>
        <v>#DIV/0!</v>
      </c>
    </row>
    <row r="505" spans="1:25" x14ac:dyDescent="0.25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>
        <v>0.63</v>
      </c>
      <c r="S505" s="3">
        <v>18.73</v>
      </c>
      <c r="T505" s="3">
        <f t="shared" si="53"/>
        <v>0.39257379000000003</v>
      </c>
      <c r="U505" s="3"/>
      <c r="V505" t="e">
        <f t="shared" si="47"/>
        <v>#DIV/0!</v>
      </c>
      <c r="W505" t="e">
        <f t="shared" si="48"/>
        <v>#DIV/0!</v>
      </c>
      <c r="X505" t="e">
        <f t="shared" si="49"/>
        <v>#DIV/0!</v>
      </c>
      <c r="Y505" t="e">
        <f t="shared" si="50"/>
        <v>#DIV/0!</v>
      </c>
    </row>
    <row r="506" spans="1:25" x14ac:dyDescent="0.25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>
        <v>0.53</v>
      </c>
      <c r="S506" s="3">
        <v>19.84</v>
      </c>
      <c r="T506" s="3">
        <f t="shared" si="53"/>
        <v>0.23373689000000006</v>
      </c>
      <c r="U506" s="3">
        <f>AVERAGEA(T502:T506)</f>
        <v>0.40437453800000001</v>
      </c>
      <c r="V506" t="e">
        <f t="shared" si="47"/>
        <v>#DIV/0!</v>
      </c>
      <c r="W506" t="e">
        <f t="shared" si="48"/>
        <v>#DIV/0!</v>
      </c>
      <c r="X506" t="e">
        <f t="shared" si="49"/>
        <v>#DIV/0!</v>
      </c>
      <c r="Y506" t="e">
        <f t="shared" si="50"/>
        <v>#DIV/0!</v>
      </c>
    </row>
    <row r="507" spans="1:25" x14ac:dyDescent="0.25">
      <c r="A507" s="2" t="s">
        <v>122</v>
      </c>
      <c r="B507" s="5" t="s">
        <v>114</v>
      </c>
      <c r="C507" s="5">
        <v>16</v>
      </c>
      <c r="D507" s="5">
        <v>26</v>
      </c>
      <c r="E507" s="5">
        <v>27</v>
      </c>
      <c r="F507" s="5">
        <v>19</v>
      </c>
      <c r="G507" s="5">
        <v>10.51</v>
      </c>
      <c r="H507" s="5">
        <v>29.4</v>
      </c>
      <c r="I507" s="5">
        <v>20.2</v>
      </c>
      <c r="J507" s="5">
        <v>17.399999999999999</v>
      </c>
      <c r="K507" s="5">
        <v>0.18</v>
      </c>
      <c r="L507" s="5">
        <v>0.27</v>
      </c>
      <c r="M507" s="5">
        <v>0.21</v>
      </c>
      <c r="N507" s="5">
        <v>20</v>
      </c>
      <c r="O507" s="5">
        <v>0.1406</v>
      </c>
      <c r="P507" s="5">
        <v>2.87E-2</v>
      </c>
      <c r="Q507" s="5">
        <v>0.19869999999999999</v>
      </c>
      <c r="R507" s="5"/>
      <c r="S507" s="5"/>
      <c r="T507" s="5"/>
      <c r="U507" s="5">
        <v>571</v>
      </c>
      <c r="V507">
        <f t="shared" si="47"/>
        <v>28.55</v>
      </c>
      <c r="W507">
        <f t="shared" si="48"/>
        <v>7.0299999999999998E-3</v>
      </c>
      <c r="X507">
        <f t="shared" si="49"/>
        <v>1.4350000000000001E-3</v>
      </c>
      <c r="Y507">
        <f t="shared" si="50"/>
        <v>9.9349999999999994E-3</v>
      </c>
    </row>
    <row r="508" spans="1:25" x14ac:dyDescent="0.25">
      <c r="B508" s="6" t="s">
        <v>124</v>
      </c>
      <c r="C508" s="6">
        <v>58</v>
      </c>
      <c r="D508" s="6">
        <v>27</v>
      </c>
      <c r="E508" s="6"/>
      <c r="F508" s="6">
        <v>2</v>
      </c>
      <c r="G508" s="6">
        <v>18.84</v>
      </c>
      <c r="H508" s="6">
        <v>7.1</v>
      </c>
      <c r="I508" s="6">
        <v>3.8</v>
      </c>
      <c r="J508" s="6">
        <v>3.3</v>
      </c>
      <c r="K508" s="6">
        <v>0.21</v>
      </c>
      <c r="L508" s="6">
        <v>0.38</v>
      </c>
      <c r="M508" s="6">
        <v>0.22</v>
      </c>
      <c r="N508" s="6">
        <v>20</v>
      </c>
      <c r="O508" s="6">
        <v>9.3600000000000003E-2</v>
      </c>
      <c r="P508" s="6">
        <v>2.1899999999999999E-2</v>
      </c>
      <c r="Q508" s="6">
        <v>0.16020000000000001</v>
      </c>
      <c r="R508" s="6">
        <v>0.94</v>
      </c>
      <c r="S508" s="6">
        <v>8</v>
      </c>
      <c r="T508" s="6">
        <f>(R508/2)^2*3.14*2*R508</f>
        <v>1.3040168799999998</v>
      </c>
      <c r="U508" s="6"/>
      <c r="V508">
        <f t="shared" si="47"/>
        <v>0</v>
      </c>
      <c r="W508">
        <f t="shared" si="48"/>
        <v>4.6800000000000001E-3</v>
      </c>
      <c r="X508">
        <f t="shared" si="49"/>
        <v>1.0950000000000001E-3</v>
      </c>
      <c r="Y508">
        <f t="shared" si="50"/>
        <v>8.0099999999999998E-3</v>
      </c>
    </row>
    <row r="509" spans="1:25" x14ac:dyDescent="0.25"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>
        <v>0.63</v>
      </c>
      <c r="S509" s="6">
        <v>8.52</v>
      </c>
      <c r="T509" s="6">
        <f>(R509/2)^2*3.14*2*R509</f>
        <v>0.39257379000000003</v>
      </c>
      <c r="U509" s="6"/>
      <c r="V509" t="e">
        <f t="shared" si="47"/>
        <v>#DIV/0!</v>
      </c>
      <c r="W509" t="e">
        <f t="shared" si="48"/>
        <v>#DIV/0!</v>
      </c>
      <c r="X509" t="e">
        <f t="shared" si="49"/>
        <v>#DIV/0!</v>
      </c>
      <c r="Y509" t="e">
        <f t="shared" si="50"/>
        <v>#DIV/0!</v>
      </c>
    </row>
    <row r="510" spans="1:25" x14ac:dyDescent="0.25"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>
        <v>0.75</v>
      </c>
      <c r="S510" s="6">
        <v>9.75</v>
      </c>
      <c r="T510" s="6">
        <f>(R510/2)^2*3.14*2*R510</f>
        <v>0.66234375000000001</v>
      </c>
      <c r="U510" s="6"/>
      <c r="V510" t="e">
        <f t="shared" si="47"/>
        <v>#DIV/0!</v>
      </c>
      <c r="W510" t="e">
        <f t="shared" si="48"/>
        <v>#DIV/0!</v>
      </c>
      <c r="X510" t="e">
        <f t="shared" si="49"/>
        <v>#DIV/0!</v>
      </c>
      <c r="Y510" t="e">
        <f t="shared" si="50"/>
        <v>#DIV/0!</v>
      </c>
    </row>
    <row r="511" spans="1:25" x14ac:dyDescent="0.25"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>
        <v>0.76</v>
      </c>
      <c r="S511" s="6">
        <v>9.89</v>
      </c>
      <c r="T511" s="6">
        <f>(R511/2)^2*3.14*2*R511</f>
        <v>0.68919232000000008</v>
      </c>
      <c r="U511" s="6"/>
      <c r="V511" t="e">
        <f t="shared" si="47"/>
        <v>#DIV/0!</v>
      </c>
      <c r="W511" t="e">
        <f t="shared" si="48"/>
        <v>#DIV/0!</v>
      </c>
      <c r="X511" t="e">
        <f t="shared" si="49"/>
        <v>#DIV/0!</v>
      </c>
      <c r="Y511" t="e">
        <f t="shared" si="50"/>
        <v>#DIV/0!</v>
      </c>
    </row>
    <row r="512" spans="1:25" x14ac:dyDescent="0.25"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>
        <v>0.82</v>
      </c>
      <c r="S512" s="6">
        <v>9012</v>
      </c>
      <c r="T512" s="6">
        <f>(R512/2)^2*3.14*2*R512</f>
        <v>0.86564775999999977</v>
      </c>
      <c r="U512" s="6">
        <f>AVERAGEA(T508:T512)</f>
        <v>0.78275489999999992</v>
      </c>
      <c r="V512" t="e">
        <f t="shared" si="47"/>
        <v>#DIV/0!</v>
      </c>
      <c r="W512" t="e">
        <f t="shared" si="48"/>
        <v>#DIV/0!</v>
      </c>
      <c r="X512" t="e">
        <f t="shared" si="49"/>
        <v>#DIV/0!</v>
      </c>
      <c r="Y512" t="e">
        <f t="shared" si="50"/>
        <v>#DIV/0!</v>
      </c>
    </row>
    <row r="513" spans="1:25" x14ac:dyDescent="0.25">
      <c r="B513" s="7" t="s">
        <v>27</v>
      </c>
      <c r="C513" s="7">
        <v>52</v>
      </c>
      <c r="D513" s="7"/>
      <c r="E513" s="7"/>
      <c r="F513" s="7">
        <v>1</v>
      </c>
      <c r="G513" s="7">
        <v>7.49</v>
      </c>
      <c r="H513" s="7">
        <v>66.099999999999994</v>
      </c>
      <c r="I513" s="7">
        <v>39.6</v>
      </c>
      <c r="J513" s="7">
        <v>42.5</v>
      </c>
      <c r="K513" s="7">
        <v>0.1</v>
      </c>
      <c r="L513" s="7">
        <v>0.09</v>
      </c>
      <c r="M513" s="7">
        <v>0.06</v>
      </c>
      <c r="N513" s="7">
        <v>5</v>
      </c>
      <c r="O513" s="7">
        <v>0.20250000000000001</v>
      </c>
      <c r="P513" s="7">
        <v>4.7699999999999999E-2</v>
      </c>
      <c r="Q513" s="7">
        <v>0.22850000000000001</v>
      </c>
      <c r="R513" s="7"/>
      <c r="S513" s="7"/>
      <c r="T513" s="7"/>
      <c r="U513" s="7">
        <v>1123</v>
      </c>
      <c r="V513">
        <f t="shared" si="47"/>
        <v>224.6</v>
      </c>
      <c r="W513">
        <f t="shared" si="48"/>
        <v>4.0500000000000001E-2</v>
      </c>
      <c r="X513">
        <f t="shared" si="49"/>
        <v>9.5399999999999999E-3</v>
      </c>
      <c r="Y513">
        <f t="shared" si="50"/>
        <v>4.5700000000000005E-2</v>
      </c>
    </row>
    <row r="514" spans="1:25" x14ac:dyDescent="0.25">
      <c r="B514" s="8" t="s">
        <v>93</v>
      </c>
      <c r="C514" s="8">
        <v>43</v>
      </c>
      <c r="D514" s="8"/>
      <c r="E514" s="8"/>
      <c r="F514" s="8">
        <v>1</v>
      </c>
      <c r="G514" s="8">
        <v>4.7699999999999996</v>
      </c>
      <c r="H514" s="8">
        <v>52</v>
      </c>
      <c r="I514" s="8">
        <v>53.9</v>
      </c>
      <c r="J514" s="8">
        <v>21.4</v>
      </c>
      <c r="K514" s="8">
        <v>0.18</v>
      </c>
      <c r="L514" s="8">
        <v>0.22</v>
      </c>
      <c r="M514" s="8">
        <v>0.23</v>
      </c>
      <c r="N514" s="8">
        <v>10</v>
      </c>
      <c r="O514" s="8">
        <v>0.25340000000000001</v>
      </c>
      <c r="P514" s="8">
        <v>9.2499999999999999E-2</v>
      </c>
      <c r="Q514" s="8">
        <v>0.30709999999999998</v>
      </c>
      <c r="R514" s="8"/>
      <c r="S514" s="8"/>
      <c r="T514" s="8"/>
      <c r="U514" s="8">
        <v>1223</v>
      </c>
      <c r="V514">
        <f t="shared" ref="V514:V551" si="54">U514/N514</f>
        <v>122.3</v>
      </c>
      <c r="W514">
        <f t="shared" si="48"/>
        <v>2.5340000000000001E-2</v>
      </c>
      <c r="X514">
        <f t="shared" si="49"/>
        <v>9.2499999999999995E-3</v>
      </c>
      <c r="Y514">
        <f t="shared" si="50"/>
        <v>3.0709999999999998E-2</v>
      </c>
    </row>
    <row r="515" spans="1:25" x14ac:dyDescent="0.25">
      <c r="B515" s="5" t="s">
        <v>123</v>
      </c>
      <c r="C515" s="5">
        <v>19</v>
      </c>
      <c r="D515" s="5">
        <v>23</v>
      </c>
      <c r="E515" s="5">
        <v>13</v>
      </c>
      <c r="F515" s="5">
        <v>3</v>
      </c>
      <c r="G515" s="5">
        <v>4.0999999999999996</v>
      </c>
      <c r="H515" s="5">
        <v>58.4</v>
      </c>
      <c r="I515" s="5">
        <v>35.200000000000003</v>
      </c>
      <c r="J515" s="5">
        <v>28.2</v>
      </c>
      <c r="K515" s="5">
        <v>0.23</v>
      </c>
      <c r="L515" s="5">
        <v>0.25</v>
      </c>
      <c r="M515" s="5">
        <v>0.22</v>
      </c>
      <c r="N515" s="5">
        <v>15</v>
      </c>
      <c r="O515" s="5">
        <v>0.21049999999999999</v>
      </c>
      <c r="P515" s="5">
        <v>7.5600000000000001E-2</v>
      </c>
      <c r="Q515" s="5">
        <v>0.44690000000000002</v>
      </c>
      <c r="R515" s="5"/>
      <c r="S515" s="5"/>
      <c r="T515" s="5"/>
      <c r="U515" s="5">
        <v>1128</v>
      </c>
      <c r="V515">
        <f t="shared" si="54"/>
        <v>75.2</v>
      </c>
      <c r="W515">
        <f t="shared" ref="W515:W551" si="55">O515/N515</f>
        <v>1.4033333333333333E-2</v>
      </c>
      <c r="X515">
        <f t="shared" ref="X515:X551" si="56">P515/N515</f>
        <v>5.0400000000000002E-3</v>
      </c>
      <c r="Y515">
        <f t="shared" ref="Y515:Y551" si="57">Q515/N515</f>
        <v>2.9793333333333335E-2</v>
      </c>
    </row>
    <row r="516" spans="1:25" x14ac:dyDescent="0.25">
      <c r="B516" s="6" t="s">
        <v>110</v>
      </c>
      <c r="C516" s="6">
        <v>24</v>
      </c>
      <c r="D516" s="6">
        <v>28</v>
      </c>
      <c r="E516" s="6">
        <v>14</v>
      </c>
      <c r="F516" s="6">
        <v>11</v>
      </c>
      <c r="G516" s="6">
        <v>11.14</v>
      </c>
      <c r="H516" s="6">
        <v>35.700000000000003</v>
      </c>
      <c r="I516" s="6">
        <v>30.9</v>
      </c>
      <c r="J516" s="6">
        <v>24.9</v>
      </c>
      <c r="K516" s="6">
        <v>0.1</v>
      </c>
      <c r="L516" s="6">
        <v>0.05</v>
      </c>
      <c r="M516" s="6">
        <v>0.04</v>
      </c>
      <c r="N516" s="6">
        <v>15</v>
      </c>
      <c r="O516" s="6">
        <v>7.2900000000000006E-2</v>
      </c>
      <c r="P516" s="6">
        <v>0.02</v>
      </c>
      <c r="Q516" s="6">
        <v>0.15329999999999999</v>
      </c>
      <c r="R516" s="6"/>
      <c r="S516" s="6"/>
      <c r="T516" s="6"/>
      <c r="U516" s="6">
        <v>456</v>
      </c>
      <c r="V516">
        <f t="shared" si="54"/>
        <v>30.4</v>
      </c>
      <c r="W516">
        <f t="shared" si="55"/>
        <v>4.8600000000000006E-3</v>
      </c>
      <c r="X516">
        <f t="shared" si="56"/>
        <v>1.3333333333333333E-3</v>
      </c>
      <c r="Y516">
        <f t="shared" si="57"/>
        <v>1.022E-2</v>
      </c>
    </row>
    <row r="517" spans="1:25" x14ac:dyDescent="0.25">
      <c r="B517" s="7" t="s">
        <v>109</v>
      </c>
      <c r="C517" s="7">
        <v>43</v>
      </c>
      <c r="D517" s="7">
        <v>45</v>
      </c>
      <c r="E517" s="7">
        <v>40</v>
      </c>
      <c r="F517" s="7">
        <v>4</v>
      </c>
      <c r="G517" s="7">
        <v>28.47</v>
      </c>
      <c r="H517" s="7">
        <v>20.5</v>
      </c>
      <c r="I517" s="7">
        <v>41.6</v>
      </c>
      <c r="J517" s="7">
        <v>44.4</v>
      </c>
      <c r="K517" s="7">
        <v>0.06</v>
      </c>
      <c r="L517" s="7">
        <v>0.15</v>
      </c>
      <c r="M517" s="7">
        <v>0.08</v>
      </c>
      <c r="N517" s="7">
        <v>10</v>
      </c>
      <c r="O517" s="7">
        <v>8.8700000000000001E-2</v>
      </c>
      <c r="P517" s="7">
        <v>2.1999999999999999E-2</v>
      </c>
      <c r="Q517" s="7">
        <v>0.1321</v>
      </c>
      <c r="R517" s="7">
        <v>0.64</v>
      </c>
      <c r="S517" s="7">
        <v>46.32</v>
      </c>
      <c r="T517" s="7">
        <f>(R517/2)^2*3.14*2*R517</f>
        <v>0.41156608000000006</v>
      </c>
      <c r="U517" s="7"/>
      <c r="V517">
        <f t="shared" si="54"/>
        <v>0</v>
      </c>
      <c r="W517">
        <f t="shared" si="55"/>
        <v>8.8699999999999994E-3</v>
      </c>
      <c r="X517">
        <f t="shared" si="56"/>
        <v>2.1999999999999997E-3</v>
      </c>
      <c r="Y517">
        <f t="shared" si="57"/>
        <v>1.321E-2</v>
      </c>
    </row>
    <row r="518" spans="1:25" x14ac:dyDescent="0.25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>
        <v>0.71</v>
      </c>
      <c r="S518" s="7">
        <v>28.14</v>
      </c>
      <c r="T518" s="7">
        <f>(R518/2)^2*3.14*2*R518</f>
        <v>0.56192027</v>
      </c>
      <c r="U518" s="7"/>
      <c r="V518" t="e">
        <f t="shared" si="54"/>
        <v>#DIV/0!</v>
      </c>
      <c r="W518" t="e">
        <f t="shared" si="55"/>
        <v>#DIV/0!</v>
      </c>
      <c r="X518" t="e">
        <f t="shared" si="56"/>
        <v>#DIV/0!</v>
      </c>
      <c r="Y518" t="e">
        <f t="shared" si="57"/>
        <v>#DIV/0!</v>
      </c>
    </row>
    <row r="519" spans="1:25" x14ac:dyDescent="0.25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>
        <v>0.44</v>
      </c>
      <c r="S519" s="7">
        <v>18.510000000000002</v>
      </c>
      <c r="T519" s="7">
        <f>(R519/2)^2*3.14*2*R519</f>
        <v>0.13373888</v>
      </c>
      <c r="U519" s="7"/>
      <c r="V519" t="e">
        <f t="shared" si="54"/>
        <v>#DIV/0!</v>
      </c>
      <c r="W519" t="e">
        <f t="shared" si="55"/>
        <v>#DIV/0!</v>
      </c>
      <c r="X519" t="e">
        <f t="shared" si="56"/>
        <v>#DIV/0!</v>
      </c>
      <c r="Y519" t="e">
        <f t="shared" si="57"/>
        <v>#DIV/0!</v>
      </c>
    </row>
    <row r="520" spans="1:25" x14ac:dyDescent="0.25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>
        <v>0.53</v>
      </c>
      <c r="S520" s="7">
        <v>23.39</v>
      </c>
      <c r="T520" s="7">
        <f>(R520/2)^2*3.14*2*R520</f>
        <v>0.23373689000000006</v>
      </c>
      <c r="U520" s="7"/>
      <c r="V520" t="e">
        <f t="shared" si="54"/>
        <v>#DIV/0!</v>
      </c>
      <c r="W520" t="e">
        <f t="shared" si="55"/>
        <v>#DIV/0!</v>
      </c>
      <c r="X520" t="e">
        <f t="shared" si="56"/>
        <v>#DIV/0!</v>
      </c>
      <c r="Y520" t="e">
        <f t="shared" si="57"/>
        <v>#DIV/0!</v>
      </c>
    </row>
    <row r="521" spans="1:25" x14ac:dyDescent="0.25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>
        <v>0.32</v>
      </c>
      <c r="S521" s="7">
        <v>15.1</v>
      </c>
      <c r="T521" s="7">
        <f>(R521/2)^2*3.14*2*R521</f>
        <v>5.1445760000000007E-2</v>
      </c>
      <c r="U521" s="7">
        <f>AVERAGEA(T517:T521)</f>
        <v>0.27848157600000001</v>
      </c>
      <c r="V521" t="e">
        <f t="shared" si="54"/>
        <v>#DIV/0!</v>
      </c>
      <c r="W521" t="e">
        <f t="shared" si="55"/>
        <v>#DIV/0!</v>
      </c>
      <c r="X521" t="e">
        <f t="shared" si="56"/>
        <v>#DIV/0!</v>
      </c>
      <c r="Y521" t="e">
        <f t="shared" si="57"/>
        <v>#DIV/0!</v>
      </c>
    </row>
    <row r="522" spans="1:25" x14ac:dyDescent="0.25">
      <c r="A522" s="2" t="s">
        <v>125</v>
      </c>
      <c r="B522" s="5" t="s">
        <v>110</v>
      </c>
      <c r="C522" s="5">
        <v>24</v>
      </c>
      <c r="D522" s="5">
        <v>28</v>
      </c>
      <c r="E522" s="5">
        <v>14</v>
      </c>
      <c r="F522" s="5">
        <v>11</v>
      </c>
      <c r="G522" s="5">
        <v>11.14</v>
      </c>
      <c r="H522" s="5">
        <v>35.700000000000003</v>
      </c>
      <c r="I522" s="5">
        <v>30.9</v>
      </c>
      <c r="J522" s="5">
        <v>24.9</v>
      </c>
      <c r="K522" s="5">
        <v>0.1</v>
      </c>
      <c r="L522" s="5">
        <v>0.05</v>
      </c>
      <c r="M522" s="5">
        <v>0.04</v>
      </c>
      <c r="N522" s="5">
        <v>5</v>
      </c>
      <c r="O522" s="5">
        <v>0.1082</v>
      </c>
      <c r="P522" s="5">
        <v>3.6499999999999998E-2</v>
      </c>
      <c r="Q522" s="5">
        <v>0.19850000000000001</v>
      </c>
      <c r="R522" s="5"/>
      <c r="S522" s="5"/>
      <c r="T522" s="5"/>
      <c r="U522" s="5">
        <v>643</v>
      </c>
      <c r="V522">
        <f t="shared" si="54"/>
        <v>128.6</v>
      </c>
      <c r="W522">
        <f t="shared" si="55"/>
        <v>2.164E-2</v>
      </c>
      <c r="X522">
        <f t="shared" si="56"/>
        <v>7.2999999999999992E-3</v>
      </c>
      <c r="Y522">
        <f t="shared" si="57"/>
        <v>3.9699999999999999E-2</v>
      </c>
    </row>
    <row r="523" spans="1:25" x14ac:dyDescent="0.25">
      <c r="B523" s="6" t="s">
        <v>35</v>
      </c>
      <c r="C523" s="6">
        <v>32</v>
      </c>
      <c r="D523" s="6">
        <v>30</v>
      </c>
      <c r="E523" s="6">
        <v>43</v>
      </c>
      <c r="F523" s="6">
        <v>17</v>
      </c>
      <c r="G523" s="6">
        <v>110.9</v>
      </c>
      <c r="H523" s="6">
        <v>41.4</v>
      </c>
      <c r="I523" s="6">
        <v>34.200000000000003</v>
      </c>
      <c r="J523" s="6">
        <v>36.9</v>
      </c>
      <c r="K523" s="6">
        <v>0.28999999999999998</v>
      </c>
      <c r="L523" s="6">
        <v>0.27</v>
      </c>
      <c r="M523" s="6">
        <v>0.26</v>
      </c>
      <c r="N523" s="6">
        <v>5</v>
      </c>
      <c r="O523" s="6">
        <v>0.2205</v>
      </c>
      <c r="P523" s="6">
        <v>5.7700000000000001E-2</v>
      </c>
      <c r="Q523" s="6">
        <v>0.44769999999999999</v>
      </c>
      <c r="R523" s="6"/>
      <c r="S523" s="6"/>
      <c r="T523" s="6"/>
      <c r="U523" s="6">
        <v>1044</v>
      </c>
      <c r="V523">
        <f t="shared" si="54"/>
        <v>208.8</v>
      </c>
      <c r="W523">
        <f t="shared" si="55"/>
        <v>4.41E-2</v>
      </c>
      <c r="X523">
        <f t="shared" si="56"/>
        <v>1.154E-2</v>
      </c>
      <c r="Y523">
        <f t="shared" si="57"/>
        <v>8.9539999999999995E-2</v>
      </c>
    </row>
    <row r="524" spans="1:25" x14ac:dyDescent="0.25">
      <c r="B524" s="3" t="s">
        <v>109</v>
      </c>
      <c r="C524" s="3">
        <v>42</v>
      </c>
      <c r="D524" s="3">
        <v>20</v>
      </c>
      <c r="E524" s="3">
        <v>41</v>
      </c>
      <c r="F524" s="3">
        <v>22</v>
      </c>
      <c r="G524" s="3">
        <v>29.61</v>
      </c>
      <c r="H524" s="3">
        <v>58</v>
      </c>
      <c r="I524" s="3">
        <v>38.1</v>
      </c>
      <c r="J524" s="3">
        <v>45.9</v>
      </c>
      <c r="K524" s="3">
        <v>0.13</v>
      </c>
      <c r="L524" s="3">
        <v>0.21</v>
      </c>
      <c r="M524" s="3">
        <v>0.19</v>
      </c>
      <c r="N524" s="3">
        <v>20</v>
      </c>
      <c r="O524" s="3">
        <v>7.5899999999999995E-2</v>
      </c>
      <c r="P524" s="3">
        <v>1.7000000000000001E-2</v>
      </c>
      <c r="Q524" s="3">
        <v>9.7199999999999995E-2</v>
      </c>
      <c r="R524" s="3">
        <v>0.39</v>
      </c>
      <c r="S524" s="3">
        <v>20.12</v>
      </c>
      <c r="T524" s="3">
        <f>(R524/2)^2*3.14*2*R524</f>
        <v>9.3130830000000012E-2</v>
      </c>
      <c r="U524" s="3"/>
      <c r="V524">
        <f t="shared" si="54"/>
        <v>0</v>
      </c>
      <c r="W524">
        <f t="shared" si="55"/>
        <v>3.7949999999999998E-3</v>
      </c>
      <c r="X524">
        <f t="shared" si="56"/>
        <v>8.5000000000000006E-4</v>
      </c>
      <c r="Y524">
        <f t="shared" si="57"/>
        <v>4.8599999999999997E-3</v>
      </c>
    </row>
    <row r="525" spans="1:25" x14ac:dyDescent="0.25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>
        <v>0.57999999999999996</v>
      </c>
      <c r="S525" s="3">
        <v>19.920000000000002</v>
      </c>
      <c r="T525" s="3">
        <f>(R525/2)^2*3.14*2*R525</f>
        <v>0.30632583999999996</v>
      </c>
      <c r="U525" s="3"/>
      <c r="V525" t="e">
        <f t="shared" si="54"/>
        <v>#DIV/0!</v>
      </c>
      <c r="W525" t="e">
        <f t="shared" si="55"/>
        <v>#DIV/0!</v>
      </c>
      <c r="X525" t="e">
        <f t="shared" si="56"/>
        <v>#DIV/0!</v>
      </c>
      <c r="Y525" t="e">
        <f t="shared" si="57"/>
        <v>#DIV/0!</v>
      </c>
    </row>
    <row r="526" spans="1:25" x14ac:dyDescent="0.25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>
        <v>0.57999999999999996</v>
      </c>
      <c r="S526" s="3">
        <v>36.08</v>
      </c>
      <c r="T526" s="3">
        <f>(R526/2)^2*3.14*2*R526</f>
        <v>0.30632583999999996</v>
      </c>
      <c r="U526" s="3"/>
      <c r="V526" t="e">
        <f t="shared" si="54"/>
        <v>#DIV/0!</v>
      </c>
      <c r="W526" t="e">
        <f t="shared" si="55"/>
        <v>#DIV/0!</v>
      </c>
      <c r="X526" t="e">
        <f t="shared" si="56"/>
        <v>#DIV/0!</v>
      </c>
      <c r="Y526" t="e">
        <f t="shared" si="57"/>
        <v>#DIV/0!</v>
      </c>
    </row>
    <row r="527" spans="1:25" x14ac:dyDescent="0.25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>
        <v>0.53</v>
      </c>
      <c r="S527" s="3">
        <v>20.14</v>
      </c>
      <c r="T527" s="3">
        <f>(R527/2)^2*3.14*2*R527</f>
        <v>0.23373689000000006</v>
      </c>
      <c r="U527" s="3"/>
      <c r="V527" t="e">
        <f t="shared" si="54"/>
        <v>#DIV/0!</v>
      </c>
      <c r="W527" t="e">
        <f t="shared" si="55"/>
        <v>#DIV/0!</v>
      </c>
      <c r="X527" t="e">
        <f t="shared" si="56"/>
        <v>#DIV/0!</v>
      </c>
      <c r="Y527" t="e">
        <f t="shared" si="57"/>
        <v>#DIV/0!</v>
      </c>
    </row>
    <row r="528" spans="1:25" x14ac:dyDescent="0.25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>
        <v>0.52</v>
      </c>
      <c r="S528" s="3">
        <v>27.81</v>
      </c>
      <c r="T528" s="3">
        <f>(R528/2)^2*3.14*2*R528</f>
        <v>0.22075456000000004</v>
      </c>
      <c r="U528" s="3">
        <f>AVERAGEA(T524:T528)</f>
        <v>0.23205479200000001</v>
      </c>
      <c r="V528" t="e">
        <f t="shared" si="54"/>
        <v>#DIV/0!</v>
      </c>
      <c r="W528" t="e">
        <f t="shared" si="55"/>
        <v>#DIV/0!</v>
      </c>
      <c r="X528" t="e">
        <f t="shared" si="56"/>
        <v>#DIV/0!</v>
      </c>
      <c r="Y528" t="e">
        <f t="shared" si="57"/>
        <v>#DIV/0!</v>
      </c>
    </row>
    <row r="529" spans="1:25" x14ac:dyDescent="0.25">
      <c r="A529" s="2" t="s">
        <v>36</v>
      </c>
      <c r="B529" s="7" t="s">
        <v>35</v>
      </c>
      <c r="C529" s="7">
        <v>17.2</v>
      </c>
      <c r="D529" s="7">
        <v>20.5</v>
      </c>
      <c r="E529" s="7">
        <v>20</v>
      </c>
      <c r="F529" s="7">
        <v>32</v>
      </c>
      <c r="G529" s="7">
        <v>48.42</v>
      </c>
      <c r="H529" s="7">
        <v>65.599999999999994</v>
      </c>
      <c r="I529" s="7">
        <v>61.1</v>
      </c>
      <c r="J529" s="7">
        <v>56.2</v>
      </c>
      <c r="K529" s="7">
        <v>0.23</v>
      </c>
      <c r="L529" s="7">
        <v>0.25</v>
      </c>
      <c r="M529" s="7">
        <v>0.35</v>
      </c>
      <c r="N529" s="7">
        <v>15</v>
      </c>
      <c r="O529" s="7">
        <v>0.29170000000000001</v>
      </c>
      <c r="P529" s="7">
        <v>7.3599999999999999E-2</v>
      </c>
      <c r="Q529" s="7">
        <v>0.62629999999999997</v>
      </c>
      <c r="R529" s="7"/>
      <c r="S529" s="7"/>
      <c r="T529" s="7"/>
      <c r="U529" s="7">
        <v>1433</v>
      </c>
      <c r="V529">
        <f t="shared" si="54"/>
        <v>95.533333333333331</v>
      </c>
      <c r="W529">
        <f t="shared" si="55"/>
        <v>1.9446666666666668E-2</v>
      </c>
      <c r="X529">
        <f t="shared" si="56"/>
        <v>4.9066666666666668E-3</v>
      </c>
      <c r="Y529">
        <f t="shared" si="57"/>
        <v>4.175333333333333E-2</v>
      </c>
    </row>
    <row r="530" spans="1:25" x14ac:dyDescent="0.25">
      <c r="B530" s="8" t="s">
        <v>24</v>
      </c>
      <c r="C530" s="8">
        <v>28</v>
      </c>
      <c r="D530" s="8">
        <v>36</v>
      </c>
      <c r="E530" s="8">
        <v>34</v>
      </c>
      <c r="F530" s="8">
        <v>13</v>
      </c>
      <c r="G530" s="8">
        <v>20.66</v>
      </c>
      <c r="H530" s="8">
        <v>22.9</v>
      </c>
      <c r="I530" s="8">
        <v>17.899999999999999</v>
      </c>
      <c r="J530" s="8">
        <v>21.5</v>
      </c>
      <c r="K530" s="8">
        <v>0.14000000000000001</v>
      </c>
      <c r="L530" s="8">
        <v>0.16</v>
      </c>
      <c r="M530" s="8">
        <v>0.21</v>
      </c>
      <c r="N530" s="8">
        <v>15</v>
      </c>
      <c r="O530" s="8">
        <v>9.9000000000000005E-2</v>
      </c>
      <c r="P530" s="8">
        <v>2.06E-2</v>
      </c>
      <c r="Q530" s="8">
        <v>0.15509999999999999</v>
      </c>
      <c r="R530" s="8">
        <v>0.57999999999999996</v>
      </c>
      <c r="S530" s="8">
        <v>19.059999999999999</v>
      </c>
      <c r="T530" s="8">
        <f>(R530/2)^2*3.14*2*R530</f>
        <v>0.30632583999999996</v>
      </c>
      <c r="U530" s="8"/>
      <c r="V530">
        <f t="shared" si="54"/>
        <v>0</v>
      </c>
      <c r="W530">
        <f t="shared" si="55"/>
        <v>6.6E-3</v>
      </c>
      <c r="X530">
        <f t="shared" si="56"/>
        <v>1.3733333333333334E-3</v>
      </c>
      <c r="Y530">
        <f t="shared" si="57"/>
        <v>1.0339999999999998E-2</v>
      </c>
    </row>
    <row r="531" spans="1:25" x14ac:dyDescent="0.25"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>
        <v>0.88</v>
      </c>
      <c r="S531" s="8">
        <v>18.739999999999998</v>
      </c>
      <c r="T531" s="8">
        <f>(R531/2)^2*3.14*2*R531</f>
        <v>1.06991104</v>
      </c>
      <c r="U531" s="8"/>
      <c r="V531" t="e">
        <f t="shared" si="54"/>
        <v>#DIV/0!</v>
      </c>
      <c r="W531" t="e">
        <f t="shared" si="55"/>
        <v>#DIV/0!</v>
      </c>
      <c r="X531" t="e">
        <f t="shared" si="56"/>
        <v>#DIV/0!</v>
      </c>
      <c r="Y531" t="e">
        <f t="shared" si="57"/>
        <v>#DIV/0!</v>
      </c>
    </row>
    <row r="532" spans="1:25" x14ac:dyDescent="0.25"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>
        <v>0.84</v>
      </c>
      <c r="S532" s="8">
        <v>13.26</v>
      </c>
      <c r="T532" s="8">
        <f>(R532/2)^2*3.14*2*R532</f>
        <v>0.93054527999999992</v>
      </c>
      <c r="U532" s="8"/>
      <c r="V532" t="e">
        <f t="shared" si="54"/>
        <v>#DIV/0!</v>
      </c>
      <c r="W532" t="e">
        <f t="shared" si="55"/>
        <v>#DIV/0!</v>
      </c>
      <c r="X532" t="e">
        <f t="shared" si="56"/>
        <v>#DIV/0!</v>
      </c>
      <c r="Y532" t="e">
        <f t="shared" si="57"/>
        <v>#DIV/0!</v>
      </c>
    </row>
    <row r="533" spans="1:25" x14ac:dyDescent="0.25"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>
        <v>0.61</v>
      </c>
      <c r="S533" s="8">
        <v>13.25</v>
      </c>
      <c r="T533" s="8">
        <f>(R533/2)^2*3.14*2*R533</f>
        <v>0.35636016999999998</v>
      </c>
      <c r="U533" s="8"/>
      <c r="V533" t="e">
        <f t="shared" si="54"/>
        <v>#DIV/0!</v>
      </c>
      <c r="W533" t="e">
        <f t="shared" si="55"/>
        <v>#DIV/0!</v>
      </c>
      <c r="X533" t="e">
        <f t="shared" si="56"/>
        <v>#DIV/0!</v>
      </c>
      <c r="Y533" t="e">
        <f t="shared" si="57"/>
        <v>#DIV/0!</v>
      </c>
    </row>
    <row r="534" spans="1:25" x14ac:dyDescent="0.25"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>
        <v>0.96</v>
      </c>
      <c r="S534" s="8">
        <v>19.079999999999998</v>
      </c>
      <c r="T534" s="8">
        <f>(R534/2)^2*3.14*2*R534</f>
        <v>1.38903552</v>
      </c>
      <c r="U534" s="8">
        <f>AVERAGEA(T530:T534)</f>
        <v>0.81043556999999988</v>
      </c>
      <c r="V534" t="e">
        <f t="shared" si="54"/>
        <v>#DIV/0!</v>
      </c>
      <c r="W534" t="e">
        <f t="shared" si="55"/>
        <v>#DIV/0!</v>
      </c>
      <c r="X534" t="e">
        <f t="shared" si="56"/>
        <v>#DIV/0!</v>
      </c>
      <c r="Y534" t="e">
        <f t="shared" si="57"/>
        <v>#DIV/0!</v>
      </c>
    </row>
    <row r="535" spans="1:25" x14ac:dyDescent="0.25">
      <c r="B535" s="3" t="s">
        <v>32</v>
      </c>
      <c r="C535" s="3">
        <v>12.5</v>
      </c>
      <c r="D535" s="3">
        <v>28</v>
      </c>
      <c r="E535" s="3">
        <v>22</v>
      </c>
      <c r="F535" s="3">
        <v>6</v>
      </c>
      <c r="G535" s="3">
        <v>5.01</v>
      </c>
      <c r="H535" s="3">
        <v>23</v>
      </c>
      <c r="I535" s="3">
        <v>14.2</v>
      </c>
      <c r="J535" s="3">
        <v>17.8</v>
      </c>
      <c r="K535" s="3">
        <v>0.32</v>
      </c>
      <c r="L535" s="3">
        <v>0.31</v>
      </c>
      <c r="M535" s="3">
        <v>0.57999999999999996</v>
      </c>
      <c r="N535" s="3">
        <v>20</v>
      </c>
      <c r="O535" s="3">
        <v>1.7399999999999999E-2</v>
      </c>
      <c r="P535" s="3">
        <v>1.35E-2</v>
      </c>
      <c r="Q535" s="3">
        <v>0.15110000000000001</v>
      </c>
      <c r="R535" s="3">
        <v>2.31</v>
      </c>
      <c r="S535" s="3" t="s">
        <v>21</v>
      </c>
      <c r="T535" s="3">
        <f>4*3.14*R535^2</f>
        <v>67.021416000000002</v>
      </c>
      <c r="U535" s="3"/>
      <c r="V535">
        <f t="shared" si="54"/>
        <v>0</v>
      </c>
      <c r="W535">
        <f t="shared" si="55"/>
        <v>8.699999999999999E-4</v>
      </c>
      <c r="X535">
        <f t="shared" si="56"/>
        <v>6.7500000000000004E-4</v>
      </c>
      <c r="Y535">
        <f t="shared" si="57"/>
        <v>7.555000000000001E-3</v>
      </c>
    </row>
    <row r="536" spans="1:25" x14ac:dyDescent="0.25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>
        <v>3.05</v>
      </c>
      <c r="S536" s="3" t="s">
        <v>21</v>
      </c>
      <c r="T536" s="3">
        <f t="shared" ref="T536:T539" si="58">4*3.14*R536^2</f>
        <v>116.83939999999998</v>
      </c>
      <c r="U536" s="3"/>
      <c r="V536" t="e">
        <f t="shared" si="54"/>
        <v>#DIV/0!</v>
      </c>
      <c r="W536" t="e">
        <f t="shared" si="55"/>
        <v>#DIV/0!</v>
      </c>
      <c r="X536" t="e">
        <f t="shared" si="56"/>
        <v>#DIV/0!</v>
      </c>
      <c r="Y536" t="e">
        <f t="shared" si="57"/>
        <v>#DIV/0!</v>
      </c>
    </row>
    <row r="537" spans="1:25" x14ac:dyDescent="0.25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>
        <v>2.5499999999999998</v>
      </c>
      <c r="S537" s="3" t="s">
        <v>21</v>
      </c>
      <c r="T537" s="3">
        <f t="shared" si="58"/>
        <v>81.671399999999991</v>
      </c>
      <c r="U537" s="3"/>
      <c r="V537" t="e">
        <f t="shared" si="54"/>
        <v>#DIV/0!</v>
      </c>
      <c r="W537" t="e">
        <f t="shared" si="55"/>
        <v>#DIV/0!</v>
      </c>
      <c r="X537" t="e">
        <f t="shared" si="56"/>
        <v>#DIV/0!</v>
      </c>
      <c r="Y537" t="e">
        <f t="shared" si="57"/>
        <v>#DIV/0!</v>
      </c>
    </row>
    <row r="538" spans="1:25" x14ac:dyDescent="0.25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>
        <v>2.0099999999999998</v>
      </c>
      <c r="S538" s="3" t="s">
        <v>21</v>
      </c>
      <c r="T538" s="3">
        <f t="shared" si="58"/>
        <v>50.743655999999987</v>
      </c>
      <c r="U538" s="3"/>
      <c r="V538" t="e">
        <f t="shared" si="54"/>
        <v>#DIV/0!</v>
      </c>
      <c r="W538" t="e">
        <f t="shared" si="55"/>
        <v>#DIV/0!</v>
      </c>
      <c r="X538" t="e">
        <f t="shared" si="56"/>
        <v>#DIV/0!</v>
      </c>
      <c r="Y538" t="e">
        <f t="shared" si="57"/>
        <v>#DIV/0!</v>
      </c>
    </row>
    <row r="539" spans="1:25" x14ac:dyDescent="0.25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>
        <v>2.4900000000000002</v>
      </c>
      <c r="S539" s="3" t="s">
        <v>21</v>
      </c>
      <c r="T539" s="3">
        <f t="shared" si="58"/>
        <v>77.873256000000012</v>
      </c>
      <c r="U539" s="3">
        <f>AVERAGEA(T535:T539)</f>
        <v>78.829825600000007</v>
      </c>
      <c r="V539" t="e">
        <f t="shared" si="54"/>
        <v>#DIV/0!</v>
      </c>
      <c r="W539" t="e">
        <f t="shared" si="55"/>
        <v>#DIV/0!</v>
      </c>
      <c r="X539" t="e">
        <f t="shared" si="56"/>
        <v>#DIV/0!</v>
      </c>
      <c r="Y539" t="e">
        <f t="shared" si="57"/>
        <v>#DIV/0!</v>
      </c>
    </row>
    <row r="540" spans="1:25" x14ac:dyDescent="0.25">
      <c r="A540" s="2" t="s">
        <v>126</v>
      </c>
      <c r="B540" s="5" t="s">
        <v>23</v>
      </c>
      <c r="C540" s="5">
        <v>40</v>
      </c>
      <c r="D540" s="5">
        <v>43</v>
      </c>
      <c r="E540" s="5">
        <v>62</v>
      </c>
      <c r="F540" s="5">
        <v>7</v>
      </c>
      <c r="G540" s="5">
        <v>21.96</v>
      </c>
      <c r="H540" s="5">
        <v>45.5</v>
      </c>
      <c r="I540" s="5">
        <v>53.3</v>
      </c>
      <c r="J540" s="5">
        <v>62.3</v>
      </c>
      <c r="K540" s="5">
        <v>0.18</v>
      </c>
      <c r="L540" s="5">
        <v>10.23</v>
      </c>
      <c r="M540" s="5">
        <v>0.28000000000000003</v>
      </c>
      <c r="N540" s="5">
        <v>5</v>
      </c>
      <c r="O540" s="5">
        <v>1.0269999999999999</v>
      </c>
      <c r="P540" s="5">
        <v>0.23849999999999999</v>
      </c>
      <c r="Q540" s="5">
        <v>1.6888000000000001</v>
      </c>
      <c r="R540" s="5"/>
      <c r="S540" s="5"/>
      <c r="T540" s="5"/>
      <c r="U540" s="5">
        <v>3795</v>
      </c>
      <c r="V540">
        <f t="shared" si="54"/>
        <v>759</v>
      </c>
      <c r="W540">
        <f t="shared" si="55"/>
        <v>0.20539999999999997</v>
      </c>
      <c r="X540">
        <f t="shared" si="56"/>
        <v>4.7699999999999999E-2</v>
      </c>
      <c r="Y540">
        <f t="shared" si="57"/>
        <v>0.33776</v>
      </c>
    </row>
    <row r="541" spans="1:25" x14ac:dyDescent="0.25">
      <c r="B541" s="6" t="s">
        <v>35</v>
      </c>
      <c r="C541" s="6">
        <v>26</v>
      </c>
      <c r="D541" s="6">
        <v>18</v>
      </c>
      <c r="E541" s="6">
        <v>14</v>
      </c>
      <c r="F541" s="6">
        <v>3</v>
      </c>
      <c r="G541" s="6">
        <v>9.16</v>
      </c>
      <c r="H541" s="6">
        <v>58.3</v>
      </c>
      <c r="I541" s="6">
        <v>57.1</v>
      </c>
      <c r="J541" s="6">
        <v>47.7</v>
      </c>
      <c r="K541" s="6">
        <v>0.28000000000000003</v>
      </c>
      <c r="L541" s="6">
        <v>0.34</v>
      </c>
      <c r="M541" s="6">
        <v>0.26</v>
      </c>
      <c r="N541" s="6">
        <v>10</v>
      </c>
      <c r="O541" s="6">
        <v>0.51849999999999996</v>
      </c>
      <c r="P541" s="6">
        <v>4.7500000000000001E-2</v>
      </c>
      <c r="Q541" s="6">
        <v>0.53879999999999995</v>
      </c>
      <c r="R541" s="6"/>
      <c r="S541" s="6"/>
      <c r="T541" s="6"/>
      <c r="U541" s="6">
        <v>1514</v>
      </c>
      <c r="V541">
        <f t="shared" si="54"/>
        <v>151.4</v>
      </c>
      <c r="W541">
        <f t="shared" si="55"/>
        <v>5.1849999999999993E-2</v>
      </c>
      <c r="X541">
        <f t="shared" si="56"/>
        <v>4.7499999999999999E-3</v>
      </c>
      <c r="Y541">
        <f t="shared" si="57"/>
        <v>5.3879999999999997E-2</v>
      </c>
    </row>
    <row r="542" spans="1:25" x14ac:dyDescent="0.25">
      <c r="B542" s="7" t="s">
        <v>109</v>
      </c>
      <c r="C542" s="7">
        <v>22</v>
      </c>
      <c r="D542" s="7">
        <v>16</v>
      </c>
      <c r="E542" s="7">
        <v>30</v>
      </c>
      <c r="F542" s="7">
        <v>24</v>
      </c>
      <c r="G542" s="7"/>
      <c r="H542" s="7">
        <v>15.1</v>
      </c>
      <c r="I542" s="7">
        <v>18.899999999999999</v>
      </c>
      <c r="J542" s="7">
        <v>31.3</v>
      </c>
      <c r="K542" s="7">
        <v>7.0000000000000007E-2</v>
      </c>
      <c r="L542" s="7">
        <v>0.06</v>
      </c>
      <c r="M542" s="7">
        <v>0.14000000000000001</v>
      </c>
      <c r="N542" s="7">
        <v>20</v>
      </c>
      <c r="O542" s="7">
        <v>8.9599999999999999E-2</v>
      </c>
      <c r="P542" s="7">
        <v>1.5299999999999999E-2</v>
      </c>
      <c r="Q542" s="7">
        <v>9.6100000000000005E-2</v>
      </c>
      <c r="R542" s="7">
        <v>0.35</v>
      </c>
      <c r="S542" s="7">
        <v>27.84</v>
      </c>
      <c r="T542" s="7">
        <f t="shared" ref="T542:T551" si="59">(R542/2)^2*3.14*2*R542</f>
        <v>6.7313749999999992E-2</v>
      </c>
      <c r="U542" s="7"/>
      <c r="V542">
        <f t="shared" si="54"/>
        <v>0</v>
      </c>
      <c r="W542">
        <f t="shared" si="55"/>
        <v>4.4799999999999996E-3</v>
      </c>
      <c r="X542">
        <f t="shared" si="56"/>
        <v>7.6499999999999995E-4</v>
      </c>
      <c r="Y542">
        <f t="shared" si="57"/>
        <v>4.8050000000000002E-3</v>
      </c>
    </row>
    <row r="543" spans="1:25" x14ac:dyDescent="0.25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>
        <v>0.46</v>
      </c>
      <c r="S543" s="7">
        <v>21.5</v>
      </c>
      <c r="T543" s="7">
        <f t="shared" si="59"/>
        <v>0.15281752000000001</v>
      </c>
      <c r="U543" s="7"/>
      <c r="V543" t="e">
        <f t="shared" si="54"/>
        <v>#DIV/0!</v>
      </c>
      <c r="W543" t="e">
        <f t="shared" si="55"/>
        <v>#DIV/0!</v>
      </c>
      <c r="X543" t="e">
        <f t="shared" si="56"/>
        <v>#DIV/0!</v>
      </c>
      <c r="Y543" t="e">
        <f t="shared" si="57"/>
        <v>#DIV/0!</v>
      </c>
    </row>
    <row r="544" spans="1:25" x14ac:dyDescent="0.25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>
        <v>0.39</v>
      </c>
      <c r="S544" s="7">
        <v>21.45</v>
      </c>
      <c r="T544" s="7">
        <f t="shared" si="59"/>
        <v>9.3130830000000012E-2</v>
      </c>
      <c r="U544" s="7"/>
      <c r="V544" t="e">
        <f t="shared" si="54"/>
        <v>#DIV/0!</v>
      </c>
      <c r="W544" t="e">
        <f t="shared" si="55"/>
        <v>#DIV/0!</v>
      </c>
      <c r="X544" t="e">
        <f t="shared" si="56"/>
        <v>#DIV/0!</v>
      </c>
      <c r="Y544" t="e">
        <f t="shared" si="57"/>
        <v>#DIV/0!</v>
      </c>
    </row>
    <row r="545" spans="2:25" x14ac:dyDescent="0.25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>
        <v>0.4</v>
      </c>
      <c r="S545" s="7">
        <v>30.84</v>
      </c>
      <c r="T545" s="7">
        <f t="shared" si="59"/>
        <v>0.10048000000000001</v>
      </c>
      <c r="U545" s="7"/>
      <c r="V545" t="e">
        <f t="shared" si="54"/>
        <v>#DIV/0!</v>
      </c>
      <c r="W545" t="e">
        <f t="shared" si="55"/>
        <v>#DIV/0!</v>
      </c>
      <c r="X545" t="e">
        <f t="shared" si="56"/>
        <v>#DIV/0!</v>
      </c>
      <c r="Y545" t="e">
        <f t="shared" si="57"/>
        <v>#DIV/0!</v>
      </c>
    </row>
    <row r="546" spans="2:25" x14ac:dyDescent="0.25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>
        <v>0.64</v>
      </c>
      <c r="S546" s="7">
        <v>34.86</v>
      </c>
      <c r="T546" s="7">
        <f t="shared" si="59"/>
        <v>0.41156608000000006</v>
      </c>
      <c r="U546" s="7">
        <f>AVERAGEA(T542:T546)</f>
        <v>0.16506163600000001</v>
      </c>
      <c r="V546" t="e">
        <f t="shared" si="54"/>
        <v>#DIV/0!</v>
      </c>
      <c r="W546" t="e">
        <f t="shared" si="55"/>
        <v>#DIV/0!</v>
      </c>
      <c r="X546" t="e">
        <f t="shared" si="56"/>
        <v>#DIV/0!</v>
      </c>
      <c r="Y546" t="e">
        <f t="shared" si="57"/>
        <v>#DIV/0!</v>
      </c>
    </row>
    <row r="547" spans="2:25" x14ac:dyDescent="0.25">
      <c r="B547" s="8" t="s">
        <v>114</v>
      </c>
      <c r="C547" s="8">
        <v>29</v>
      </c>
      <c r="D547" s="8">
        <v>27</v>
      </c>
      <c r="E547" s="8">
        <v>26</v>
      </c>
      <c r="F547" s="8">
        <v>10</v>
      </c>
      <c r="G547" s="8">
        <v>30.46</v>
      </c>
      <c r="H547" s="8">
        <v>10.1</v>
      </c>
      <c r="I547" s="8">
        <v>23.7</v>
      </c>
      <c r="J547" s="8">
        <v>14.6</v>
      </c>
      <c r="K547" s="8">
        <v>0.12</v>
      </c>
      <c r="L547" s="8">
        <v>0.18</v>
      </c>
      <c r="M547" s="8">
        <v>0.15</v>
      </c>
      <c r="N547" s="8">
        <v>20</v>
      </c>
      <c r="O547" s="8">
        <v>6.9400000000000003E-2</v>
      </c>
      <c r="P547" s="8">
        <v>1.78E-2</v>
      </c>
      <c r="Q547" s="8">
        <v>0.1295</v>
      </c>
      <c r="R547" s="8">
        <v>0.86</v>
      </c>
      <c r="S547" s="8">
        <v>11.31</v>
      </c>
      <c r="T547" s="8">
        <f t="shared" si="59"/>
        <v>0.99860791999999987</v>
      </c>
      <c r="U547" s="8"/>
      <c r="V547">
        <f t="shared" si="54"/>
        <v>0</v>
      </c>
      <c r="W547">
        <f t="shared" si="55"/>
        <v>3.47E-3</v>
      </c>
      <c r="X547">
        <f t="shared" si="56"/>
        <v>8.8999999999999995E-4</v>
      </c>
      <c r="Y547">
        <f t="shared" si="57"/>
        <v>6.4749999999999999E-3</v>
      </c>
    </row>
    <row r="548" spans="2:25" x14ac:dyDescent="0.25"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>
        <v>0.66</v>
      </c>
      <c r="S548" s="8">
        <v>12.32</v>
      </c>
      <c r="T548" s="8">
        <f t="shared" si="59"/>
        <v>0.45136872000000006</v>
      </c>
      <c r="U548" s="8"/>
      <c r="V548" t="e">
        <f t="shared" si="54"/>
        <v>#DIV/0!</v>
      </c>
      <c r="W548" t="e">
        <f t="shared" si="55"/>
        <v>#DIV/0!</v>
      </c>
      <c r="X548" t="e">
        <f t="shared" si="56"/>
        <v>#DIV/0!</v>
      </c>
      <c r="Y548" t="e">
        <f t="shared" si="57"/>
        <v>#DIV/0!</v>
      </c>
    </row>
    <row r="549" spans="2:25" x14ac:dyDescent="0.25"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>
        <v>0.68</v>
      </c>
      <c r="S549" s="8">
        <v>14.94</v>
      </c>
      <c r="T549" s="8">
        <f t="shared" si="59"/>
        <v>0.49365824000000014</v>
      </c>
      <c r="U549" s="8"/>
      <c r="V549" t="e">
        <f t="shared" si="54"/>
        <v>#DIV/0!</v>
      </c>
      <c r="W549" t="e">
        <f t="shared" si="55"/>
        <v>#DIV/0!</v>
      </c>
      <c r="X549" t="e">
        <f t="shared" si="56"/>
        <v>#DIV/0!</v>
      </c>
      <c r="Y549" t="e">
        <f t="shared" si="57"/>
        <v>#DIV/0!</v>
      </c>
    </row>
    <row r="550" spans="2:25" x14ac:dyDescent="0.25"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>
        <v>0.74</v>
      </c>
      <c r="S550" s="8">
        <v>7.39</v>
      </c>
      <c r="T550" s="8">
        <f t="shared" si="59"/>
        <v>0.63620167999999999</v>
      </c>
      <c r="U550" s="8"/>
      <c r="V550" t="e">
        <f t="shared" si="54"/>
        <v>#DIV/0!</v>
      </c>
      <c r="W550" t="e">
        <f t="shared" si="55"/>
        <v>#DIV/0!</v>
      </c>
      <c r="X550" t="e">
        <f t="shared" si="56"/>
        <v>#DIV/0!</v>
      </c>
      <c r="Y550" t="e">
        <f t="shared" si="57"/>
        <v>#DIV/0!</v>
      </c>
    </row>
    <row r="551" spans="2:25" x14ac:dyDescent="0.25"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>
        <v>0.38</v>
      </c>
      <c r="S551" s="8">
        <v>11.73</v>
      </c>
      <c r="T551" s="8">
        <f t="shared" si="59"/>
        <v>8.614904000000001E-2</v>
      </c>
      <c r="U551" s="8">
        <f>AVERAGEA(T547:T551)</f>
        <v>0.53319712000000008</v>
      </c>
      <c r="V551" t="e">
        <f t="shared" si="54"/>
        <v>#DIV/0!</v>
      </c>
      <c r="W551" t="e">
        <f t="shared" si="55"/>
        <v>#DIV/0!</v>
      </c>
      <c r="X551" t="e">
        <f t="shared" si="56"/>
        <v>#DIV/0!</v>
      </c>
      <c r="Y551" t="e">
        <f t="shared" si="57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86A5B-1988-42B2-B1A2-715FB678412C}">
  <dimension ref="A1:AA46"/>
  <sheetViews>
    <sheetView topLeftCell="E1" workbookViewId="0">
      <selection activeCell="S46" sqref="S2:S46"/>
    </sheetView>
  </sheetViews>
  <sheetFormatPr defaultRowHeight="13.95" x14ac:dyDescent="0.25"/>
  <cols>
    <col min="1" max="14" width="8.88671875" style="26"/>
  </cols>
  <sheetData>
    <row r="1" spans="1:27" x14ac:dyDescent="0.25">
      <c r="A1" s="26" t="s">
        <v>332</v>
      </c>
      <c r="B1" s="26" t="s">
        <v>333</v>
      </c>
      <c r="C1" s="26" t="s">
        <v>334</v>
      </c>
      <c r="D1" s="26" t="s">
        <v>335</v>
      </c>
      <c r="E1" s="26" t="s">
        <v>336</v>
      </c>
      <c r="F1" s="26" t="s">
        <v>337</v>
      </c>
      <c r="G1" s="26" t="s">
        <v>338</v>
      </c>
      <c r="H1" s="26" t="s">
        <v>339</v>
      </c>
      <c r="I1" s="26" t="s">
        <v>340</v>
      </c>
      <c r="J1" s="26" t="s">
        <v>341</v>
      </c>
      <c r="K1" s="26" t="s">
        <v>331</v>
      </c>
      <c r="L1" s="26" t="s">
        <v>342</v>
      </c>
      <c r="M1" s="26" t="s">
        <v>343</v>
      </c>
      <c r="N1" s="26" t="s">
        <v>344</v>
      </c>
      <c r="S1" t="s">
        <v>330</v>
      </c>
      <c r="T1" t="s">
        <v>346</v>
      </c>
      <c r="U1" t="s">
        <v>348</v>
      </c>
      <c r="V1" t="s">
        <v>350</v>
      </c>
    </row>
    <row r="2" spans="1:27" x14ac:dyDescent="0.25">
      <c r="A2" s="26">
        <v>1.3784986776527199</v>
      </c>
      <c r="B2" s="26">
        <v>0.74066929098150203</v>
      </c>
      <c r="C2" s="26">
        <v>0.110523925689307</v>
      </c>
      <c r="D2" s="26">
        <v>1.6067255800081699</v>
      </c>
      <c r="E2" s="26">
        <v>-0.57665639546268199</v>
      </c>
      <c r="F2" s="26">
        <v>0.90612040498595003</v>
      </c>
      <c r="G2" s="26">
        <v>1.0221203827518299</v>
      </c>
      <c r="H2" s="26">
        <v>1.6429773479784899</v>
      </c>
      <c r="I2" s="26">
        <v>0.87289252233745296</v>
      </c>
      <c r="J2" s="26">
        <v>0.85297014169426999</v>
      </c>
      <c r="K2" s="26">
        <v>0.23518496374820899</v>
      </c>
      <c r="L2" s="26">
        <v>1.37968683025002</v>
      </c>
      <c r="M2" s="26">
        <v>1.7678021785320299</v>
      </c>
      <c r="N2" s="26">
        <v>1.7015065479629901</v>
      </c>
      <c r="O2" s="51" t="s">
        <v>324</v>
      </c>
      <c r="P2" s="51"/>
      <c r="Q2" s="51"/>
      <c r="S2">
        <f>AVERAGEA(A2:N2)</f>
        <v>0.9743587427935898</v>
      </c>
      <c r="T2">
        <f>SUMIF(A2:N2,"&gt;0.44")</f>
        <v>13.871969905135423</v>
      </c>
      <c r="U2">
        <f>SUMIF(A2:N2,"&gt;0.88")</f>
        <v>11.405437950122201</v>
      </c>
      <c r="V2">
        <f>SUMIF(A2:N2,"&gt;1.33")</f>
        <v>9.4771971623844191</v>
      </c>
      <c r="X2">
        <f>MAX(A2:N2)</f>
        <v>1.7678021785320299</v>
      </c>
      <c r="Y2">
        <f>X2*0.25</f>
        <v>0.44195054463300748</v>
      </c>
      <c r="Z2">
        <f>X2*0.5</f>
        <v>0.88390108926601496</v>
      </c>
      <c r="AA2">
        <f>X2*0.75</f>
        <v>1.3258516338990225</v>
      </c>
    </row>
    <row r="3" spans="1:27" x14ac:dyDescent="0.25">
      <c r="A3" s="26">
        <v>1.3391628452928901</v>
      </c>
      <c r="B3" s="26">
        <v>0.90482334442108503</v>
      </c>
      <c r="C3" s="26">
        <v>4.8507902804705003E-2</v>
      </c>
      <c r="D3" s="26">
        <v>2.5921839357465202</v>
      </c>
      <c r="E3" s="26">
        <v>-0.58886898382513697</v>
      </c>
      <c r="F3" s="26">
        <v>1.02908900404006</v>
      </c>
      <c r="G3" s="26">
        <v>-0.22357854889430401</v>
      </c>
      <c r="H3" s="26">
        <v>4.1660281406744402E-2</v>
      </c>
      <c r="I3" s="26">
        <v>-0.11908073171580701</v>
      </c>
      <c r="J3" s="26">
        <v>0.77303488801246001</v>
      </c>
      <c r="K3" s="26">
        <v>-0.60750005737853097</v>
      </c>
      <c r="L3" s="26">
        <v>1.0841103619358901</v>
      </c>
      <c r="M3" s="26">
        <v>1.4402501233951399</v>
      </c>
      <c r="N3" s="26">
        <v>0.474075769765823</v>
      </c>
      <c r="O3" s="51" t="s">
        <v>325</v>
      </c>
      <c r="P3" s="51"/>
      <c r="Q3" s="51"/>
      <c r="S3">
        <f t="shared" ref="S3:S46" si="0">AVERAGEA(A3:N3)</f>
        <v>0.58484786678625278</v>
      </c>
      <c r="T3">
        <f>SUMIF(A3:N3,"&gt;0.65")</f>
        <v>9.1626545028440454</v>
      </c>
      <c r="U3">
        <f>SUMIF(A3:N3,"&gt;1.3")</f>
        <v>5.3715969044345506</v>
      </c>
      <c r="V3">
        <f>SUMIF(A3:N3,"&gt;1.94")</f>
        <v>2.5921839357465202</v>
      </c>
      <c r="X3">
        <f t="shared" ref="X3:X46" si="1">MAX(A3:N3)</f>
        <v>2.5921839357465202</v>
      </c>
      <c r="Y3">
        <f t="shared" ref="Y3:Y46" si="2">X3*0.25</f>
        <v>0.64804598393663004</v>
      </c>
      <c r="Z3">
        <f t="shared" ref="Z3:Z46" si="3">X3*0.5</f>
        <v>1.2960919678732601</v>
      </c>
      <c r="AA3">
        <f t="shared" ref="AA3:AA46" si="4">X3*0.75</f>
        <v>1.94413795180989</v>
      </c>
    </row>
    <row r="4" spans="1:27" x14ac:dyDescent="0.25">
      <c r="A4" s="26">
        <v>1.4130960511934001</v>
      </c>
      <c r="B4" s="26">
        <v>1.29299489984704</v>
      </c>
      <c r="C4" s="26">
        <v>-5.5131057296976198E-2</v>
      </c>
      <c r="D4" s="26">
        <v>0.81407429387080799</v>
      </c>
      <c r="E4" s="26">
        <v>-0.77068610511755098</v>
      </c>
      <c r="F4" s="26">
        <v>0.658176193867679</v>
      </c>
      <c r="G4" s="26">
        <v>-1.1911756054437499</v>
      </c>
      <c r="H4" s="26">
        <v>-0.89569605024500598</v>
      </c>
      <c r="I4" s="26">
        <v>-0.41897962247609399</v>
      </c>
      <c r="J4" s="26">
        <v>-0.26796523597276301</v>
      </c>
      <c r="K4" s="26">
        <v>-1.7986896026468999</v>
      </c>
      <c r="L4" s="26">
        <v>0.78853389201968005</v>
      </c>
      <c r="M4" s="26">
        <v>1.1126980691272499</v>
      </c>
      <c r="N4" s="26">
        <v>-0.75335500843134096</v>
      </c>
      <c r="O4" s="52" t="s">
        <v>326</v>
      </c>
      <c r="P4" s="52"/>
      <c r="Q4" s="52"/>
      <c r="S4">
        <f t="shared" si="0"/>
        <v>-5.150349121751766E-3</v>
      </c>
      <c r="T4">
        <f>SUMIF(A4:N4,"&gt;0.35")</f>
        <v>6.0795733999258559</v>
      </c>
      <c r="U4">
        <f>SUMIF(A4:N4,"&gt;0.71")</f>
        <v>5.4213972060581774</v>
      </c>
      <c r="V4">
        <f>SUMIF(A4:N4,"&gt;1.06")</f>
        <v>3.8187890201676895</v>
      </c>
      <c r="X4">
        <f t="shared" si="1"/>
        <v>1.4130960511934001</v>
      </c>
      <c r="Y4">
        <f t="shared" si="2"/>
        <v>0.35327401279835002</v>
      </c>
      <c r="Z4">
        <f t="shared" si="3"/>
        <v>0.70654802559670005</v>
      </c>
      <c r="AA4">
        <f t="shared" si="4"/>
        <v>1.0598220383950501</v>
      </c>
    </row>
    <row r="5" spans="1:27" x14ac:dyDescent="0.25">
      <c r="A5" s="26">
        <v>1.09579415017106</v>
      </c>
      <c r="B5" s="26">
        <v>0.507495123276691</v>
      </c>
      <c r="C5" s="26">
        <v>6.2511503205738797E-2</v>
      </c>
      <c r="D5" s="26">
        <v>-0.38561413920196203</v>
      </c>
      <c r="E5" s="26">
        <v>-0.77785436346863501</v>
      </c>
      <c r="F5" s="26">
        <v>0.76530507904907197</v>
      </c>
      <c r="G5" s="26">
        <v>-1.1780110196403499</v>
      </c>
      <c r="H5" s="26">
        <v>-0.958186472355123</v>
      </c>
      <c r="I5" s="26">
        <v>-0.81445068721493596</v>
      </c>
      <c r="J5" s="26">
        <v>-0.82824874219410904</v>
      </c>
      <c r="K5" s="26">
        <v>0.68122748455855497</v>
      </c>
      <c r="L5" s="26">
        <v>3.2150968762813301E-2</v>
      </c>
      <c r="M5" s="26">
        <v>0.62590936783983997</v>
      </c>
      <c r="N5" s="26">
        <v>-7.5901657324439403E-2</v>
      </c>
      <c r="O5" s="51" t="s">
        <v>327</v>
      </c>
      <c r="P5" s="51"/>
      <c r="Q5" s="51"/>
      <c r="S5">
        <f t="shared" si="0"/>
        <v>-8.9133814609698908E-2</v>
      </c>
      <c r="T5">
        <f>SUMIF(A5:N5,"&gt;0.27")</f>
        <v>3.6757312048952175</v>
      </c>
      <c r="U5">
        <f>SUMIF(A5:N5,"&gt;0.55")</f>
        <v>3.1682360816185269</v>
      </c>
      <c r="V5">
        <f>SUMIF(A5:N5,"&gt;0.82")</f>
        <v>1.09579415017106</v>
      </c>
      <c r="X5">
        <f t="shared" si="1"/>
        <v>1.09579415017106</v>
      </c>
      <c r="Y5">
        <f t="shared" si="2"/>
        <v>0.27394853754276499</v>
      </c>
      <c r="Z5">
        <f t="shared" si="3"/>
        <v>0.54789707508552998</v>
      </c>
      <c r="AA5">
        <f t="shared" si="4"/>
        <v>0.82184561262829492</v>
      </c>
    </row>
    <row r="6" spans="1:27" x14ac:dyDescent="0.25">
      <c r="A6" s="26">
        <v>1.20304883350612</v>
      </c>
      <c r="B6" s="26">
        <v>0.70338810038587396</v>
      </c>
      <c r="C6" s="26">
        <v>0.48023997042945499</v>
      </c>
      <c r="D6" s="26">
        <v>-0.59984421653638498</v>
      </c>
      <c r="E6" s="26">
        <v>-0.911529107569927</v>
      </c>
      <c r="F6" s="26">
        <v>0.82788601299319597</v>
      </c>
      <c r="G6" s="26">
        <v>-1.3252898233158199</v>
      </c>
      <c r="H6" s="26">
        <v>-1.0792616651934701</v>
      </c>
      <c r="I6" s="26">
        <v>-0.69580936779328395</v>
      </c>
      <c r="J6" s="26">
        <v>-0.76267973226156505</v>
      </c>
      <c r="K6" s="26">
        <v>0.825821705128441</v>
      </c>
      <c r="L6" s="26">
        <v>0.348615763745105</v>
      </c>
      <c r="M6" s="26">
        <v>0.28909909832667502</v>
      </c>
      <c r="N6" s="26">
        <v>0.35249708164836502</v>
      </c>
      <c r="O6" s="51" t="s">
        <v>328</v>
      </c>
      <c r="P6" s="51"/>
      <c r="Q6" s="51"/>
      <c r="S6">
        <f t="shared" si="0"/>
        <v>-2.4558381893372876E-2</v>
      </c>
      <c r="T6">
        <f>SUMIF(A6:N6,"&gt;0.3")</f>
        <v>4.741497467836556</v>
      </c>
      <c r="U6">
        <f>SUMIF(A6:N6,"&gt;0.6")</f>
        <v>3.5601446520136308</v>
      </c>
      <c r="V6">
        <f>SUMIF(A6:N6,"&gt;0.9")</f>
        <v>1.20304883350612</v>
      </c>
      <c r="X6">
        <f t="shared" si="1"/>
        <v>1.20304883350612</v>
      </c>
      <c r="Y6">
        <f t="shared" si="2"/>
        <v>0.30076220837653</v>
      </c>
      <c r="Z6">
        <f t="shared" si="3"/>
        <v>0.60152441675306001</v>
      </c>
      <c r="AA6">
        <f t="shared" si="4"/>
        <v>0.90228662512959001</v>
      </c>
    </row>
    <row r="7" spans="1:27" x14ac:dyDescent="0.25">
      <c r="A7" s="26">
        <v>1.3391628452928901</v>
      </c>
      <c r="B7" s="26">
        <v>1.04528655432986</v>
      </c>
      <c r="C7" s="26">
        <v>0.48301369091366397</v>
      </c>
      <c r="D7" s="26">
        <v>-0.81407429387080799</v>
      </c>
      <c r="E7" s="26">
        <v>-0.89767932438878895</v>
      </c>
      <c r="F7" s="26">
        <v>1.73822780338196</v>
      </c>
      <c r="G7" s="26">
        <v>-0.119084649079866</v>
      </c>
      <c r="H7" s="26">
        <v>0.61579103454344197</v>
      </c>
      <c r="I7" s="26">
        <v>1.82531866991683</v>
      </c>
      <c r="J7" s="26">
        <v>-0.120987511461049</v>
      </c>
      <c r="K7" s="26">
        <v>-0.55918178915817096</v>
      </c>
      <c r="L7" s="26">
        <v>0.66508055712532299</v>
      </c>
      <c r="M7" s="26">
        <v>-4.7711172055482698E-2</v>
      </c>
      <c r="N7" s="26">
        <v>0.78089582104700095</v>
      </c>
      <c r="S7">
        <f t="shared" si="0"/>
        <v>0.42386130260977184</v>
      </c>
      <c r="T7">
        <f>SUMIF(A7:N7,"&gt;0.46")</f>
        <v>8.4927769765509691</v>
      </c>
      <c r="U7">
        <f>SUMIF(A7:N7,"&gt;0.91")</f>
        <v>5.9479958729215401</v>
      </c>
      <c r="V7">
        <f>SUMIF(A7:N7,"&gt;1.37")</f>
        <v>3.56354647329879</v>
      </c>
      <c r="X7">
        <f t="shared" si="1"/>
        <v>1.82531866991683</v>
      </c>
      <c r="Y7">
        <f t="shared" si="2"/>
        <v>0.4563296674792075</v>
      </c>
      <c r="Z7">
        <f t="shared" si="3"/>
        <v>0.912659334958415</v>
      </c>
      <c r="AA7">
        <f t="shared" si="4"/>
        <v>1.3689890024376226</v>
      </c>
    </row>
    <row r="8" spans="1:27" x14ac:dyDescent="0.25">
      <c r="A8" s="26">
        <v>0.95503997246163497</v>
      </c>
      <c r="B8" s="26">
        <v>0.73715599089162698</v>
      </c>
      <c r="C8" s="26">
        <v>0.43608940642683502</v>
      </c>
      <c r="D8" s="26">
        <v>0.21423007733442301</v>
      </c>
      <c r="E8" s="26">
        <v>-0.58683355244957702</v>
      </c>
      <c r="F8" s="26">
        <v>0.18433744449563899</v>
      </c>
      <c r="G8" s="26">
        <v>-1.4125052042633</v>
      </c>
      <c r="H8" s="26">
        <v>-1.1964312066499401</v>
      </c>
      <c r="I8" s="26">
        <v>-0.88695371575038995</v>
      </c>
      <c r="J8" s="26">
        <v>-0.74757675806362001</v>
      </c>
      <c r="K8" s="26">
        <v>-3.0024635326980201E-2</v>
      </c>
      <c r="L8" s="26">
        <v>0.136530922291173</v>
      </c>
      <c r="M8" s="26">
        <v>6.4878252973758002E-2</v>
      </c>
      <c r="N8" s="26">
        <v>-0.68098474179299295</v>
      </c>
      <c r="S8">
        <f t="shared" si="0"/>
        <v>-0.20093198195869361</v>
      </c>
      <c r="T8">
        <f>SUMIF(A8:N8,"&gt;0.24")</f>
        <v>2.1282853697800972</v>
      </c>
      <c r="U8">
        <f>SUMIF(A8:N8,"&gt;0.48")</f>
        <v>1.6921959633532619</v>
      </c>
      <c r="V8">
        <f>SUMIF(A8:N8,"&gt;0.72")</f>
        <v>1.6921959633532619</v>
      </c>
      <c r="X8">
        <f t="shared" si="1"/>
        <v>0.95503997246163497</v>
      </c>
      <c r="Y8">
        <f t="shared" si="2"/>
        <v>0.23875999311540874</v>
      </c>
      <c r="Z8">
        <f t="shared" si="3"/>
        <v>0.47751998623081748</v>
      </c>
      <c r="AA8">
        <f t="shared" si="4"/>
        <v>0.71627997934622623</v>
      </c>
    </row>
    <row r="9" spans="1:27" x14ac:dyDescent="0.25">
      <c r="A9" s="26">
        <v>1.2700076709058199</v>
      </c>
      <c r="B9" s="26">
        <v>1.0493494978710101</v>
      </c>
      <c r="C9" s="26">
        <v>0.56245837130402498</v>
      </c>
      <c r="D9" s="26">
        <v>0.128538046400654</v>
      </c>
      <c r="E9" s="26">
        <v>-0.81626206882091301</v>
      </c>
      <c r="F9" s="26">
        <v>0.987310168887643</v>
      </c>
      <c r="G9" s="26">
        <v>-0.79459245811650803</v>
      </c>
      <c r="H9" s="26">
        <v>-0.77852650878853702</v>
      </c>
      <c r="I9" s="26">
        <v>-0.34318100173448302</v>
      </c>
      <c r="J9" s="26">
        <v>0.278688756947998</v>
      </c>
      <c r="K9" s="26">
        <v>-0.70395630177365498</v>
      </c>
      <c r="L9" s="26">
        <v>0.261299254765545</v>
      </c>
      <c r="M9" s="26">
        <v>0.76657432419153904</v>
      </c>
      <c r="N9" s="26">
        <v>-0.257510339774915</v>
      </c>
      <c r="S9">
        <f t="shared" si="0"/>
        <v>0.11501410087608736</v>
      </c>
      <c r="T9">
        <f>SUMIF(A9:N9,"&gt;0.32")</f>
        <v>4.6357000331600373</v>
      </c>
      <c r="U9">
        <f>SUMIF(A9:N9,"&gt;0.64")</f>
        <v>4.0732416618560121</v>
      </c>
      <c r="V9">
        <f>SUMIF(A9:N9,"&gt;0.95")</f>
        <v>3.3066673376644728</v>
      </c>
      <c r="X9">
        <f t="shared" si="1"/>
        <v>1.2700076709058199</v>
      </c>
      <c r="Y9">
        <f t="shared" si="2"/>
        <v>0.31750191772645497</v>
      </c>
      <c r="Z9">
        <f t="shared" si="3"/>
        <v>0.63500383545290995</v>
      </c>
      <c r="AA9">
        <f t="shared" si="4"/>
        <v>0.95250575317936492</v>
      </c>
    </row>
    <row r="10" spans="1:27" x14ac:dyDescent="0.25">
      <c r="A10" s="26">
        <v>1.2376882092074599</v>
      </c>
      <c r="B10" s="26">
        <v>1.1526639144226201</v>
      </c>
      <c r="C10" s="26">
        <v>0.49144238764396903</v>
      </c>
      <c r="D10" s="26">
        <v>0.59984421653638498</v>
      </c>
      <c r="E10" s="26">
        <v>-0.71444625079716995</v>
      </c>
      <c r="F10" s="26">
        <v>1.44133683706961</v>
      </c>
      <c r="G10" s="26">
        <v>-0.76250378022073595</v>
      </c>
      <c r="H10" s="26">
        <v>-0.39577267336407201</v>
      </c>
      <c r="I10" s="26">
        <v>-0.36954573938373902</v>
      </c>
      <c r="J10" s="26">
        <v>0.70341386061217404</v>
      </c>
      <c r="K10" s="26">
        <v>1.0034093700428299</v>
      </c>
      <c r="L10" s="26">
        <v>0.38606758563784399</v>
      </c>
      <c r="M10" s="26">
        <v>1.4682703954093199</v>
      </c>
      <c r="N10" s="26">
        <v>0.16596406224316201</v>
      </c>
      <c r="S10">
        <f t="shared" si="0"/>
        <v>0.45770231393283262</v>
      </c>
      <c r="T10">
        <f>SUMIF(A10:N10,"&gt;0.37")</f>
        <v>8.4841367765822113</v>
      </c>
      <c r="U10">
        <f>SUMIF(A10:N10,"&gt;0.73")</f>
        <v>6.3033687261518399</v>
      </c>
      <c r="V10">
        <f>SUMIF(A10:N10,"&gt;1.10")</f>
        <v>5.2999593561090101</v>
      </c>
      <c r="X10">
        <f t="shared" si="1"/>
        <v>1.4682703954093199</v>
      </c>
      <c r="Y10">
        <f t="shared" si="2"/>
        <v>0.36706759885232998</v>
      </c>
      <c r="Z10">
        <f t="shared" si="3"/>
        <v>0.73413519770465996</v>
      </c>
      <c r="AA10">
        <f t="shared" si="4"/>
        <v>1.1012027965569899</v>
      </c>
    </row>
    <row r="11" spans="1:27" x14ac:dyDescent="0.25">
      <c r="A11" s="26">
        <v>1.0264725065395801</v>
      </c>
      <c r="B11" s="26">
        <v>0.73669071903957895</v>
      </c>
      <c r="C11" s="26">
        <v>0.38530891534792799</v>
      </c>
      <c r="D11" s="26">
        <v>-0.77122827840392305</v>
      </c>
      <c r="E11" s="26">
        <v>-0.71926933828906303</v>
      </c>
      <c r="F11" s="26">
        <v>2.05919088091705</v>
      </c>
      <c r="G11" s="26">
        <v>-1.1706059401259401</v>
      </c>
      <c r="H11" s="26">
        <v>-0.35281050816336701</v>
      </c>
      <c r="I11" s="26">
        <v>1.2683635870762899</v>
      </c>
      <c r="J11" s="26">
        <v>-0.66322112168972902</v>
      </c>
      <c r="K11" s="26">
        <v>0.87540201766798997</v>
      </c>
      <c r="L11" s="26">
        <v>3.6972622871648899</v>
      </c>
      <c r="M11" s="26">
        <v>1.8407766634152001</v>
      </c>
      <c r="N11" s="26">
        <v>-0.63025047965247805</v>
      </c>
      <c r="S11">
        <f t="shared" si="0"/>
        <v>0.54157727934600053</v>
      </c>
      <c r="T11">
        <f>SUMIF(A11:N11,"&gt;0.92")</f>
        <v>9.8920659251130107</v>
      </c>
      <c r="U11">
        <f>SUMIF(A11:N11,"&gt;1.85")</f>
        <v>5.75645316808194</v>
      </c>
      <c r="V11">
        <f>SUMIF(A11:N11,"&gt;2.77")</f>
        <v>3.6972622871648899</v>
      </c>
      <c r="X11">
        <f t="shared" si="1"/>
        <v>3.6972622871648899</v>
      </c>
      <c r="Y11">
        <f t="shared" si="2"/>
        <v>0.92431557179122248</v>
      </c>
      <c r="Z11">
        <f t="shared" si="3"/>
        <v>1.848631143582445</v>
      </c>
      <c r="AA11">
        <f t="shared" si="4"/>
        <v>2.7729467153736675</v>
      </c>
    </row>
    <row r="12" spans="1:27" x14ac:dyDescent="0.25">
      <c r="A12" s="26">
        <v>1.5168052221033901</v>
      </c>
      <c r="B12" s="26">
        <v>1.4028979023185799</v>
      </c>
      <c r="C12" s="26">
        <v>0.16428679652414499</v>
      </c>
      <c r="D12" s="26">
        <v>0.94261234027146201</v>
      </c>
      <c r="E12" s="26">
        <v>-0.51838110976674001</v>
      </c>
      <c r="F12" s="26">
        <v>1.65193137442182</v>
      </c>
      <c r="G12" s="26">
        <v>-0.60452875058001099</v>
      </c>
      <c r="H12" s="26">
        <v>-0.22001836117936899</v>
      </c>
      <c r="I12" s="26">
        <v>2.42182085923125</v>
      </c>
      <c r="J12" s="26">
        <v>3.0723706183435899</v>
      </c>
      <c r="K12" s="26">
        <v>2.82327727831268</v>
      </c>
      <c r="L12" s="26">
        <v>1.7935364680302399</v>
      </c>
      <c r="M12" s="26">
        <v>1.0854708624727001</v>
      </c>
      <c r="N12" s="26">
        <v>-0.69337659262650098</v>
      </c>
      <c r="S12">
        <f t="shared" si="0"/>
        <v>1.0599074934198027</v>
      </c>
      <c r="T12">
        <f>SUMIF(A12:N12,"&gt;0.77")</f>
        <v>16.710722925505713</v>
      </c>
      <c r="U12">
        <f>SUMIF(A12:N12,"&gt;1.54")</f>
        <v>11.76293659833958</v>
      </c>
      <c r="V12">
        <f>SUMIF(A12:N12,"&gt;2.3")</f>
        <v>8.3174687558875195</v>
      </c>
      <c r="X12">
        <f t="shared" si="1"/>
        <v>3.0723706183435899</v>
      </c>
      <c r="Y12">
        <f t="shared" si="2"/>
        <v>0.76809265458589748</v>
      </c>
      <c r="Z12">
        <f t="shared" si="3"/>
        <v>1.536185309171795</v>
      </c>
      <c r="AA12">
        <f t="shared" si="4"/>
        <v>2.3042779637576922</v>
      </c>
    </row>
    <row r="13" spans="1:27" x14ac:dyDescent="0.25">
      <c r="A13" s="26">
        <v>0.426396247441927</v>
      </c>
      <c r="B13" s="26">
        <v>0.252226765502651</v>
      </c>
      <c r="C13" s="26">
        <v>5.1221294977312502E-2</v>
      </c>
      <c r="D13" s="26">
        <v>0.235653085067866</v>
      </c>
      <c r="E13" s="26">
        <v>-0.64546282611122496</v>
      </c>
      <c r="F13" s="26">
        <v>0.14152575283997099</v>
      </c>
      <c r="G13" s="26">
        <v>-0.84313686826652301</v>
      </c>
      <c r="H13" s="26">
        <v>-0.34109355401772001</v>
      </c>
      <c r="I13" s="26">
        <v>1.16949582089158</v>
      </c>
      <c r="J13" s="26">
        <v>1.97353715413696</v>
      </c>
      <c r="K13" s="26">
        <v>1.3086438032408501</v>
      </c>
      <c r="L13" s="26">
        <v>-0.110189351104414</v>
      </c>
      <c r="M13" s="26">
        <v>0.33016506153019698</v>
      </c>
      <c r="N13" s="26">
        <v>-0.75650270560052402</v>
      </c>
      <c r="S13">
        <f t="shared" si="0"/>
        <v>0.22803426289492204</v>
      </c>
      <c r="T13">
        <f>SUMIF(A13:N13,"&gt;0.49")</f>
        <v>4.4516767782693902</v>
      </c>
      <c r="U13">
        <f>SUMIF(A13:N13,"&gt;0.99")</f>
        <v>4.4516767782693902</v>
      </c>
      <c r="V13">
        <f>SUMIF(A13:N13,"&gt;1.48")</f>
        <v>1.97353715413696</v>
      </c>
      <c r="X13">
        <f t="shared" si="1"/>
        <v>1.97353715413696</v>
      </c>
      <c r="Y13">
        <f t="shared" si="2"/>
        <v>0.49338428853423999</v>
      </c>
      <c r="Z13">
        <f t="shared" si="3"/>
        <v>0.98676857706847998</v>
      </c>
      <c r="AA13">
        <f t="shared" si="4"/>
        <v>1.4801528656027201</v>
      </c>
    </row>
    <row r="14" spans="1:27" x14ac:dyDescent="0.25">
      <c r="A14" s="26">
        <v>1.0579355484888699</v>
      </c>
      <c r="B14" s="26">
        <v>1.1708407475889799</v>
      </c>
      <c r="C14" s="26">
        <v>0.41836526966480903</v>
      </c>
      <c r="D14" s="26">
        <v>0.42846015466884702</v>
      </c>
      <c r="E14" s="26">
        <v>-0.60931179476307995</v>
      </c>
      <c r="F14" s="26">
        <v>0.495517456337146</v>
      </c>
      <c r="G14" s="26">
        <v>0.55395480011863996</v>
      </c>
      <c r="H14" s="26">
        <v>0.522055401378267</v>
      </c>
      <c r="I14" s="26">
        <v>0.279685925229192</v>
      </c>
      <c r="J14" s="26">
        <v>0.23816858227058299</v>
      </c>
      <c r="K14" s="26">
        <v>1.11735394286099</v>
      </c>
      <c r="L14" s="26">
        <v>-0.60459093073245296</v>
      </c>
      <c r="M14" s="26">
        <v>-0.45843735597188101</v>
      </c>
      <c r="N14" s="26">
        <v>0.27162805675533802</v>
      </c>
      <c r="S14">
        <f t="shared" si="0"/>
        <v>0.34868755742101765</v>
      </c>
      <c r="T14">
        <f>SUMIF(A14:N14,"&gt;0.29")</f>
        <v>5.7644833211065487</v>
      </c>
      <c r="U14">
        <f>SUMIF(A14:N14,"&gt;0.59")</f>
        <v>3.3461302389388399</v>
      </c>
      <c r="V14">
        <f>SUMIF(A14:N14,"&gt;0.88")</f>
        <v>3.3461302389388399</v>
      </c>
      <c r="X14">
        <f t="shared" si="1"/>
        <v>1.1708407475889799</v>
      </c>
      <c r="Y14">
        <f t="shared" si="2"/>
        <v>0.29271018689724498</v>
      </c>
      <c r="Z14">
        <f t="shared" si="3"/>
        <v>0.58542037379448997</v>
      </c>
      <c r="AA14">
        <f t="shared" si="4"/>
        <v>0.8781305606917349</v>
      </c>
    </row>
    <row r="15" spans="1:27" x14ac:dyDescent="0.25">
      <c r="A15" s="26">
        <v>1.0968777407622099</v>
      </c>
      <c r="B15" s="26">
        <v>1.1727373021645799</v>
      </c>
      <c r="C15" s="26">
        <v>1.0414232368737399</v>
      </c>
      <c r="D15" s="26">
        <v>0.27849910053475002</v>
      </c>
      <c r="E15" s="26">
        <v>-0.35368816129282798</v>
      </c>
      <c r="F15" s="26">
        <v>1.04861740134093</v>
      </c>
      <c r="G15" s="26">
        <v>1.93129958979871</v>
      </c>
      <c r="H15" s="26">
        <v>1.87341077950954</v>
      </c>
      <c r="I15" s="26">
        <v>3.6477811599216601</v>
      </c>
      <c r="J15" s="26">
        <v>2.0696804776897402</v>
      </c>
      <c r="K15" s="26">
        <v>0.100146221595037</v>
      </c>
      <c r="L15" s="26">
        <v>0.61648744022435598</v>
      </c>
      <c r="M15" s="26">
        <v>0.56424339320684702</v>
      </c>
      <c r="N15" s="26">
        <v>0.60817160607907605</v>
      </c>
      <c r="S15">
        <f t="shared" si="0"/>
        <v>1.1211205206005963</v>
      </c>
      <c r="T15">
        <f>SUMIF(A15:N15,"&gt;0.91")</f>
        <v>13.88182768806111</v>
      </c>
      <c r="U15">
        <f>SUMIF(A15:N15,"&gt;1.82")</f>
        <v>9.52217200691965</v>
      </c>
      <c r="V15">
        <f>SUMIF(A15:N15,"&gt;2.74")</f>
        <v>3.6477811599216601</v>
      </c>
      <c r="X15">
        <f t="shared" si="1"/>
        <v>3.6477811599216601</v>
      </c>
      <c r="Y15">
        <f t="shared" si="2"/>
        <v>0.91194528998041502</v>
      </c>
      <c r="Z15">
        <f t="shared" si="3"/>
        <v>1.82389057996083</v>
      </c>
      <c r="AA15">
        <f t="shared" si="4"/>
        <v>2.7358358699412451</v>
      </c>
    </row>
    <row r="16" spans="1:27" x14ac:dyDescent="0.25">
      <c r="A16" s="26">
        <v>0.92035794057624498</v>
      </c>
      <c r="B16" s="26">
        <v>0.92125205633721396</v>
      </c>
      <c r="C16" s="26">
        <v>0.472774883404317</v>
      </c>
      <c r="D16" s="26">
        <v>-0.257076092801308</v>
      </c>
      <c r="E16" s="26">
        <v>-0.525549368226919</v>
      </c>
      <c r="F16" s="26">
        <v>1.65586176564073</v>
      </c>
      <c r="G16" s="26">
        <v>0.859208633434833</v>
      </c>
      <c r="H16" s="26">
        <v>0.93605444785779002</v>
      </c>
      <c r="I16" s="26">
        <v>0.49719501083555401</v>
      </c>
      <c r="J16" s="26">
        <v>1.6427451826795201</v>
      </c>
      <c r="K16" s="26">
        <v>-0.38159412424378503</v>
      </c>
      <c r="L16" s="26">
        <v>1.8375658123026199</v>
      </c>
      <c r="M16" s="26">
        <v>1.58692414151658</v>
      </c>
      <c r="N16" s="26">
        <v>0.94471515582864596</v>
      </c>
      <c r="S16">
        <f t="shared" si="0"/>
        <v>0.79360253179585982</v>
      </c>
      <c r="T16">
        <f>SUMIF(A16:N16,"&gt;0.46")</f>
        <v>12.274655030414049</v>
      </c>
      <c r="U16">
        <f>SUMIF(A16:N16,"&gt;0.92")</f>
        <v>10.445476502739345</v>
      </c>
      <c r="V16">
        <f>SUMIF(A16:N16,"&gt;1.38")</f>
        <v>6.7230969021394493</v>
      </c>
      <c r="X16">
        <f t="shared" si="1"/>
        <v>1.8375658123026199</v>
      </c>
      <c r="Y16">
        <f t="shared" si="2"/>
        <v>0.45939145307565499</v>
      </c>
      <c r="Z16">
        <f t="shared" si="3"/>
        <v>0.91878290615130997</v>
      </c>
      <c r="AA16">
        <f t="shared" si="4"/>
        <v>1.3781743592269651</v>
      </c>
    </row>
    <row r="17" spans="1:27" x14ac:dyDescent="0.25">
      <c r="A17" s="26">
        <v>0.46198545753079001</v>
      </c>
      <c r="B17" s="26">
        <v>-0.12493638805110401</v>
      </c>
      <c r="C17" s="26">
        <v>1.6333639705103999</v>
      </c>
      <c r="D17" s="26">
        <v>0.514152185602616</v>
      </c>
      <c r="E17" s="26">
        <v>4.6141803817377802</v>
      </c>
      <c r="F17" s="26">
        <v>-0.61910028135466999</v>
      </c>
      <c r="G17" s="26">
        <v>1.41129845056466</v>
      </c>
      <c r="H17" s="26">
        <v>0.78373404396438096</v>
      </c>
      <c r="I17" s="26">
        <v>1.20245174295315</v>
      </c>
      <c r="J17" s="26">
        <v>0.39656562873684198</v>
      </c>
      <c r="K17" s="26">
        <v>-1.4296317853070599</v>
      </c>
      <c r="L17" s="26">
        <v>-1.1216161564164999</v>
      </c>
      <c r="M17" s="26">
        <v>-1.01507700882951</v>
      </c>
      <c r="N17" s="26">
        <v>-0.87911816028893097</v>
      </c>
      <c r="S17">
        <f t="shared" si="0"/>
        <v>0.41630372009663169</v>
      </c>
      <c r="T17">
        <f>SUMIF(A17:N17,"&gt;1.15")</f>
        <v>8.8612945457659897</v>
      </c>
      <c r="U17">
        <f>SUMIF(A17:N17,"&gt;2.31")</f>
        <v>4.6141803817377802</v>
      </c>
      <c r="V17">
        <f>SUMIF(A17:N17,"&gt;3.46")</f>
        <v>4.6141803817377802</v>
      </c>
      <c r="X17">
        <f t="shared" si="1"/>
        <v>4.6141803817377802</v>
      </c>
      <c r="Y17">
        <f t="shared" si="2"/>
        <v>1.1535450954344451</v>
      </c>
      <c r="Z17">
        <f t="shared" si="3"/>
        <v>2.3070901908688901</v>
      </c>
      <c r="AA17">
        <f t="shared" si="4"/>
        <v>3.4606352863033352</v>
      </c>
    </row>
    <row r="18" spans="1:27" x14ac:dyDescent="0.25">
      <c r="A18" s="26">
        <v>0.53020626605315901</v>
      </c>
      <c r="B18" s="26">
        <v>-3.1403999541446098E-2</v>
      </c>
      <c r="C18" s="26">
        <v>1.35291261368428</v>
      </c>
      <c r="D18" s="26">
        <v>2.0351857346770199</v>
      </c>
      <c r="E18" s="26">
        <v>1.548687963861</v>
      </c>
      <c r="F18" s="26">
        <v>-0.268849324525615</v>
      </c>
      <c r="G18" s="26">
        <v>0.74730965410598604</v>
      </c>
      <c r="H18" s="26">
        <v>0.47518758479567902</v>
      </c>
      <c r="I18" s="26">
        <v>-0.145445469365063</v>
      </c>
      <c r="J18" s="26">
        <v>0.98926527470012005</v>
      </c>
      <c r="K18" s="26">
        <v>-0.195713025231874</v>
      </c>
      <c r="L18" s="26">
        <v>0.467892664018347</v>
      </c>
      <c r="M18" s="26">
        <v>1.0254937423021899</v>
      </c>
      <c r="N18" s="26">
        <v>-0.67569585139172905</v>
      </c>
      <c r="S18">
        <f t="shared" si="0"/>
        <v>0.56107384486728962</v>
      </c>
      <c r="T18">
        <f>SUMIF(A18:N18,"&gt;0.51")</f>
        <v>8.2290612493837543</v>
      </c>
      <c r="U18">
        <f>SUMIF(A18:N18,"&gt;1.02")</f>
        <v>5.9622800545244896</v>
      </c>
      <c r="V18">
        <f>SUMIF(A18:N18,"&gt;1.53")</f>
        <v>3.58387369853802</v>
      </c>
      <c r="X18">
        <f t="shared" si="1"/>
        <v>2.0351857346770199</v>
      </c>
      <c r="Y18">
        <f t="shared" si="2"/>
        <v>0.50879643366925498</v>
      </c>
      <c r="Z18">
        <f t="shared" si="3"/>
        <v>1.01759286733851</v>
      </c>
      <c r="AA18">
        <f t="shared" si="4"/>
        <v>1.5263893010077649</v>
      </c>
    </row>
    <row r="19" spans="1:27" x14ac:dyDescent="0.25">
      <c r="A19" s="26">
        <v>7.4651416540839594E-2</v>
      </c>
      <c r="B19" s="26">
        <v>-0.20807792552242299</v>
      </c>
      <c r="C19" s="26">
        <v>1.7292991446503601</v>
      </c>
      <c r="D19" s="26">
        <v>-0.235653085067865</v>
      </c>
      <c r="E19" s="26">
        <v>1.1200969103138001</v>
      </c>
      <c r="F19" s="26">
        <v>-0.43505345229234399</v>
      </c>
      <c r="G19" s="26">
        <v>0.30382766985415899</v>
      </c>
      <c r="H19" s="26">
        <v>2.6037675879215902E-3</v>
      </c>
      <c r="I19" s="26">
        <v>-0.27397356540518603</v>
      </c>
      <c r="J19" s="26">
        <v>2.2538630898598102</v>
      </c>
      <c r="K19" s="26">
        <v>0.63669534929575899</v>
      </c>
      <c r="L19" s="26">
        <v>2.0574014831715299</v>
      </c>
      <c r="M19" s="26">
        <v>3.06606449326009</v>
      </c>
      <c r="N19" s="26">
        <v>-0.472273542920359</v>
      </c>
      <c r="S19">
        <f t="shared" si="0"/>
        <v>0.68710512523757816</v>
      </c>
      <c r="T19">
        <f>SUMIF(A19:N19,"&gt;0.77")</f>
        <v>10.226725121255591</v>
      </c>
      <c r="U19">
        <f>SUMIF(A19:N19,"&gt;1.53")</f>
        <v>9.1066282109417909</v>
      </c>
      <c r="V19">
        <f>SUMIF(A19:N19,"&gt;2.3")</f>
        <v>3.06606449326009</v>
      </c>
      <c r="X19">
        <f t="shared" si="1"/>
        <v>3.06606449326009</v>
      </c>
      <c r="Y19">
        <f t="shared" si="2"/>
        <v>0.7665161233150225</v>
      </c>
      <c r="Z19">
        <f t="shared" si="3"/>
        <v>1.533032246630045</v>
      </c>
      <c r="AA19">
        <f t="shared" si="4"/>
        <v>2.2995483699450676</v>
      </c>
    </row>
    <row r="20" spans="1:27" x14ac:dyDescent="0.25">
      <c r="A20" s="26">
        <v>-0.20730645310205101</v>
      </c>
      <c r="B20" s="26">
        <v>-0.54933492096760494</v>
      </c>
      <c r="C20" s="26">
        <v>0.84265124758251797</v>
      </c>
      <c r="D20" s="26">
        <v>-0.49272917786917297</v>
      </c>
      <c r="E20" s="26">
        <v>4.6583845942987402E-2</v>
      </c>
      <c r="F20" s="26">
        <v>-0.80598489901322101</v>
      </c>
      <c r="G20" s="26">
        <v>-0.39718652417655897</v>
      </c>
      <c r="H20" s="26">
        <v>-0.63011175627700999</v>
      </c>
      <c r="I20" s="26">
        <v>-0.52773416527927597</v>
      </c>
      <c r="J20" s="26">
        <v>0.68389050372214699</v>
      </c>
      <c r="K20" s="26">
        <v>-0.58784822440830997</v>
      </c>
      <c r="L20" s="26">
        <v>-0.71429524843933201</v>
      </c>
      <c r="M20" s="26">
        <v>-0.32982014280933802</v>
      </c>
      <c r="N20" s="26">
        <v>1.2133593861365799</v>
      </c>
      <c r="S20">
        <f t="shared" si="0"/>
        <v>-0.17541903778268875</v>
      </c>
      <c r="T20">
        <f>SUMIF(A20:N20,"&gt;0.3")</f>
        <v>2.7399011374412447</v>
      </c>
      <c r="U20">
        <f>SUMIF(A20:N20,"&gt;0.61")</f>
        <v>2.7399011374412447</v>
      </c>
      <c r="V20">
        <f>SUMIF(A20:N20,"&gt;0.91")</f>
        <v>1.2133593861365799</v>
      </c>
      <c r="X20">
        <f t="shared" si="1"/>
        <v>1.2133593861365799</v>
      </c>
      <c r="Y20">
        <f t="shared" si="2"/>
        <v>0.30333984653414497</v>
      </c>
      <c r="Z20">
        <f t="shared" si="3"/>
        <v>0.60667969306828995</v>
      </c>
      <c r="AA20">
        <f t="shared" si="4"/>
        <v>0.91001953960243487</v>
      </c>
    </row>
    <row r="21" spans="1:27" x14ac:dyDescent="0.25">
      <c r="A21" s="26">
        <v>0.63924371914335598</v>
      </c>
      <c r="B21" s="26">
        <v>2.7721067946539901E-2</v>
      </c>
      <c r="C21" s="26">
        <v>0.44629659323633297</v>
      </c>
      <c r="D21" s="26">
        <v>-6.4269023200326902E-2</v>
      </c>
      <c r="E21" s="26">
        <v>0.334199151809775</v>
      </c>
      <c r="F21" s="26">
        <v>-0.57835149393977903</v>
      </c>
      <c r="G21" s="26">
        <v>-9.9337770374775203E-2</v>
      </c>
      <c r="H21" s="26">
        <v>0.22132024497333</v>
      </c>
      <c r="I21" s="26">
        <v>-0.18169698363278999</v>
      </c>
      <c r="J21" s="26">
        <v>0.63416119843622898</v>
      </c>
      <c r="K21" s="26">
        <v>-0.45046568566235901</v>
      </c>
      <c r="L21" s="26">
        <v>-0.64207144863724497</v>
      </c>
      <c r="M21" s="26">
        <v>-0.76617246639761205</v>
      </c>
      <c r="N21" s="26">
        <v>1.7391980198824999</v>
      </c>
      <c r="S21">
        <f t="shared" si="0"/>
        <v>8.9983937398798258E-2</v>
      </c>
      <c r="T21">
        <f>SUMIF(A21:N21,"&gt;0.43")</f>
        <v>3.4588995306984178</v>
      </c>
      <c r="U21">
        <f>SUMIF(A21:N21,"&gt;0.87")</f>
        <v>1.7391980198824999</v>
      </c>
      <c r="V21">
        <f>SUMIF(A21:N21,"&gt;1.3")</f>
        <v>1.7391980198824999</v>
      </c>
      <c r="X21">
        <f t="shared" si="1"/>
        <v>1.7391980198824999</v>
      </c>
      <c r="Y21">
        <f t="shared" si="2"/>
        <v>0.43479950497062497</v>
      </c>
      <c r="Z21">
        <f t="shared" si="3"/>
        <v>0.86959900994124995</v>
      </c>
      <c r="AA21">
        <f t="shared" si="4"/>
        <v>1.3043985149118749</v>
      </c>
    </row>
    <row r="22" spans="1:27" x14ac:dyDescent="0.25">
      <c r="A22" s="26">
        <v>0.299253462628912</v>
      </c>
      <c r="B22" s="26">
        <v>4.1390333589932098E-2</v>
      </c>
      <c r="C22" s="26">
        <v>1.43387610849314</v>
      </c>
      <c r="D22" s="26">
        <v>3.7704493610858498</v>
      </c>
      <c r="E22" s="26">
        <v>0.57995536766766698</v>
      </c>
      <c r="F22" s="26">
        <v>-0.43537406932994299</v>
      </c>
      <c r="G22" s="26">
        <v>0.103067736352404</v>
      </c>
      <c r="H22" s="26">
        <v>-0.13799968215984099</v>
      </c>
      <c r="I22" s="26">
        <v>-0.33329422511601198</v>
      </c>
      <c r="J22" s="26">
        <v>0.50707519603888196</v>
      </c>
      <c r="K22" s="26">
        <v>-0.54331608914551499</v>
      </c>
      <c r="L22" s="26">
        <v>-0.56984764883515804</v>
      </c>
      <c r="M22" s="26">
        <v>-1.2025247906810801</v>
      </c>
      <c r="N22" s="26">
        <v>2.2650366536284299</v>
      </c>
      <c r="S22">
        <f t="shared" si="0"/>
        <v>0.41269626530126191</v>
      </c>
      <c r="T22">
        <f>SUMIF(A22:N22,"&gt;0.94")</f>
        <v>7.4693621232074197</v>
      </c>
      <c r="U22">
        <f>SUMIF(A22:N22,"&gt;1.89")</f>
        <v>6.0354860147142801</v>
      </c>
      <c r="V22">
        <f>SUMIF(A22:N22,"&gt;2.83")</f>
        <v>3.7704493610858498</v>
      </c>
      <c r="X22">
        <f t="shared" si="1"/>
        <v>3.7704493610858498</v>
      </c>
      <c r="Y22">
        <f t="shared" si="2"/>
        <v>0.94261234027146246</v>
      </c>
      <c r="Z22">
        <f t="shared" si="3"/>
        <v>1.8852246805429249</v>
      </c>
      <c r="AA22">
        <f t="shared" si="4"/>
        <v>2.8278370208143873</v>
      </c>
    </row>
    <row r="23" spans="1:27" x14ac:dyDescent="0.25">
      <c r="A23" s="26">
        <v>3.9792331054293003E-3</v>
      </c>
      <c r="B23" s="26">
        <v>-0.181598770762429</v>
      </c>
      <c r="C23" s="26">
        <v>1.24758234451169</v>
      </c>
      <c r="D23" s="26">
        <v>0.59984421653638498</v>
      </c>
      <c r="E23" s="26">
        <v>0.142160625048389</v>
      </c>
      <c r="F23" s="26">
        <v>3.0742135550518501</v>
      </c>
      <c r="G23" s="26">
        <v>2.3056674985827201</v>
      </c>
      <c r="H23" s="26">
        <v>3.2403887631683399</v>
      </c>
      <c r="I23" s="26">
        <v>0.62242751466952095</v>
      </c>
      <c r="J23" s="26">
        <v>0.36488621944359001</v>
      </c>
      <c r="K23" s="26">
        <v>0.86909179607204701</v>
      </c>
      <c r="L23" s="26">
        <v>-0.888356300526294</v>
      </c>
      <c r="M23" s="26">
        <v>-0.81636797382080895</v>
      </c>
      <c r="N23" s="26">
        <v>-0.54586638342966398</v>
      </c>
      <c r="S23">
        <f t="shared" si="0"/>
        <v>0.7170037384036263</v>
      </c>
      <c r="T23">
        <f>SUMIF(A23:N23,"&gt;0.81")</f>
        <v>10.736943957386647</v>
      </c>
      <c r="U23">
        <f>SUMIF(A23:N23,"&gt;1.62")</f>
        <v>8.6202698168029102</v>
      </c>
      <c r="V23">
        <f>SUMIF(A23:N23,"&gt;2.43")</f>
        <v>6.3146023182201905</v>
      </c>
      <c r="X23">
        <f t="shared" si="1"/>
        <v>3.2403887631683399</v>
      </c>
      <c r="Y23">
        <f t="shared" si="2"/>
        <v>0.81009719079208498</v>
      </c>
      <c r="Z23">
        <f t="shared" si="3"/>
        <v>1.62019438158417</v>
      </c>
      <c r="AA23">
        <f t="shared" si="4"/>
        <v>2.4302915723762548</v>
      </c>
    </row>
    <row r="24" spans="1:27" x14ac:dyDescent="0.25">
      <c r="A24" s="26">
        <v>-0.76827517872736895</v>
      </c>
      <c r="B24" s="26">
        <v>-0.71269011439201202</v>
      </c>
      <c r="C24" s="26">
        <v>0.59491588683159702</v>
      </c>
      <c r="D24" s="26">
        <v>-0.235653085067865</v>
      </c>
      <c r="E24" s="26">
        <v>-0.13218012790425501</v>
      </c>
      <c r="F24" s="26">
        <v>-0.86830832614391595</v>
      </c>
      <c r="G24" s="26">
        <v>-0.18819872454768299</v>
      </c>
      <c r="H24" s="26">
        <v>-0.49341395791113002</v>
      </c>
      <c r="I24" s="26">
        <v>-0.56069008734084602</v>
      </c>
      <c r="J24" s="26">
        <v>0.32694460133655601</v>
      </c>
      <c r="K24" s="26">
        <v>-0.43532115383209602</v>
      </c>
      <c r="L24" s="26">
        <v>-1.9695375347729999E-2</v>
      </c>
      <c r="M24" s="26">
        <v>-9.0324101301978196E-2</v>
      </c>
      <c r="N24" s="26">
        <v>-0.46517586110701098</v>
      </c>
      <c r="S24">
        <f t="shared" si="0"/>
        <v>-0.28914754324683845</v>
      </c>
      <c r="T24">
        <f>SUMIF(A24:N24,"&gt;0.15")</f>
        <v>0.92186048816815302</v>
      </c>
      <c r="U24">
        <f>SUMIF(A24:N24,"&gt;0.3")</f>
        <v>0.92186048816815302</v>
      </c>
      <c r="V24">
        <f>SUMIF(A24:N24,"&gt;0.45")</f>
        <v>0.59491588683159702</v>
      </c>
      <c r="X24">
        <f t="shared" si="1"/>
        <v>0.59491588683159702</v>
      </c>
      <c r="Y24">
        <f t="shared" si="2"/>
        <v>0.14872897170789925</v>
      </c>
      <c r="Z24">
        <f t="shared" si="3"/>
        <v>0.29745794341579851</v>
      </c>
      <c r="AA24">
        <f t="shared" si="4"/>
        <v>0.44618691512369779</v>
      </c>
    </row>
    <row r="25" spans="1:27" x14ac:dyDescent="0.25">
      <c r="A25" s="26">
        <v>-0.25365429661158401</v>
      </c>
      <c r="B25" s="26">
        <v>-0.43686244164268201</v>
      </c>
      <c r="C25" s="26">
        <v>0.52976083723586598</v>
      </c>
      <c r="D25" s="26">
        <v>-0.107115038667212</v>
      </c>
      <c r="E25" s="26">
        <v>-0.36430780331867701</v>
      </c>
      <c r="F25" s="26">
        <v>-0.59911311360688801</v>
      </c>
      <c r="G25" s="26">
        <v>-0.291869837749409</v>
      </c>
      <c r="H25" s="26">
        <v>-0.35281050816336701</v>
      </c>
      <c r="I25" s="26">
        <v>-0.73535647426716799</v>
      </c>
      <c r="J25" s="26">
        <v>-0.29817118436865397</v>
      </c>
      <c r="K25" s="26">
        <v>-0.42865034814495701</v>
      </c>
      <c r="L25" s="26">
        <v>0.84896555015124897</v>
      </c>
      <c r="M25" s="26">
        <v>0.63571977121685297</v>
      </c>
      <c r="N25" s="26">
        <v>-0.38448533878435798</v>
      </c>
      <c r="S25">
        <f t="shared" si="0"/>
        <v>-0.15985358762292776</v>
      </c>
      <c r="T25">
        <f>SUMIF(A25:N25,"&gt;0.21")</f>
        <v>2.0144461586039677</v>
      </c>
      <c r="U25">
        <f>SUMIF(A25:N25,"&gt;0.42")</f>
        <v>2.0144461586039677</v>
      </c>
      <c r="V25">
        <f>SUMIF(A25:N25,"&gt;0.64")</f>
        <v>0.84896555015124897</v>
      </c>
      <c r="X25">
        <f t="shared" si="1"/>
        <v>0.84896555015124897</v>
      </c>
      <c r="Y25">
        <f t="shared" si="2"/>
        <v>0.21224138753781224</v>
      </c>
      <c r="Z25">
        <f t="shared" si="3"/>
        <v>0.42448277507562449</v>
      </c>
      <c r="AA25">
        <f t="shared" si="4"/>
        <v>0.63672416261343678</v>
      </c>
    </row>
    <row r="26" spans="1:27" x14ac:dyDescent="0.25">
      <c r="A26" s="26">
        <v>0.37402144200919302</v>
      </c>
      <c r="B26" s="26">
        <v>-1.05917839685378</v>
      </c>
      <c r="C26" s="26">
        <v>0.10935390999851</v>
      </c>
      <c r="D26" s="26">
        <v>0.38561413920196203</v>
      </c>
      <c r="E26" s="26">
        <v>1.21474446987736</v>
      </c>
      <c r="F26" s="26">
        <v>-0.24677153379547101</v>
      </c>
      <c r="G26" s="26">
        <v>1.8457297820766501</v>
      </c>
      <c r="H26" s="26">
        <v>1.43597782473872</v>
      </c>
      <c r="I26" s="26">
        <v>2.5925325355101898E-2</v>
      </c>
      <c r="J26" s="26">
        <v>0.43671743818991599</v>
      </c>
      <c r="K26" s="26">
        <v>0.71097567208228396</v>
      </c>
      <c r="L26" s="26">
        <v>-0.94247380523226898</v>
      </c>
      <c r="M26" s="26">
        <v>-0.50534804554981805</v>
      </c>
      <c r="N26" s="26">
        <v>-0.98436731139534905</v>
      </c>
      <c r="S26">
        <f t="shared" si="0"/>
        <v>0.20006577933592931</v>
      </c>
      <c r="T26">
        <f>SUMIF(A26:N26,"&gt;0.46")</f>
        <v>5.2074277487750145</v>
      </c>
      <c r="U26">
        <f>SUMIF(A26:N26,"&gt;0.92")</f>
        <v>4.4964520766927301</v>
      </c>
      <c r="V26">
        <f>SUMIF(A26:N26,"&gt;1.38")</f>
        <v>3.2817076068153703</v>
      </c>
      <c r="X26">
        <f t="shared" si="1"/>
        <v>1.8457297820766501</v>
      </c>
      <c r="Y26">
        <f t="shared" si="2"/>
        <v>0.46143244551916252</v>
      </c>
      <c r="Z26">
        <f t="shared" si="3"/>
        <v>0.92286489103832503</v>
      </c>
      <c r="AA26">
        <f t="shared" si="4"/>
        <v>1.3842973365574875</v>
      </c>
    </row>
    <row r="27" spans="1:27" x14ac:dyDescent="0.25">
      <c r="A27" s="26">
        <v>0.41042670847196799</v>
      </c>
      <c r="B27" s="26">
        <v>-0.80796634285469204</v>
      </c>
      <c r="C27" s="26">
        <v>0.23611375154257599</v>
      </c>
      <c r="D27" s="26">
        <v>-0.42846015466884602</v>
      </c>
      <c r="E27" s="26">
        <v>0.134992365933642</v>
      </c>
      <c r="F27" s="26">
        <v>-0.66184234086320604</v>
      </c>
      <c r="G27" s="26">
        <v>3.5599234110010598E-2</v>
      </c>
      <c r="H27" s="26">
        <v>-0.42311223303724899</v>
      </c>
      <c r="I27" s="26">
        <v>-0.765016804122581</v>
      </c>
      <c r="J27" s="26">
        <v>-0.84445681206507595</v>
      </c>
      <c r="K27" s="26">
        <v>-1.17379737260298</v>
      </c>
      <c r="L27" s="26">
        <v>-0.91088572498147302</v>
      </c>
      <c r="M27" s="26">
        <v>-0.93063826717369003</v>
      </c>
      <c r="N27" s="26">
        <v>1.0497852435433701</v>
      </c>
      <c r="S27">
        <f t="shared" si="0"/>
        <v>-0.36280419634058758</v>
      </c>
      <c r="T27">
        <f>SUMIF(A27:N27,"&gt;0.26")</f>
        <v>1.460211952015338</v>
      </c>
      <c r="U27">
        <f>SUMIF(A27:N27,"&gt;0.52")</f>
        <v>1.0497852435433701</v>
      </c>
      <c r="V27">
        <f>SUMIF(A27:N27,"&gt;0.79")</f>
        <v>1.0497852435433701</v>
      </c>
      <c r="X27">
        <f t="shared" si="1"/>
        <v>1.0497852435433701</v>
      </c>
      <c r="Y27">
        <f t="shared" si="2"/>
        <v>0.26244631088584253</v>
      </c>
      <c r="Z27">
        <f t="shared" si="3"/>
        <v>0.52489262177168505</v>
      </c>
      <c r="AA27">
        <f t="shared" si="4"/>
        <v>0.78733893265752752</v>
      </c>
    </row>
    <row r="28" spans="1:27" x14ac:dyDescent="0.25">
      <c r="A28" s="26">
        <v>-1.0257030596375201</v>
      </c>
      <c r="B28" s="26">
        <v>-1.1777863431218301</v>
      </c>
      <c r="C28" s="26">
        <v>-2.6046412270283401E-2</v>
      </c>
      <c r="D28" s="26">
        <v>-0.81407429387080799</v>
      </c>
      <c r="E28" s="26">
        <v>-0.75643808537953605</v>
      </c>
      <c r="F28" s="26">
        <v>-0.82664255648472695</v>
      </c>
      <c r="G28" s="26">
        <v>-0.87769390600043196</v>
      </c>
      <c r="H28" s="26">
        <v>-0.94256386682759397</v>
      </c>
      <c r="I28" s="26">
        <v>-0.90343167678117497</v>
      </c>
      <c r="J28" s="26">
        <v>-0.86213834283340196</v>
      </c>
      <c r="K28" s="26">
        <v>-1.2881025295123401</v>
      </c>
      <c r="L28" s="26">
        <v>-0.87929764457046999</v>
      </c>
      <c r="M28" s="26">
        <v>-1.3559284889713601</v>
      </c>
      <c r="N28" s="26">
        <v>3.0839377980562599</v>
      </c>
      <c r="S28">
        <f t="shared" si="0"/>
        <v>-0.61799352915751549</v>
      </c>
      <c r="T28">
        <f>SUMIF(A28:N28,"&gt;0.77")</f>
        <v>3.0839377980562599</v>
      </c>
      <c r="U28">
        <f>SUMIF(A28:N28,"&gt;1.54")</f>
        <v>3.0839377980562599</v>
      </c>
      <c r="V28">
        <f>SUMIF(A28:N28,"&gt;2.31")</f>
        <v>3.0839377980562599</v>
      </c>
      <c r="X28">
        <f t="shared" si="1"/>
        <v>3.0839377980562599</v>
      </c>
      <c r="Y28">
        <f t="shared" si="2"/>
        <v>0.77098444951406497</v>
      </c>
      <c r="Z28">
        <f t="shared" si="3"/>
        <v>1.5419688990281299</v>
      </c>
      <c r="AA28">
        <f t="shared" si="4"/>
        <v>2.3129533485421949</v>
      </c>
    </row>
    <row r="29" spans="1:27" x14ac:dyDescent="0.25">
      <c r="A29" s="26">
        <v>-0.76810629188785196</v>
      </c>
      <c r="B29" s="26">
        <v>-0.66057034575239504</v>
      </c>
      <c r="C29" s="26">
        <v>0.92013717500635706</v>
      </c>
      <c r="D29" s="26">
        <v>-0.89976632480457697</v>
      </c>
      <c r="E29" s="26">
        <v>-6.6825080821382402E-2</v>
      </c>
      <c r="F29" s="26">
        <v>-0.51741168673410598</v>
      </c>
      <c r="G29" s="26">
        <v>-0.44326257448843698</v>
      </c>
      <c r="H29" s="26">
        <v>-0.61448915074948096</v>
      </c>
      <c r="I29" s="26">
        <v>-0.72217410544254002</v>
      </c>
      <c r="J29" s="26">
        <v>-0.64480286047272195</v>
      </c>
      <c r="K29" s="26">
        <v>-0.56981901984847405</v>
      </c>
      <c r="L29" s="26">
        <v>-0.85287099382405396</v>
      </c>
      <c r="M29" s="26">
        <v>-0.36870500312688997</v>
      </c>
      <c r="N29" s="26">
        <v>-0.45785141031981302</v>
      </c>
      <c r="S29">
        <f t="shared" si="0"/>
        <v>-0.47617983380474044</v>
      </c>
      <c r="T29">
        <f>SUMIF(A29:N29,"&gt;0.23")</f>
        <v>0.92013717500635706</v>
      </c>
      <c r="U29">
        <f>SUMIF(A29:N29,"&gt;0.46")</f>
        <v>0.92013717500635706</v>
      </c>
      <c r="V29">
        <f>SUMIF(A29:N29,"&gt;0.69")</f>
        <v>0.92013717500635706</v>
      </c>
      <c r="X29">
        <f t="shared" si="1"/>
        <v>0.92013717500635706</v>
      </c>
      <c r="Y29">
        <f t="shared" si="2"/>
        <v>0.23003429375158926</v>
      </c>
      <c r="Z29">
        <f t="shared" si="3"/>
        <v>0.46006858750317853</v>
      </c>
      <c r="AA29">
        <f t="shared" si="4"/>
        <v>0.69010288125476782</v>
      </c>
    </row>
    <row r="30" spans="1:27" x14ac:dyDescent="0.25">
      <c r="A30" s="26">
        <v>0.153160862754011</v>
      </c>
      <c r="B30" s="26">
        <v>-9.9793598904418301E-2</v>
      </c>
      <c r="C30" s="26">
        <v>0.85340458861370305</v>
      </c>
      <c r="D30" s="26">
        <v>-0.92118933253802004</v>
      </c>
      <c r="E30" s="26">
        <v>0.57243312135087698</v>
      </c>
      <c r="F30" s="26">
        <v>-0.29135510245802998</v>
      </c>
      <c r="G30" s="26">
        <v>0.91844926955010497</v>
      </c>
      <c r="H30" s="26">
        <v>0.19788633668203601</v>
      </c>
      <c r="I30" s="26">
        <v>-0.67933140676249804</v>
      </c>
      <c r="J30" s="26">
        <v>-0.189503443188314</v>
      </c>
      <c r="K30" s="26">
        <v>-1.20192293171633</v>
      </c>
      <c r="L30" s="26">
        <v>-0.51959159420672996</v>
      </c>
      <c r="M30" s="26">
        <v>-0.50998904969597003</v>
      </c>
      <c r="N30" s="26">
        <v>-0.60949472147731498</v>
      </c>
      <c r="S30">
        <f t="shared" si="0"/>
        <v>-0.16620264299977811</v>
      </c>
      <c r="T30">
        <f>SUMIF(A30:N30,"&gt;0.23")</f>
        <v>2.3442869795146848</v>
      </c>
      <c r="U30">
        <f>SUMIF(A30:N30,"&gt;0.46")</f>
        <v>2.3442869795146848</v>
      </c>
      <c r="V30">
        <f>SUMIF(A30:N30,"&gt;0.69")</f>
        <v>1.7718538581638081</v>
      </c>
      <c r="X30">
        <f t="shared" si="1"/>
        <v>0.91844926955010497</v>
      </c>
      <c r="Y30">
        <f t="shared" si="2"/>
        <v>0.22961231738752624</v>
      </c>
      <c r="Z30">
        <f t="shared" si="3"/>
        <v>0.45922463477505249</v>
      </c>
      <c r="AA30">
        <f t="shared" si="4"/>
        <v>0.68883695216257879</v>
      </c>
    </row>
    <row r="31" spans="1:27" x14ac:dyDescent="0.25">
      <c r="A31" s="26">
        <v>-0.80471066057384</v>
      </c>
      <c r="B31" s="26">
        <v>-0.88983546377313305</v>
      </c>
      <c r="C31" s="26">
        <v>0.55613111906058599</v>
      </c>
      <c r="D31" s="26">
        <v>-0.89976632480457697</v>
      </c>
      <c r="E31" s="26">
        <v>-0.13899439818053799</v>
      </c>
      <c r="F31" s="26">
        <v>-0.53706090420447195</v>
      </c>
      <c r="G31" s="26">
        <v>-0.532946315274057</v>
      </c>
      <c r="H31" s="26">
        <v>-0.60277219660383397</v>
      </c>
      <c r="I31" s="26">
        <v>-0.69251377558712601</v>
      </c>
      <c r="J31" s="26">
        <v>-0.82382835950202804</v>
      </c>
      <c r="K31" s="26">
        <v>-0.69349936312895</v>
      </c>
      <c r="L31" s="26">
        <v>-0.18631219490982001</v>
      </c>
      <c r="M31" s="26">
        <v>-0.65127309539605605</v>
      </c>
      <c r="N31" s="26">
        <v>-0.76113803263481705</v>
      </c>
      <c r="S31">
        <f t="shared" si="0"/>
        <v>-0.54703714039376161</v>
      </c>
      <c r="T31">
        <f>SUMIF(A31:N31,"&gt;0.14")</f>
        <v>0.55613111906058599</v>
      </c>
      <c r="U31">
        <f>SUMIF(A31:N31,"&gt;0.27")</f>
        <v>0.55613111906058599</v>
      </c>
      <c r="V31">
        <f>SUMIF(A31:N31,"&gt;0.42")</f>
        <v>0.55613111906058599</v>
      </c>
      <c r="X31">
        <f t="shared" si="1"/>
        <v>0.55613111906058599</v>
      </c>
      <c r="Y31">
        <f t="shared" si="2"/>
        <v>0.1390327797651465</v>
      </c>
      <c r="Z31">
        <f t="shared" si="3"/>
        <v>0.27806555953029299</v>
      </c>
      <c r="AA31">
        <f t="shared" si="4"/>
        <v>0.41709833929543949</v>
      </c>
    </row>
    <row r="32" spans="1:27" x14ac:dyDescent="0.25">
      <c r="A32" s="26">
        <v>-0.47352293910309401</v>
      </c>
      <c r="B32" s="26">
        <v>-1.06030312367501</v>
      </c>
      <c r="C32" s="26">
        <v>0.28459575386799901</v>
      </c>
      <c r="D32" s="26">
        <v>-1.0497273789386701</v>
      </c>
      <c r="E32" s="26">
        <v>0.793675663737896</v>
      </c>
      <c r="F32" s="26">
        <v>-0.76492975398666296</v>
      </c>
      <c r="G32" s="26">
        <v>-0.16269233955360801</v>
      </c>
      <c r="H32" s="26">
        <v>-0.52075351758430599</v>
      </c>
      <c r="I32" s="26">
        <v>-0.37613692379605301</v>
      </c>
      <c r="J32" s="26">
        <v>-0.81940797680994604</v>
      </c>
      <c r="K32" s="26">
        <v>1.3748109839754501</v>
      </c>
      <c r="L32" s="26">
        <v>-0.84420039536670899</v>
      </c>
      <c r="M32" s="26">
        <v>-0.85593592999853696</v>
      </c>
      <c r="N32" s="26">
        <v>1.91230964655639</v>
      </c>
      <c r="S32">
        <f t="shared" si="0"/>
        <v>-0.18301558790534717</v>
      </c>
      <c r="T32">
        <f>SUMIF(A32:N32,"&gt;0.48")</f>
        <v>4.080796294269736</v>
      </c>
      <c r="U32">
        <f>SUMIF(A32:N32,"&gt;0.96")</f>
        <v>3.2871206305318399</v>
      </c>
      <c r="V32">
        <f>SUMIF(A32:N32,"&gt;1.43")</f>
        <v>1.91230964655639</v>
      </c>
      <c r="X32">
        <f t="shared" si="1"/>
        <v>1.91230964655639</v>
      </c>
      <c r="Y32">
        <f t="shared" si="2"/>
        <v>0.4780774116390975</v>
      </c>
      <c r="Z32">
        <f t="shared" si="3"/>
        <v>0.95615482327819501</v>
      </c>
      <c r="AA32">
        <f t="shared" si="4"/>
        <v>1.4342322349172925</v>
      </c>
    </row>
    <row r="33" spans="1:27" x14ac:dyDescent="0.25">
      <c r="A33" s="26">
        <v>-0.95233253775010496</v>
      </c>
      <c r="B33" s="26">
        <v>-1.21415497146165</v>
      </c>
      <c r="C33" s="26">
        <v>-0.38614477216942</v>
      </c>
      <c r="D33" s="26">
        <v>-1.1139964021390001</v>
      </c>
      <c r="E33" s="26">
        <v>-0.19549974350247301</v>
      </c>
      <c r="F33" s="26">
        <v>-0.90859671268287601</v>
      </c>
      <c r="G33" s="26">
        <v>-0.29845213065110598</v>
      </c>
      <c r="H33" s="26">
        <v>-0.74337564635159703</v>
      </c>
      <c r="I33" s="26">
        <v>-0.88036253133807596</v>
      </c>
      <c r="J33" s="26">
        <v>-0.85955978626302099</v>
      </c>
      <c r="K33" s="26">
        <v>0.94625679158814602</v>
      </c>
      <c r="L33" s="26">
        <v>-0.60110932352382096</v>
      </c>
      <c r="M33" s="26">
        <v>-0.20630472638310901</v>
      </c>
      <c r="N33" s="26">
        <v>0.61284911479714399</v>
      </c>
      <c r="S33">
        <f t="shared" si="0"/>
        <v>-0.48577024127364027</v>
      </c>
      <c r="T33">
        <f>SUMIF(A33:N33,"&gt;0.24")</f>
        <v>1.5591059063852901</v>
      </c>
      <c r="U33">
        <f>SUMIF(A33:N33,"&gt;0.47")</f>
        <v>1.5591059063852901</v>
      </c>
      <c r="V33">
        <f>SUMIF(A33:N33,"&gt;0.71")</f>
        <v>0.94625679158814602</v>
      </c>
      <c r="X33">
        <f t="shared" si="1"/>
        <v>0.94625679158814602</v>
      </c>
      <c r="Y33">
        <f t="shared" si="2"/>
        <v>0.2365641978970365</v>
      </c>
      <c r="Z33">
        <f t="shared" si="3"/>
        <v>0.47312839579407301</v>
      </c>
      <c r="AA33">
        <f t="shared" si="4"/>
        <v>0.70969259369110949</v>
      </c>
    </row>
    <row r="34" spans="1:27" x14ac:dyDescent="0.25">
      <c r="A34" s="26">
        <v>-1.02511539159964</v>
      </c>
      <c r="B34" s="26">
        <v>-1.58099892186142</v>
      </c>
      <c r="C34" s="26">
        <v>-1.05688528575774</v>
      </c>
      <c r="D34" s="26">
        <v>-0.96403534800490498</v>
      </c>
      <c r="E34" s="26">
        <v>-0.714578996352494</v>
      </c>
      <c r="F34" s="26">
        <v>-1.0123967457743901</v>
      </c>
      <c r="G34" s="26">
        <v>-0.53952860817575399</v>
      </c>
      <c r="H34" s="26">
        <v>-1.0011486375558301</v>
      </c>
      <c r="I34" s="26">
        <v>-0.93968319104890197</v>
      </c>
      <c r="J34" s="26">
        <v>-0.92807571799028599</v>
      </c>
      <c r="K34" s="26">
        <v>0.193717793260586</v>
      </c>
      <c r="L34" s="26">
        <v>-0.358018251841141</v>
      </c>
      <c r="M34" s="26">
        <v>0.44332647645022499</v>
      </c>
      <c r="N34" s="26">
        <v>-0.68661141696209904</v>
      </c>
      <c r="S34">
        <f t="shared" si="0"/>
        <v>-0.72643087451527077</v>
      </c>
      <c r="T34">
        <f>SUMIF(A34:N34,"&gt;0.11")</f>
        <v>0.63704426971081096</v>
      </c>
      <c r="U34">
        <f>SUMIF(A34:N34,"&gt;0.22")</f>
        <v>0.44332647645022499</v>
      </c>
      <c r="V34">
        <f>SUMIF(A34:N34,"&gt;0.33")</f>
        <v>0.44332647645022499</v>
      </c>
      <c r="X34">
        <f t="shared" si="1"/>
        <v>0.44332647645022499</v>
      </c>
      <c r="Y34">
        <f t="shared" si="2"/>
        <v>0.11083161911255625</v>
      </c>
      <c r="Z34">
        <f t="shared" si="3"/>
        <v>0.2216632382251125</v>
      </c>
      <c r="AA34">
        <f t="shared" si="4"/>
        <v>0.33249485733766876</v>
      </c>
    </row>
    <row r="35" spans="1:27" x14ac:dyDescent="0.25">
      <c r="A35" s="26">
        <v>-1.2456228059541701</v>
      </c>
      <c r="B35" s="26">
        <v>-1.45251251320953</v>
      </c>
      <c r="C35" s="26">
        <v>-1.75621906616656</v>
      </c>
      <c r="D35" s="26">
        <v>-1.0711503866721199</v>
      </c>
      <c r="E35" s="26">
        <v>0.12822234501219301</v>
      </c>
      <c r="F35" s="26">
        <v>-0.86780464151581704</v>
      </c>
      <c r="G35" s="26">
        <v>-0.19313544422395601</v>
      </c>
      <c r="H35" s="26">
        <v>-0.173150544596782</v>
      </c>
      <c r="I35" s="26">
        <v>-0.51784738866080504</v>
      </c>
      <c r="J35" s="26">
        <v>-0.71626571399470795</v>
      </c>
      <c r="K35" s="26">
        <v>2.2786150085600401</v>
      </c>
      <c r="L35" s="26">
        <v>-0.76445737753003296</v>
      </c>
      <c r="M35" s="26">
        <v>-0.43880037724542098</v>
      </c>
      <c r="N35" s="26">
        <v>-0.99639555711115901</v>
      </c>
      <c r="S35">
        <f t="shared" si="0"/>
        <v>-0.55618031880777341</v>
      </c>
      <c r="T35">
        <f>SUMIF(A35:N35,"&gt;0.57")</f>
        <v>2.2786150085600401</v>
      </c>
      <c r="U35">
        <f>SUMIF(A35:N35,"&gt;1.14")</f>
        <v>2.2786150085600401</v>
      </c>
      <c r="V35">
        <f>SUMIF(A35:N35,"&gt;1.71")</f>
        <v>2.2786150085600401</v>
      </c>
      <c r="X35">
        <f t="shared" si="1"/>
        <v>2.2786150085600401</v>
      </c>
      <c r="Y35">
        <f t="shared" si="2"/>
        <v>0.56965375214001002</v>
      </c>
      <c r="Z35">
        <f t="shared" si="3"/>
        <v>1.13930750428002</v>
      </c>
      <c r="AA35">
        <f t="shared" si="4"/>
        <v>1.7089612564200301</v>
      </c>
    </row>
    <row r="36" spans="1:27" x14ac:dyDescent="0.25">
      <c r="A36" s="26">
        <v>-1.06256441009835</v>
      </c>
      <c r="B36" s="26">
        <v>-1.2934997043462699</v>
      </c>
      <c r="C36" s="26">
        <v>-1.71644455804118</v>
      </c>
      <c r="D36" s="26">
        <v>6.4269023200326902E-2</v>
      </c>
      <c r="E36" s="26">
        <v>-0.35196246940089798</v>
      </c>
      <c r="F36" s="26">
        <v>-0.80596760115454102</v>
      </c>
      <c r="G36" s="26">
        <v>0.38610633112537002</v>
      </c>
      <c r="H36" s="26">
        <v>-4.8169700376548399E-2</v>
      </c>
      <c r="I36" s="26">
        <v>0.20388730448758</v>
      </c>
      <c r="J36" s="26">
        <v>-0.70742494861054495</v>
      </c>
      <c r="K36" s="26">
        <v>-0.59073289713788402</v>
      </c>
      <c r="L36" s="26">
        <v>-0.64819812635309904</v>
      </c>
      <c r="M36" s="26">
        <v>-0.35610233360689902</v>
      </c>
      <c r="N36" s="26">
        <v>-0.98668336334963502</v>
      </c>
      <c r="S36">
        <f t="shared" si="0"/>
        <v>-0.56524910383304106</v>
      </c>
      <c r="T36">
        <f>SUMIF(A36:N36,"&gt;0.1")</f>
        <v>0.58999363561295004</v>
      </c>
      <c r="U36">
        <f>SUMIF(A36:N36,"&gt;0.19")</f>
        <v>0.58999363561295004</v>
      </c>
      <c r="V36">
        <f>SUMIF(A36:N36,"&gt;0.29")</f>
        <v>0.38610633112537002</v>
      </c>
      <c r="X36">
        <f t="shared" si="1"/>
        <v>0.38610633112537002</v>
      </c>
      <c r="Y36">
        <f t="shared" si="2"/>
        <v>9.6526582781342504E-2</v>
      </c>
      <c r="Z36">
        <f t="shared" si="3"/>
        <v>0.19305316556268501</v>
      </c>
      <c r="AA36">
        <f t="shared" si="4"/>
        <v>0.2895797483440275</v>
      </c>
    </row>
    <row r="37" spans="1:27" x14ac:dyDescent="0.25">
      <c r="A37" s="26">
        <v>-1.2461374268401499</v>
      </c>
      <c r="B37" s="26">
        <v>-1.4947548559899</v>
      </c>
      <c r="C37" s="26">
        <v>-1.6946047382118901</v>
      </c>
      <c r="D37" s="26">
        <v>-0.62126722426982695</v>
      </c>
      <c r="E37" s="26">
        <v>-0.31802386346571299</v>
      </c>
      <c r="F37" s="26">
        <v>-0.909217177823614</v>
      </c>
      <c r="G37" s="26">
        <v>-2.2818615392549001E-2</v>
      </c>
      <c r="H37" s="26">
        <v>-0.65354566456830399</v>
      </c>
      <c r="I37" s="26">
        <v>-0.16521902260200499</v>
      </c>
      <c r="J37" s="26">
        <v>-0.84114152504601403</v>
      </c>
      <c r="K37" s="26">
        <v>-0.72414901088067096</v>
      </c>
      <c r="L37" s="26">
        <v>-0.531938875176165</v>
      </c>
      <c r="M37" s="26">
        <v>-0.27340428996837601</v>
      </c>
      <c r="N37" s="26">
        <v>-0.97697116958811103</v>
      </c>
      <c r="S37">
        <f t="shared" si="0"/>
        <v>-0.74808524713023494</v>
      </c>
      <c r="T37">
        <f>SUMIF(A37:N37,"&gt;-0.01")</f>
        <v>0</v>
      </c>
      <c r="U37">
        <f>SUMIF(A37:N37,"&gt;-0.01")</f>
        <v>0</v>
      </c>
      <c r="V37">
        <f>SUMIF(A37:N37,"&gt;-0.02")</f>
        <v>0</v>
      </c>
      <c r="X37">
        <f t="shared" si="1"/>
        <v>-2.2818615392549001E-2</v>
      </c>
      <c r="Y37">
        <f t="shared" si="2"/>
        <v>-5.7046538481372502E-3</v>
      </c>
      <c r="Z37">
        <f t="shared" si="3"/>
        <v>-1.14093076962745E-2</v>
      </c>
      <c r="AA37">
        <f t="shared" si="4"/>
        <v>-1.7113961544411749E-2</v>
      </c>
    </row>
    <row r="38" spans="1:27" x14ac:dyDescent="0.25">
      <c r="A38" s="26">
        <v>-1.3578085702822</v>
      </c>
      <c r="B38" s="26">
        <v>-1.5827350104131801</v>
      </c>
      <c r="C38" s="26">
        <v>-1.6757636189013401</v>
      </c>
      <c r="D38" s="26">
        <v>-0.81407429387080799</v>
      </c>
      <c r="E38" s="26">
        <v>-0.71528697250209605</v>
      </c>
      <c r="F38" s="26">
        <v>-0.888381528402996</v>
      </c>
      <c r="G38" s="26">
        <v>-1.2331377226920599</v>
      </c>
      <c r="H38" s="26">
        <v>-1.1573746928311199</v>
      </c>
      <c r="I38" s="26">
        <v>-1.02866418061514</v>
      </c>
      <c r="J38" s="26">
        <v>-1.02532413721608</v>
      </c>
      <c r="K38" s="26">
        <v>-0.75119281772042501</v>
      </c>
      <c r="L38" s="26">
        <v>0.27160820874147401</v>
      </c>
      <c r="M38" s="26">
        <v>-5.5218769112276599E-2</v>
      </c>
      <c r="N38" s="26">
        <v>-1.04136163315022</v>
      </c>
      <c r="S38">
        <f t="shared" si="0"/>
        <v>-0.93247969564060462</v>
      </c>
      <c r="T38">
        <f>SUMIF(A38:N38,"&gt;0.07")</f>
        <v>0.27160820874147401</v>
      </c>
      <c r="U38">
        <f>SUMIF(A38:N38,"&gt;0.14")</f>
        <v>0.27160820874147401</v>
      </c>
      <c r="V38">
        <f>SUMIF(A38:N38,"&gt;0.2")</f>
        <v>0.27160820874147401</v>
      </c>
      <c r="X38">
        <f t="shared" si="1"/>
        <v>0.27160820874147401</v>
      </c>
      <c r="Y38">
        <f t="shared" si="2"/>
        <v>6.7902052185368503E-2</v>
      </c>
      <c r="Z38">
        <f t="shared" si="3"/>
        <v>0.13580410437073701</v>
      </c>
      <c r="AA38">
        <f t="shared" si="4"/>
        <v>0.20370615655610552</v>
      </c>
    </row>
    <row r="39" spans="1:27" x14ac:dyDescent="0.25">
      <c r="A39" s="26">
        <v>-1.2844927577688701</v>
      </c>
      <c r="B39" s="26">
        <v>-1.4109116965274</v>
      </c>
      <c r="C39" s="26">
        <v>-1.6624350208493299</v>
      </c>
      <c r="D39" s="26">
        <v>-0.85692030933769303</v>
      </c>
      <c r="E39" s="26">
        <v>-0.69108303840575802</v>
      </c>
      <c r="F39" s="26">
        <v>-0.97087859966867296</v>
      </c>
      <c r="G39" s="26">
        <v>-0.39554095095113501</v>
      </c>
      <c r="H39" s="26">
        <v>-0.66916827009583302</v>
      </c>
      <c r="I39" s="26">
        <v>-0.27067797319902898</v>
      </c>
      <c r="J39" s="26">
        <v>-1.01390481526154</v>
      </c>
      <c r="K39" s="26">
        <v>-1.12583968847382</v>
      </c>
      <c r="L39" s="26">
        <v>0.28342505309676203</v>
      </c>
      <c r="M39" s="26">
        <v>-0.254439926256186</v>
      </c>
      <c r="N39" s="26">
        <v>-0.97623564284520703</v>
      </c>
      <c r="S39">
        <f t="shared" si="0"/>
        <v>-0.80707883118169377</v>
      </c>
      <c r="T39">
        <f>SUMIF(A39:N39,"&gt;0.07")</f>
        <v>0.28342505309676203</v>
      </c>
      <c r="U39">
        <f>SUMIF(A39:N39,"&gt;0.14")</f>
        <v>0.28342505309676203</v>
      </c>
      <c r="V39">
        <f>SUMIF(A39:N39,"&gt;0.21")</f>
        <v>0.28342505309676203</v>
      </c>
      <c r="X39">
        <f t="shared" si="1"/>
        <v>0.28342505309676203</v>
      </c>
      <c r="Y39">
        <f t="shared" si="2"/>
        <v>7.0856263274190506E-2</v>
      </c>
      <c r="Z39">
        <f t="shared" si="3"/>
        <v>0.14171252654838101</v>
      </c>
      <c r="AA39">
        <f t="shared" si="4"/>
        <v>0.21256878982257152</v>
      </c>
    </row>
    <row r="40" spans="1:27" x14ac:dyDescent="0.25">
      <c r="A40" s="26">
        <v>-1.3211908544392501</v>
      </c>
      <c r="B40" s="26">
        <v>-1.2714493487516301</v>
      </c>
      <c r="C40" s="26">
        <v>-1.68909221695335</v>
      </c>
      <c r="D40" s="26">
        <v>-0.81407429387080799</v>
      </c>
      <c r="E40" s="26">
        <v>-0.19819890254556</v>
      </c>
      <c r="F40" s="26">
        <v>-1.0119610132066701</v>
      </c>
      <c r="G40" s="26">
        <v>-0.28693311807313598</v>
      </c>
      <c r="H40" s="26">
        <v>-3.2547094849019201E-2</v>
      </c>
      <c r="I40" s="26">
        <v>0.16434019801369601</v>
      </c>
      <c r="J40" s="26">
        <v>-0.85035065565451795</v>
      </c>
      <c r="K40" s="26">
        <v>-1.2260820658265099</v>
      </c>
      <c r="L40" s="26">
        <v>0.29524189745204998</v>
      </c>
      <c r="M40" s="26">
        <v>-0.45366108340009498</v>
      </c>
      <c r="N40" s="26">
        <v>-0.91110965254019405</v>
      </c>
      <c r="S40">
        <f t="shared" si="0"/>
        <v>-0.68621915747464246</v>
      </c>
      <c r="T40">
        <f>SUMIF(A40:N40,"&gt;0.07")</f>
        <v>0.45958209546574602</v>
      </c>
      <c r="U40">
        <f>SUMIF(A40:N40,"&gt;0.15")</f>
        <v>0.45958209546574602</v>
      </c>
      <c r="V40">
        <f>SUMIF(A40:N40,"&gt;0.22")</f>
        <v>0.29524189745204998</v>
      </c>
      <c r="X40">
        <f t="shared" si="1"/>
        <v>0.29524189745204998</v>
      </c>
      <c r="Y40">
        <f t="shared" si="2"/>
        <v>7.3810474363012496E-2</v>
      </c>
      <c r="Z40">
        <f t="shared" si="3"/>
        <v>0.14762094872602499</v>
      </c>
      <c r="AA40">
        <f t="shared" si="4"/>
        <v>0.22143142308903749</v>
      </c>
    </row>
    <row r="41" spans="1:27" x14ac:dyDescent="0.25">
      <c r="A41" s="26">
        <v>-0.919096797288106</v>
      </c>
      <c r="B41" s="26">
        <v>-0.39192138692157802</v>
      </c>
      <c r="C41" s="26">
        <v>-1.07864068827771</v>
      </c>
      <c r="D41" s="26">
        <v>-0.42846015466884602</v>
      </c>
      <c r="E41" s="26">
        <v>0.37335908190282602</v>
      </c>
      <c r="F41" s="26">
        <v>-0.37293495208773803</v>
      </c>
      <c r="G41" s="26">
        <v>1.66718508711813</v>
      </c>
      <c r="H41" s="26">
        <v>1.20945004458955</v>
      </c>
      <c r="I41" s="26">
        <v>-0.544212126310061</v>
      </c>
      <c r="J41" s="26">
        <v>-0.48345889221174299</v>
      </c>
      <c r="K41" s="26">
        <v>0.23951197284257</v>
      </c>
      <c r="L41" s="26">
        <v>-0.89044341000333704</v>
      </c>
      <c r="M41" s="26">
        <v>-1.03783584701329</v>
      </c>
      <c r="N41" s="26">
        <v>-0.59544539453011602</v>
      </c>
      <c r="S41">
        <f t="shared" si="0"/>
        <v>-0.23235310448996066</v>
      </c>
      <c r="T41">
        <f>SUMIF(A41:N41,"&gt;0.42")</f>
        <v>2.8766351317076797</v>
      </c>
      <c r="U41">
        <f>SUMIF(A41:N41,"&gt;0.83")</f>
        <v>2.8766351317076797</v>
      </c>
      <c r="V41">
        <f>SUMIF(A41:N41,"&gt;1.25")</f>
        <v>1.66718508711813</v>
      </c>
      <c r="X41">
        <f t="shared" si="1"/>
        <v>1.66718508711813</v>
      </c>
      <c r="Y41">
        <f t="shared" si="2"/>
        <v>0.41679627177953249</v>
      </c>
      <c r="Z41">
        <f t="shared" si="3"/>
        <v>0.83359254355906498</v>
      </c>
      <c r="AA41">
        <f t="shared" si="4"/>
        <v>1.2503888153385976</v>
      </c>
    </row>
    <row r="42" spans="1:27" x14ac:dyDescent="0.25">
      <c r="A42" s="26">
        <v>-0.91798561651731603</v>
      </c>
      <c r="B42" s="26">
        <v>1.4700403673153599</v>
      </c>
      <c r="C42" s="26">
        <v>-0.45011719514169701</v>
      </c>
      <c r="D42" s="26">
        <v>0.21423007733442301</v>
      </c>
      <c r="E42" s="26">
        <v>-0.186605793259459</v>
      </c>
      <c r="F42" s="26">
        <v>-0.61959586701285996</v>
      </c>
      <c r="G42" s="26">
        <v>-0.74522526135378198</v>
      </c>
      <c r="H42" s="26">
        <v>-1.0128655917014799</v>
      </c>
      <c r="I42" s="26">
        <v>-0.95286555987353005</v>
      </c>
      <c r="J42" s="26">
        <v>-0.51182301448593304</v>
      </c>
      <c r="K42" s="26">
        <v>1.29097518277221</v>
      </c>
      <c r="L42" s="26">
        <v>-0.69270842977680003</v>
      </c>
      <c r="M42" s="26">
        <v>-0.95902079754024805</v>
      </c>
      <c r="N42" s="26">
        <v>-9.3501970309217003E-2</v>
      </c>
      <c r="S42">
        <f t="shared" si="0"/>
        <v>-0.2976478192535949</v>
      </c>
      <c r="T42">
        <f>SUMIF(A42:N42,"&gt;0.37")</f>
        <v>2.7610155500875697</v>
      </c>
      <c r="U42">
        <f>SUMIF(A42:N42,"&gt;0.74")</f>
        <v>2.7610155500875697</v>
      </c>
      <c r="V42">
        <f>SUMIF(A42:N42,"&gt;1.1")</f>
        <v>2.7610155500875697</v>
      </c>
      <c r="X42">
        <f t="shared" si="1"/>
        <v>1.4700403673153599</v>
      </c>
      <c r="Y42">
        <f t="shared" si="2"/>
        <v>0.36751009182883998</v>
      </c>
      <c r="Z42">
        <f t="shared" si="3"/>
        <v>0.73502018365767996</v>
      </c>
      <c r="AA42">
        <f t="shared" si="4"/>
        <v>1.1025302754865201</v>
      </c>
    </row>
    <row r="43" spans="1:27" x14ac:dyDescent="0.25">
      <c r="A43" s="26">
        <v>-1.06522455236963</v>
      </c>
      <c r="B43" s="26">
        <v>1.3151051635584301</v>
      </c>
      <c r="C43" s="26">
        <v>-0.52030541361499405</v>
      </c>
      <c r="D43" s="26">
        <v>8.5692030933769398E-2</v>
      </c>
      <c r="E43" s="26">
        <v>-0.22780115472807</v>
      </c>
      <c r="F43" s="26">
        <v>-0.45461498599383998</v>
      </c>
      <c r="G43" s="26">
        <v>-1.0496563080572601</v>
      </c>
      <c r="H43" s="26">
        <v>-1.0284881972290001</v>
      </c>
      <c r="I43" s="26">
        <v>-1.02866418061514</v>
      </c>
      <c r="J43" s="26">
        <v>-0.52545252778651796</v>
      </c>
      <c r="K43" s="26">
        <v>-0.42756859587136697</v>
      </c>
      <c r="L43" s="26">
        <v>-0.494973449390055</v>
      </c>
      <c r="M43" s="26">
        <v>-0.88020574798030504</v>
      </c>
      <c r="N43" s="26">
        <v>0.408441454337514</v>
      </c>
      <c r="S43">
        <f t="shared" si="0"/>
        <v>-0.42097974748617611</v>
      </c>
      <c r="T43">
        <f>SUMIF(A43:N43,"&gt;0.33")</f>
        <v>1.723546617895944</v>
      </c>
      <c r="U43">
        <f>SUMIF(A43:N43,"&gt;0.66")</f>
        <v>1.3151051635584301</v>
      </c>
      <c r="V43">
        <f>SUMIF(A43:N43,"&gt;0.99")</f>
        <v>1.3151051635584301</v>
      </c>
      <c r="X43">
        <f t="shared" si="1"/>
        <v>1.3151051635584301</v>
      </c>
      <c r="Y43">
        <f t="shared" si="2"/>
        <v>0.32877629088960753</v>
      </c>
      <c r="Z43">
        <f t="shared" si="3"/>
        <v>0.65755258177921505</v>
      </c>
      <c r="AA43">
        <f t="shared" si="4"/>
        <v>0.98632887266882263</v>
      </c>
    </row>
    <row r="44" spans="1:27" x14ac:dyDescent="0.25">
      <c r="A44" s="26">
        <v>-1.1747490866880299</v>
      </c>
      <c r="B44" s="26">
        <v>0.99117660590460399</v>
      </c>
      <c r="C44" s="26">
        <v>-1.24947943683686</v>
      </c>
      <c r="D44" s="26">
        <v>0.64269023200327002</v>
      </c>
      <c r="E44" s="26">
        <v>2.32613425759734</v>
      </c>
      <c r="F44" s="26">
        <v>-0.14529234315975101</v>
      </c>
      <c r="G44" s="26">
        <v>2.5146552982116002</v>
      </c>
      <c r="H44" s="26">
        <v>2.2717872204615399</v>
      </c>
      <c r="I44" s="26">
        <v>1.61110517651662</v>
      </c>
      <c r="J44" s="26">
        <v>-0.30590685407979701</v>
      </c>
      <c r="K44" s="26">
        <v>0.98754367003017096</v>
      </c>
      <c r="L44" s="26">
        <v>-0.49269813862438799</v>
      </c>
      <c r="M44" s="26">
        <v>-0.87201629850639395</v>
      </c>
      <c r="N44" s="26">
        <v>0.59317014505457999</v>
      </c>
      <c r="S44">
        <f t="shared" si="0"/>
        <v>0.54986574627746454</v>
      </c>
      <c r="T44">
        <f>SUMIF(A44:N44,"&gt;0.63")</f>
        <v>11.345092460725144</v>
      </c>
      <c r="U44">
        <f>SUMIF(A44:N44,"&gt;1.26")</f>
        <v>8.7236819527870999</v>
      </c>
      <c r="V44">
        <f>SUMIF(A44:N44,"&gt;1.89")</f>
        <v>7.1125767762704797</v>
      </c>
      <c r="X44">
        <f t="shared" si="1"/>
        <v>2.5146552982116002</v>
      </c>
      <c r="Y44">
        <f t="shared" si="2"/>
        <v>0.62866382455290004</v>
      </c>
      <c r="Z44">
        <f t="shared" si="3"/>
        <v>1.2573276491058001</v>
      </c>
      <c r="AA44">
        <f t="shared" si="4"/>
        <v>1.8859914736587</v>
      </c>
    </row>
    <row r="45" spans="1:27" x14ac:dyDescent="0.25">
      <c r="A45" s="26">
        <v>-0.88239147930500506</v>
      </c>
      <c r="B45" s="26">
        <v>1.2601160920618799</v>
      </c>
      <c r="C45" s="26">
        <v>-1.12635932458185</v>
      </c>
      <c r="D45" s="26">
        <v>0</v>
      </c>
      <c r="E45" s="26">
        <v>0.93805854682918899</v>
      </c>
      <c r="F45" s="26">
        <v>-0.414460801142913</v>
      </c>
      <c r="G45" s="26">
        <v>0.99003170485605796</v>
      </c>
      <c r="H45" s="26">
        <v>1.16258222800696</v>
      </c>
      <c r="I45" s="26">
        <v>0.89596166778055297</v>
      </c>
      <c r="J45" s="26">
        <v>-0.61128162505776995</v>
      </c>
      <c r="K45" s="26">
        <v>-0.25935611732809599</v>
      </c>
      <c r="L45" s="26">
        <v>-0.82110698144067196</v>
      </c>
      <c r="M45" s="26">
        <v>-1.0981398749600699</v>
      </c>
      <c r="N45" s="26">
        <v>-7.8902492976695507E-2</v>
      </c>
      <c r="S45">
        <f t="shared" si="0"/>
        <v>-3.2320326613165381E-3</v>
      </c>
      <c r="T45">
        <f>SUMIF(A45:N45,"&gt;0.32")</f>
        <v>5.2467502395346406</v>
      </c>
      <c r="U45">
        <f>SUMIF(A45:N45,"&gt;0.63")</f>
        <v>5.2467502395346406</v>
      </c>
      <c r="V45">
        <f>SUMIF(A45:N45,"&gt;0.95")</f>
        <v>3.412730024924898</v>
      </c>
      <c r="X45">
        <f t="shared" si="1"/>
        <v>1.2601160920618799</v>
      </c>
      <c r="Y45">
        <f t="shared" si="2"/>
        <v>0.31502902301546998</v>
      </c>
      <c r="Z45">
        <f t="shared" si="3"/>
        <v>0.63005804603093996</v>
      </c>
      <c r="AA45">
        <f t="shared" si="4"/>
        <v>0.94508706904640993</v>
      </c>
    </row>
    <row r="46" spans="1:27" x14ac:dyDescent="0.25">
      <c r="A46" s="26">
        <v>-1.46728186328976</v>
      </c>
      <c r="B46" s="26">
        <v>0.79725474554190801</v>
      </c>
      <c r="C46" s="26">
        <v>-1.83489379496469</v>
      </c>
      <c r="D46" s="26">
        <v>-0.49272917786917297</v>
      </c>
      <c r="E46" s="26">
        <v>0.202781081494426</v>
      </c>
      <c r="F46" s="26">
        <v>-0.82639532696058005</v>
      </c>
      <c r="G46" s="26">
        <v>-0.21288232292904699</v>
      </c>
      <c r="H46" s="26">
        <v>0.82279055778320298</v>
      </c>
      <c r="I46" s="26">
        <v>0.16434019801369601</v>
      </c>
      <c r="J46" s="26">
        <v>-0.94502051830993195</v>
      </c>
      <c r="K46" s="26">
        <v>-0.314705775326793</v>
      </c>
      <c r="L46" s="26">
        <v>-1.14951582409675</v>
      </c>
      <c r="M46" s="26">
        <v>-1.3242634514137499</v>
      </c>
      <c r="N46" s="26">
        <v>-0.75097513100797098</v>
      </c>
      <c r="S46">
        <f t="shared" si="0"/>
        <v>-0.52367832880965803</v>
      </c>
      <c r="T46">
        <f>SUMIF(A46:N46,"&gt;0.21")</f>
        <v>1.620045303325111</v>
      </c>
      <c r="U46">
        <f>SUMIF(A46:N46,"&gt;0.41")</f>
        <v>1.620045303325111</v>
      </c>
      <c r="V46">
        <f>SUMIF(A46:N46,"&gt;0.62")</f>
        <v>1.620045303325111</v>
      </c>
      <c r="X46">
        <f t="shared" si="1"/>
        <v>0.82279055778320298</v>
      </c>
      <c r="Y46">
        <f t="shared" si="2"/>
        <v>0.20569763944580075</v>
      </c>
      <c r="Z46">
        <f t="shared" si="3"/>
        <v>0.41139527889160149</v>
      </c>
      <c r="AA46">
        <f t="shared" si="4"/>
        <v>0.61709291833740221</v>
      </c>
    </row>
  </sheetData>
  <mergeCells count="5">
    <mergeCell ref="O2:Q2"/>
    <mergeCell ref="O3:Q3"/>
    <mergeCell ref="O4:Q4"/>
    <mergeCell ref="O5:Q5"/>
    <mergeCell ref="O6:Q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CEAF8-6C58-42E4-9406-E50EDBA76E62}">
  <dimension ref="A1:W215"/>
  <sheetViews>
    <sheetView topLeftCell="E1" workbookViewId="0">
      <selection activeCell="S2" sqref="S2"/>
    </sheetView>
  </sheetViews>
  <sheetFormatPr defaultRowHeight="13.95" x14ac:dyDescent="0.25"/>
  <cols>
    <col min="1" max="1" width="8.88671875" style="2"/>
    <col min="2" max="2" width="11.6640625" style="1" bestFit="1" customWidth="1"/>
    <col min="3" max="15" width="8.88671875" style="1"/>
    <col min="16" max="16" width="11.5546875" style="1" bestFit="1" customWidth="1"/>
    <col min="17" max="17" width="12.88671875" bestFit="1" customWidth="1"/>
    <col min="19" max="19" width="16.109375" bestFit="1" customWidth="1"/>
    <col min="20" max="20" width="16.88671875" bestFit="1" customWidth="1"/>
    <col min="22" max="22" width="13.109375" bestFit="1" customWidth="1"/>
    <col min="23" max="23" width="13.33203125" bestFit="1" customWidth="1"/>
  </cols>
  <sheetData>
    <row r="1" spans="1:23" x14ac:dyDescent="0.25">
      <c r="A1" s="2" t="s">
        <v>78</v>
      </c>
      <c r="B1" s="1" t="s">
        <v>0</v>
      </c>
      <c r="C1" s="1" t="s">
        <v>4</v>
      </c>
      <c r="D1" s="1" t="s">
        <v>4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</v>
      </c>
      <c r="J1" s="1" t="s">
        <v>7</v>
      </c>
      <c r="K1" s="1" t="s">
        <v>8</v>
      </c>
      <c r="L1" s="1" t="s">
        <v>8</v>
      </c>
      <c r="M1" s="1" t="s">
        <v>8</v>
      </c>
      <c r="N1" s="1" t="s">
        <v>3</v>
      </c>
      <c r="O1" s="1" t="s">
        <v>2</v>
      </c>
      <c r="P1" s="1" t="s">
        <v>12</v>
      </c>
      <c r="Q1" s="1" t="s">
        <v>211</v>
      </c>
      <c r="R1" s="15" t="s">
        <v>209</v>
      </c>
      <c r="S1" s="15" t="s">
        <v>210</v>
      </c>
      <c r="T1" s="1" t="s">
        <v>212</v>
      </c>
      <c r="U1" s="1" t="s">
        <v>8</v>
      </c>
      <c r="V1" s="15" t="s">
        <v>230</v>
      </c>
      <c r="W1" s="15" t="s">
        <v>232</v>
      </c>
    </row>
    <row r="2" spans="1:23" x14ac:dyDescent="0.25">
      <c r="A2" s="12" t="s">
        <v>69</v>
      </c>
      <c r="B2" s="5" t="s">
        <v>71</v>
      </c>
      <c r="C2" s="5">
        <v>7.8</v>
      </c>
      <c r="D2" s="5">
        <v>6</v>
      </c>
      <c r="E2" s="5">
        <v>5</v>
      </c>
      <c r="F2" s="5">
        <v>49</v>
      </c>
      <c r="G2" s="5">
        <v>2.38</v>
      </c>
      <c r="H2" s="5">
        <v>28.2</v>
      </c>
      <c r="I2" s="5">
        <v>48</v>
      </c>
      <c r="J2" s="5">
        <v>32.200000000000003</v>
      </c>
      <c r="K2" s="5">
        <v>0.15</v>
      </c>
      <c r="L2" s="5">
        <v>0.2</v>
      </c>
      <c r="M2" s="5">
        <v>0.14000000000000001</v>
      </c>
      <c r="N2" s="5">
        <v>8.2460000000000006E-2</v>
      </c>
      <c r="O2" s="5">
        <v>1.0620000000000001E-2</v>
      </c>
      <c r="P2" s="5">
        <v>0.13052</v>
      </c>
      <c r="Q2" s="5">
        <v>3.6579999999999999</v>
      </c>
      <c r="R2">
        <f>Q2/O2</f>
        <v>344.4444444444444</v>
      </c>
      <c r="S2">
        <f>O2/P2</f>
        <v>8.1366840330983764E-2</v>
      </c>
      <c r="T2">
        <f>AVERAGEA(H2:J2)</f>
        <v>36.133333333333333</v>
      </c>
      <c r="U2">
        <f>AVERAGEA(K2:M2)</f>
        <v>0.16333333333333333</v>
      </c>
      <c r="V2">
        <f>Q2*M2/10</f>
        <v>5.1212000000000001E-2</v>
      </c>
      <c r="W2">
        <f>O2/V2</f>
        <v>0.20737327188940094</v>
      </c>
    </row>
    <row r="3" spans="1:23" x14ac:dyDescent="0.25">
      <c r="A3" s="12"/>
      <c r="B3" s="6" t="s">
        <v>70</v>
      </c>
      <c r="C3" s="6">
        <v>10</v>
      </c>
      <c r="D3" s="6">
        <v>13</v>
      </c>
      <c r="E3" s="6">
        <v>8</v>
      </c>
      <c r="F3" s="6">
        <v>85</v>
      </c>
      <c r="G3" s="6">
        <v>7.05</v>
      </c>
      <c r="H3" s="6">
        <v>31.5</v>
      </c>
      <c r="I3" s="6">
        <v>45.6</v>
      </c>
      <c r="J3" s="6">
        <v>38.299999999999997</v>
      </c>
      <c r="K3" s="6">
        <v>7.0000000000000007E-2</v>
      </c>
      <c r="L3" s="6">
        <v>0.14000000000000001</v>
      </c>
      <c r="M3" s="6">
        <v>0.14000000000000001</v>
      </c>
      <c r="N3" s="6">
        <v>4.3580000000000001E-2</v>
      </c>
      <c r="O3" s="6">
        <v>2.1579999999999998E-2</v>
      </c>
      <c r="P3" s="6">
        <v>7.886E-2</v>
      </c>
      <c r="Q3" s="6">
        <v>4.6985358600000002E-3</v>
      </c>
      <c r="R3">
        <f t="shared" ref="R3:R66" si="0">Q3/O3</f>
        <v>0.21772640685820208</v>
      </c>
      <c r="S3">
        <f t="shared" ref="S3:S66" si="1">O3/P3</f>
        <v>0.27364950545270095</v>
      </c>
      <c r="T3">
        <f t="shared" ref="T3:T66" si="2">AVERAGEA(H3:J3)</f>
        <v>38.466666666666661</v>
      </c>
      <c r="U3">
        <f t="shared" ref="U3:U66" si="3">AVERAGEA(K3:M3)</f>
        <v>0.11666666666666668</v>
      </c>
      <c r="V3">
        <f t="shared" ref="V3:V66" si="4">Q3*M3/10</f>
        <v>6.5779502040000008E-5</v>
      </c>
      <c r="W3">
        <f t="shared" ref="W3:W66" si="5">O3/V3</f>
        <v>328.06572459118598</v>
      </c>
    </row>
    <row r="4" spans="1:23" x14ac:dyDescent="0.25">
      <c r="A4" s="12"/>
      <c r="B4" s="7" t="s">
        <v>17</v>
      </c>
      <c r="C4" s="7">
        <v>22.3</v>
      </c>
      <c r="D4" s="7">
        <v>23</v>
      </c>
      <c r="E4" s="7">
        <v>15</v>
      </c>
      <c r="F4" s="7">
        <v>106</v>
      </c>
      <c r="G4" s="7">
        <v>22.1</v>
      </c>
      <c r="H4" s="7">
        <v>21.1</v>
      </c>
      <c r="I4" s="7">
        <v>28.7</v>
      </c>
      <c r="J4" s="7">
        <v>39.4</v>
      </c>
      <c r="K4" s="7">
        <v>0.04</v>
      </c>
      <c r="L4" s="7">
        <v>0.03</v>
      </c>
      <c r="M4" s="7">
        <v>0.02</v>
      </c>
      <c r="N4" s="7">
        <v>2.0830000000000001E-2</v>
      </c>
      <c r="O4" s="7">
        <v>9.2499999999999995E-3</v>
      </c>
      <c r="P4" s="7">
        <v>2.6529999999999998E-2</v>
      </c>
      <c r="Q4" s="7">
        <v>1.8780000000000001</v>
      </c>
      <c r="R4">
        <f t="shared" si="0"/>
        <v>203.02702702702706</v>
      </c>
      <c r="S4">
        <f t="shared" si="1"/>
        <v>0.34866189219751226</v>
      </c>
      <c r="T4">
        <f t="shared" si="2"/>
        <v>29.733333333333331</v>
      </c>
      <c r="U4">
        <f t="shared" si="3"/>
        <v>3.0000000000000002E-2</v>
      </c>
      <c r="V4">
        <f t="shared" si="4"/>
        <v>3.7560000000000002E-3</v>
      </c>
      <c r="W4">
        <f t="shared" si="5"/>
        <v>2.4627263045793395</v>
      </c>
    </row>
    <row r="5" spans="1:23" x14ac:dyDescent="0.25">
      <c r="A5" s="12"/>
      <c r="B5" s="8" t="s">
        <v>15</v>
      </c>
      <c r="C5" s="8">
        <v>23</v>
      </c>
      <c r="D5" s="8">
        <v>7</v>
      </c>
      <c r="E5" s="8">
        <v>18</v>
      </c>
      <c r="F5" s="8">
        <v>1100</v>
      </c>
      <c r="G5" s="8">
        <v>90.55</v>
      </c>
      <c r="H5" s="8">
        <v>6.4</v>
      </c>
      <c r="I5" s="8">
        <v>10.3</v>
      </c>
      <c r="J5" s="8">
        <v>14.3</v>
      </c>
      <c r="K5" s="8">
        <v>0.99</v>
      </c>
      <c r="L5" s="8">
        <v>0.78</v>
      </c>
      <c r="M5" s="8">
        <v>0.67</v>
      </c>
      <c r="N5" s="8">
        <v>1.6320000000000001E-2</v>
      </c>
      <c r="O5" s="8">
        <v>1.4500000000000001E-3</v>
      </c>
      <c r="P5" s="8">
        <v>2.0740000000000001E-2</v>
      </c>
      <c r="Q5" s="8">
        <v>1.4699699619999999E-2</v>
      </c>
      <c r="R5">
        <f t="shared" si="0"/>
        <v>10.137723875862068</v>
      </c>
      <c r="S5">
        <f t="shared" si="1"/>
        <v>6.9913211186113794E-2</v>
      </c>
      <c r="T5">
        <f t="shared" si="2"/>
        <v>10.333333333333334</v>
      </c>
      <c r="U5">
        <f t="shared" si="3"/>
        <v>0.81333333333333335</v>
      </c>
      <c r="V5">
        <f t="shared" si="4"/>
        <v>9.8487987454000002E-4</v>
      </c>
      <c r="W5">
        <f t="shared" si="5"/>
        <v>1.4722607675146575</v>
      </c>
    </row>
    <row r="6" spans="1:23" x14ac:dyDescent="0.25">
      <c r="A6" s="12" t="s">
        <v>72</v>
      </c>
      <c r="B6" s="5" t="s">
        <v>23</v>
      </c>
      <c r="C6" s="5">
        <v>7</v>
      </c>
      <c r="D6" s="5"/>
      <c r="E6" s="5"/>
      <c r="F6" s="5">
        <v>1</v>
      </c>
      <c r="G6" s="5">
        <v>0.01</v>
      </c>
      <c r="H6" s="5">
        <v>30.7</v>
      </c>
      <c r="I6" s="5">
        <v>33.299999999999997</v>
      </c>
      <c r="J6" s="5">
        <v>28.2</v>
      </c>
      <c r="K6" s="5">
        <v>0.19</v>
      </c>
      <c r="L6" s="5">
        <v>0.16</v>
      </c>
      <c r="M6" s="5">
        <v>0.17</v>
      </c>
      <c r="N6" s="5">
        <v>1.1940000000000001E-2</v>
      </c>
      <c r="O6" s="5">
        <v>2.0600000000000002E-3</v>
      </c>
      <c r="P6" s="5">
        <v>2.5940000000000001E-2</v>
      </c>
      <c r="Q6" s="5">
        <v>0.93799999999999994</v>
      </c>
      <c r="R6">
        <f t="shared" si="0"/>
        <v>455.33980582524265</v>
      </c>
      <c r="S6">
        <f t="shared" si="1"/>
        <v>7.9414032382420979E-2</v>
      </c>
      <c r="T6">
        <f t="shared" si="2"/>
        <v>30.733333333333334</v>
      </c>
      <c r="U6">
        <f t="shared" si="3"/>
        <v>0.17333333333333334</v>
      </c>
      <c r="V6">
        <f t="shared" si="4"/>
        <v>1.5945999999999998E-2</v>
      </c>
      <c r="W6">
        <f t="shared" si="5"/>
        <v>0.12918600275931272</v>
      </c>
    </row>
    <row r="7" spans="1:23" x14ac:dyDescent="0.25">
      <c r="A7" s="12"/>
      <c r="B7" s="6" t="s">
        <v>75</v>
      </c>
      <c r="C7" s="6">
        <v>8</v>
      </c>
      <c r="D7" s="6">
        <v>6.5</v>
      </c>
      <c r="E7" s="6">
        <v>5</v>
      </c>
      <c r="F7" s="6">
        <v>35</v>
      </c>
      <c r="G7" s="6">
        <v>3.6</v>
      </c>
      <c r="H7" s="6">
        <v>43.9</v>
      </c>
      <c r="I7" s="6">
        <v>49.5</v>
      </c>
      <c r="J7" s="6">
        <v>54.5</v>
      </c>
      <c r="K7" s="6">
        <v>0.33</v>
      </c>
      <c r="L7" s="6">
        <v>0.25</v>
      </c>
      <c r="M7" s="6">
        <v>0.25</v>
      </c>
      <c r="N7" s="6">
        <v>0.1142</v>
      </c>
      <c r="O7" s="6">
        <v>1.4360000000000001E-2</v>
      </c>
      <c r="P7" s="6">
        <v>0.14250000000000002</v>
      </c>
      <c r="Q7" s="6">
        <v>5.5939999999999994</v>
      </c>
      <c r="R7">
        <f t="shared" si="0"/>
        <v>389.55431754874644</v>
      </c>
      <c r="S7">
        <f t="shared" si="1"/>
        <v>0.1007719298245614</v>
      </c>
      <c r="T7">
        <f t="shared" si="2"/>
        <v>49.300000000000004</v>
      </c>
      <c r="U7">
        <f t="shared" si="3"/>
        <v>0.27666666666666667</v>
      </c>
      <c r="V7">
        <f t="shared" si="4"/>
        <v>0.13984999999999997</v>
      </c>
      <c r="W7">
        <f t="shared" si="5"/>
        <v>0.10268144440471937</v>
      </c>
    </row>
    <row r="8" spans="1:23" x14ac:dyDescent="0.25">
      <c r="A8" s="12"/>
      <c r="B8" s="7" t="s">
        <v>74</v>
      </c>
      <c r="C8" s="7">
        <v>5.8</v>
      </c>
      <c r="D8" s="7">
        <v>7.5</v>
      </c>
      <c r="E8" s="7">
        <v>4.5</v>
      </c>
      <c r="F8" s="7">
        <v>7</v>
      </c>
      <c r="G8" s="7">
        <v>0.34</v>
      </c>
      <c r="H8" s="7">
        <v>56.7</v>
      </c>
      <c r="I8" s="7">
        <v>48.1</v>
      </c>
      <c r="J8" s="7">
        <v>37.5</v>
      </c>
      <c r="K8" s="7">
        <v>0.33</v>
      </c>
      <c r="L8" s="7">
        <v>0.24</v>
      </c>
      <c r="M8" s="7">
        <v>0.21</v>
      </c>
      <c r="N8" s="7">
        <v>0.10995999999999999</v>
      </c>
      <c r="O8" s="7">
        <v>1.9779999999999999E-2</v>
      </c>
      <c r="P8" s="7">
        <v>0.17914000000000002</v>
      </c>
      <c r="Q8" s="7">
        <v>4.2939999999999996</v>
      </c>
      <c r="R8">
        <f t="shared" si="0"/>
        <v>217.08796764408493</v>
      </c>
      <c r="S8">
        <f t="shared" si="1"/>
        <v>0.11041643407390865</v>
      </c>
      <c r="T8">
        <f t="shared" si="2"/>
        <v>47.433333333333337</v>
      </c>
      <c r="U8">
        <f t="shared" si="3"/>
        <v>0.26</v>
      </c>
      <c r="V8">
        <f t="shared" si="4"/>
        <v>9.017399999999999E-2</v>
      </c>
      <c r="W8">
        <f t="shared" si="5"/>
        <v>0.21935369396943688</v>
      </c>
    </row>
    <row r="9" spans="1:23" x14ac:dyDescent="0.25">
      <c r="A9" s="12"/>
      <c r="B9" s="8" t="s">
        <v>71</v>
      </c>
      <c r="C9" s="8">
        <v>15</v>
      </c>
      <c r="D9" s="8">
        <v>9.5</v>
      </c>
      <c r="E9" s="8">
        <v>4</v>
      </c>
      <c r="F9" s="8">
        <v>69</v>
      </c>
      <c r="G9" s="8">
        <v>6.53</v>
      </c>
      <c r="H9" s="8">
        <v>52.1</v>
      </c>
      <c r="I9" s="8">
        <v>49.1</v>
      </c>
      <c r="J9" s="8">
        <v>47.2</v>
      </c>
      <c r="K9" s="8">
        <v>0.36</v>
      </c>
      <c r="L9" s="8">
        <v>0.38</v>
      </c>
      <c r="M9" s="8">
        <v>0.4</v>
      </c>
      <c r="N9" s="8">
        <v>0.17054</v>
      </c>
      <c r="O9" s="8">
        <v>2.07E-2</v>
      </c>
      <c r="P9" s="8">
        <v>0.23279999999999998</v>
      </c>
      <c r="Q9" s="8">
        <v>8.11</v>
      </c>
      <c r="R9">
        <f t="shared" si="0"/>
        <v>391.78743961352654</v>
      </c>
      <c r="S9">
        <f t="shared" si="1"/>
        <v>8.891752577319588E-2</v>
      </c>
      <c r="T9">
        <f t="shared" si="2"/>
        <v>49.466666666666669</v>
      </c>
      <c r="U9">
        <f t="shared" si="3"/>
        <v>0.38000000000000006</v>
      </c>
      <c r="V9">
        <f t="shared" si="4"/>
        <v>0.32439999999999997</v>
      </c>
      <c r="W9">
        <f t="shared" si="5"/>
        <v>6.3810110974106049E-2</v>
      </c>
    </row>
    <row r="10" spans="1:23" x14ac:dyDescent="0.25">
      <c r="A10" s="12"/>
      <c r="B10" s="5" t="s">
        <v>15</v>
      </c>
      <c r="C10" s="5">
        <v>20.5</v>
      </c>
      <c r="D10" s="5">
        <v>18.5</v>
      </c>
      <c r="E10" s="5">
        <v>8</v>
      </c>
      <c r="F10" s="5">
        <v>193</v>
      </c>
      <c r="G10" s="5">
        <v>36.44</v>
      </c>
      <c r="H10" s="5">
        <v>8.1</v>
      </c>
      <c r="I10" s="5">
        <v>7.9</v>
      </c>
      <c r="J10" s="5">
        <v>6.8</v>
      </c>
      <c r="K10" s="5">
        <v>0.33</v>
      </c>
      <c r="L10" s="5">
        <v>0.64</v>
      </c>
      <c r="M10" s="5">
        <v>0.5</v>
      </c>
      <c r="N10" s="5">
        <v>1.2160000000000001E-2</v>
      </c>
      <c r="O10" s="5">
        <v>1.4550000000000001E-3</v>
      </c>
      <c r="P10" s="5">
        <v>1.9060000000000001E-2</v>
      </c>
      <c r="Q10" s="5">
        <v>7.6910689000000013E-3</v>
      </c>
      <c r="R10">
        <f t="shared" si="0"/>
        <v>5.2859580068728524</v>
      </c>
      <c r="S10">
        <f t="shared" si="1"/>
        <v>7.6337880377754463E-2</v>
      </c>
      <c r="T10">
        <f t="shared" si="2"/>
        <v>7.6000000000000005</v>
      </c>
      <c r="U10">
        <f t="shared" si="3"/>
        <v>0.49</v>
      </c>
      <c r="V10">
        <f t="shared" si="4"/>
        <v>3.8455344500000005E-4</v>
      </c>
      <c r="W10">
        <f t="shared" si="5"/>
        <v>3.7836093237963317</v>
      </c>
    </row>
    <row r="11" spans="1:23" x14ac:dyDescent="0.25">
      <c r="A11" s="12"/>
      <c r="B11" s="6" t="s">
        <v>73</v>
      </c>
      <c r="C11" s="6">
        <v>18</v>
      </c>
      <c r="D11" s="6">
        <v>15</v>
      </c>
      <c r="E11" s="6">
        <v>5</v>
      </c>
      <c r="F11" s="6">
        <v>55</v>
      </c>
      <c r="G11" s="6">
        <v>5.68</v>
      </c>
      <c r="H11" s="6">
        <v>38.200000000000003</v>
      </c>
      <c r="I11" s="6">
        <v>37.1</v>
      </c>
      <c r="J11" s="6">
        <v>33.4</v>
      </c>
      <c r="K11" s="6">
        <v>7.0000000000000007E-2</v>
      </c>
      <c r="L11" s="6">
        <v>0.11</v>
      </c>
      <c r="M11" s="6">
        <v>0.06</v>
      </c>
      <c r="N11" s="6">
        <v>2.3219999999999998E-2</v>
      </c>
      <c r="O11" s="6">
        <v>6.8799999999999998E-3</v>
      </c>
      <c r="P11" s="6">
        <v>3.9100000000000003E-2</v>
      </c>
      <c r="Q11" s="6">
        <v>2.8960000000000004</v>
      </c>
      <c r="R11">
        <f t="shared" si="0"/>
        <v>420.93023255813961</v>
      </c>
      <c r="S11">
        <f t="shared" si="1"/>
        <v>0.17595907928388746</v>
      </c>
      <c r="T11">
        <f t="shared" si="2"/>
        <v>36.233333333333341</v>
      </c>
      <c r="U11">
        <f t="shared" si="3"/>
        <v>0.08</v>
      </c>
      <c r="V11">
        <f t="shared" si="4"/>
        <v>1.7376000000000003E-2</v>
      </c>
      <c r="W11">
        <f t="shared" si="5"/>
        <v>0.3959484346224677</v>
      </c>
    </row>
    <row r="12" spans="1:23" x14ac:dyDescent="0.25">
      <c r="A12" s="12"/>
      <c r="B12" s="7" t="s">
        <v>129</v>
      </c>
      <c r="C12" s="7">
        <v>12.3</v>
      </c>
      <c r="D12" s="7">
        <v>15</v>
      </c>
      <c r="E12" s="7">
        <v>7.5</v>
      </c>
      <c r="F12" s="7">
        <v>308</v>
      </c>
      <c r="G12" s="7">
        <v>9.32</v>
      </c>
      <c r="H12" s="7">
        <v>8.6999999999999993</v>
      </c>
      <c r="I12" s="7">
        <v>5.9</v>
      </c>
      <c r="J12" s="7">
        <v>4.0999999999999996</v>
      </c>
      <c r="K12" s="7">
        <v>0.22</v>
      </c>
      <c r="L12" s="7">
        <v>0.15</v>
      </c>
      <c r="M12" s="7">
        <v>0.16</v>
      </c>
      <c r="N12" s="7">
        <v>2.1649999999999998E-3</v>
      </c>
      <c r="O12" s="7">
        <v>7.6000000000000004E-4</v>
      </c>
      <c r="P12" s="7">
        <v>3.8199999999999996E-3</v>
      </c>
      <c r="Q12" s="7">
        <v>0.23449999999999999</v>
      </c>
      <c r="R12">
        <f t="shared" si="0"/>
        <v>308.55263157894734</v>
      </c>
      <c r="S12">
        <f t="shared" si="1"/>
        <v>0.19895287958115188</v>
      </c>
      <c r="T12">
        <f t="shared" si="2"/>
        <v>6.2333333333333334</v>
      </c>
      <c r="U12">
        <f t="shared" si="3"/>
        <v>0.17666666666666667</v>
      </c>
      <c r="V12">
        <f t="shared" si="4"/>
        <v>3.7519999999999997E-3</v>
      </c>
      <c r="W12">
        <f t="shared" si="5"/>
        <v>0.20255863539445632</v>
      </c>
    </row>
    <row r="13" spans="1:23" x14ac:dyDescent="0.25">
      <c r="A13" s="12"/>
      <c r="B13" s="8" t="s">
        <v>16</v>
      </c>
      <c r="C13" s="8">
        <v>10.5</v>
      </c>
      <c r="D13" s="8">
        <v>7</v>
      </c>
      <c r="E13" s="8">
        <v>8</v>
      </c>
      <c r="F13" s="8">
        <v>16</v>
      </c>
      <c r="G13" s="8">
        <v>0.48</v>
      </c>
      <c r="H13" s="8">
        <v>9.1</v>
      </c>
      <c r="I13" s="8">
        <v>9.5</v>
      </c>
      <c r="J13" s="8">
        <v>16.7</v>
      </c>
      <c r="K13" s="8">
        <v>0.15</v>
      </c>
      <c r="L13" s="8">
        <v>0.15</v>
      </c>
      <c r="M13" s="8">
        <v>0.03</v>
      </c>
      <c r="N13" s="8">
        <v>2.9466666666666669E-3</v>
      </c>
      <c r="O13" s="8">
        <v>1.3666666666666666E-3</v>
      </c>
      <c r="P13" s="8">
        <v>5.3200000000000001E-3</v>
      </c>
      <c r="Q13" s="8">
        <v>5.8645780000000006E-5</v>
      </c>
      <c r="R13">
        <f t="shared" si="0"/>
        <v>4.2911546341463422E-2</v>
      </c>
      <c r="S13">
        <f t="shared" si="1"/>
        <v>0.25689223057644112</v>
      </c>
      <c r="T13">
        <f t="shared" si="2"/>
        <v>11.766666666666666</v>
      </c>
      <c r="U13">
        <f t="shared" si="3"/>
        <v>0.10999999999999999</v>
      </c>
      <c r="V13">
        <f t="shared" si="4"/>
        <v>1.7593734000000001E-7</v>
      </c>
      <c r="W13">
        <f t="shared" si="5"/>
        <v>7767.9170701720659</v>
      </c>
    </row>
    <row r="14" spans="1:23" x14ac:dyDescent="0.25">
      <c r="A14" s="12"/>
      <c r="B14" s="5" t="s">
        <v>76</v>
      </c>
      <c r="C14" s="5">
        <v>15.2</v>
      </c>
      <c r="D14" s="5">
        <v>18</v>
      </c>
      <c r="E14" s="5">
        <v>17.5</v>
      </c>
      <c r="F14" s="5">
        <v>8</v>
      </c>
      <c r="G14" s="5">
        <v>1.85</v>
      </c>
      <c r="H14" s="5">
        <v>22.1</v>
      </c>
      <c r="I14" s="5">
        <v>21.4</v>
      </c>
      <c r="J14" s="5">
        <v>24.9</v>
      </c>
      <c r="K14" s="5">
        <v>0.5</v>
      </c>
      <c r="L14" s="5">
        <v>0.57999999999999996</v>
      </c>
      <c r="M14" s="5">
        <v>0.62</v>
      </c>
      <c r="N14" s="5">
        <v>1.6313333333333332E-2</v>
      </c>
      <c r="O14" s="5">
        <v>3.1733333333333336E-3</v>
      </c>
      <c r="P14" s="5">
        <v>3.1506666666666669E-2</v>
      </c>
      <c r="Q14" s="5">
        <v>0.65666666666666673</v>
      </c>
      <c r="R14">
        <f t="shared" si="0"/>
        <v>206.9327731092437</v>
      </c>
      <c r="S14">
        <f t="shared" si="1"/>
        <v>0.10071942446043165</v>
      </c>
      <c r="T14">
        <f t="shared" si="2"/>
        <v>22.8</v>
      </c>
      <c r="U14">
        <f t="shared" si="3"/>
        <v>0.56666666666666676</v>
      </c>
      <c r="V14">
        <f t="shared" si="4"/>
        <v>4.0713333333333337E-2</v>
      </c>
      <c r="W14">
        <f t="shared" si="5"/>
        <v>7.7943343703946288E-2</v>
      </c>
    </row>
    <row r="15" spans="1:23" x14ac:dyDescent="0.25">
      <c r="A15" s="12"/>
      <c r="B15" s="6" t="s">
        <v>17</v>
      </c>
      <c r="C15" s="6">
        <v>30</v>
      </c>
      <c r="D15" s="6">
        <v>18</v>
      </c>
      <c r="E15" s="6">
        <v>14</v>
      </c>
      <c r="F15" s="6">
        <v>53</v>
      </c>
      <c r="G15" s="6">
        <v>10.039999999999999</v>
      </c>
      <c r="H15" s="6">
        <v>60.3</v>
      </c>
      <c r="I15" s="6">
        <v>58.6</v>
      </c>
      <c r="J15" s="6">
        <v>53</v>
      </c>
      <c r="K15" s="6">
        <v>0.1</v>
      </c>
      <c r="L15" s="6">
        <v>0.08</v>
      </c>
      <c r="M15" s="6">
        <v>0.05</v>
      </c>
      <c r="N15" s="6">
        <v>1.4590000000000001E-2</v>
      </c>
      <c r="O15" s="6">
        <v>6.0899999999999999E-3</v>
      </c>
      <c r="P15" s="6">
        <v>1.6900000000000002E-2</v>
      </c>
      <c r="Q15" s="6">
        <v>1.214</v>
      </c>
      <c r="R15">
        <f t="shared" si="0"/>
        <v>199.3431855500821</v>
      </c>
      <c r="S15">
        <f t="shared" si="1"/>
        <v>0.36035502958579879</v>
      </c>
      <c r="T15">
        <f t="shared" si="2"/>
        <v>57.300000000000004</v>
      </c>
      <c r="U15">
        <f t="shared" si="3"/>
        <v>7.6666666666666661E-2</v>
      </c>
      <c r="V15">
        <f t="shared" si="4"/>
        <v>6.0700000000000007E-3</v>
      </c>
      <c r="W15">
        <f t="shared" si="5"/>
        <v>1.0032948929159802</v>
      </c>
    </row>
    <row r="16" spans="1:23" x14ac:dyDescent="0.25">
      <c r="A16" s="12"/>
      <c r="B16" s="7" t="s">
        <v>70</v>
      </c>
      <c r="C16" s="7">
        <v>13</v>
      </c>
      <c r="D16" s="7">
        <v>11</v>
      </c>
      <c r="E16" s="7">
        <v>9</v>
      </c>
      <c r="F16" s="7">
        <v>7</v>
      </c>
      <c r="G16" s="7">
        <v>1.05</v>
      </c>
      <c r="H16" s="7">
        <v>43.6</v>
      </c>
      <c r="I16" s="7">
        <v>51.5</v>
      </c>
      <c r="J16" s="7">
        <v>53.4</v>
      </c>
      <c r="K16" s="7">
        <v>0.08</v>
      </c>
      <c r="L16" s="7">
        <v>0.02</v>
      </c>
      <c r="M16" s="7">
        <v>0.11</v>
      </c>
      <c r="N16" s="7">
        <v>4.2180000000000002E-2</v>
      </c>
      <c r="O16" s="7">
        <v>1.8380000000000001E-2</v>
      </c>
      <c r="P16" s="7">
        <v>7.0260000000000003E-2</v>
      </c>
      <c r="Q16" s="7">
        <v>3.5907470000000005E-4</v>
      </c>
      <c r="R16">
        <f t="shared" si="0"/>
        <v>1.9536164309031559E-2</v>
      </c>
      <c r="S16">
        <f t="shared" si="1"/>
        <v>0.26159977227440934</v>
      </c>
      <c r="T16">
        <f t="shared" si="2"/>
        <v>49.5</v>
      </c>
      <c r="U16">
        <f t="shared" si="3"/>
        <v>7.0000000000000007E-2</v>
      </c>
      <c r="V16">
        <f t="shared" si="4"/>
        <v>3.9498217000000011E-6</v>
      </c>
      <c r="W16">
        <f t="shared" si="5"/>
        <v>4653.3746067575648</v>
      </c>
    </row>
    <row r="17" spans="1:23" x14ac:dyDescent="0.25">
      <c r="A17" s="12" t="s">
        <v>77</v>
      </c>
      <c r="B17" s="5" t="s">
        <v>70</v>
      </c>
      <c r="C17" s="5">
        <v>19</v>
      </c>
      <c r="D17" s="5">
        <v>13.6</v>
      </c>
      <c r="E17" s="5">
        <v>9.8000000000000007</v>
      </c>
      <c r="F17" s="5">
        <v>75</v>
      </c>
      <c r="G17" s="5">
        <v>7.71</v>
      </c>
      <c r="H17" s="5">
        <v>49.5</v>
      </c>
      <c r="I17" s="5">
        <v>53.6</v>
      </c>
      <c r="J17" s="5">
        <v>37.9</v>
      </c>
      <c r="K17" s="5">
        <v>0.33</v>
      </c>
      <c r="L17" s="5">
        <v>0.28000000000000003</v>
      </c>
      <c r="M17" s="5">
        <v>0.21</v>
      </c>
      <c r="N17" s="5">
        <v>6.1160000000000006E-2</v>
      </c>
      <c r="O17" s="5">
        <v>3.3399999999999999E-2</v>
      </c>
      <c r="P17" s="5">
        <v>0.121</v>
      </c>
      <c r="Q17" s="5">
        <v>9.5637178000000005E-4</v>
      </c>
      <c r="R17">
        <f t="shared" si="0"/>
        <v>2.8633885628742518E-2</v>
      </c>
      <c r="S17">
        <f t="shared" si="1"/>
        <v>0.27603305785123966</v>
      </c>
      <c r="T17">
        <f t="shared" si="2"/>
        <v>47</v>
      </c>
      <c r="U17">
        <f t="shared" si="3"/>
        <v>0.27333333333333337</v>
      </c>
      <c r="V17">
        <f t="shared" si="4"/>
        <v>2.0083807379999998E-5</v>
      </c>
      <c r="W17">
        <f t="shared" si="5"/>
        <v>1663.0312852562322</v>
      </c>
    </row>
    <row r="18" spans="1:23" x14ac:dyDescent="0.25">
      <c r="A18" s="12"/>
      <c r="B18" s="6" t="s">
        <v>75</v>
      </c>
      <c r="C18" s="6">
        <v>8</v>
      </c>
      <c r="D18" s="6">
        <v>10.5</v>
      </c>
      <c r="E18" s="6">
        <v>6</v>
      </c>
      <c r="F18" s="6">
        <v>32</v>
      </c>
      <c r="G18" s="6">
        <v>0.99</v>
      </c>
      <c r="H18" s="6">
        <v>49.5</v>
      </c>
      <c r="I18" s="6">
        <v>54.1</v>
      </c>
      <c r="J18" s="6">
        <v>59.8</v>
      </c>
      <c r="K18" s="6">
        <v>0.08</v>
      </c>
      <c r="L18" s="6">
        <v>0.18</v>
      </c>
      <c r="M18" s="6">
        <v>0.09</v>
      </c>
      <c r="N18" s="6">
        <v>8.6999999999999994E-2</v>
      </c>
      <c r="O18" s="6">
        <v>1.214E-2</v>
      </c>
      <c r="P18" s="6">
        <v>0.11168</v>
      </c>
      <c r="Q18" s="6">
        <v>4.1560000000000006</v>
      </c>
      <c r="R18">
        <f t="shared" si="0"/>
        <v>342.339373970346</v>
      </c>
      <c r="S18">
        <f t="shared" si="1"/>
        <v>0.10870343839541546</v>
      </c>
      <c r="T18">
        <f t="shared" si="2"/>
        <v>54.466666666666661</v>
      </c>
      <c r="U18">
        <f t="shared" si="3"/>
        <v>0.11666666666666665</v>
      </c>
      <c r="V18">
        <f t="shared" si="4"/>
        <v>3.7404000000000007E-2</v>
      </c>
      <c r="W18">
        <f t="shared" si="5"/>
        <v>0.32456421773072391</v>
      </c>
    </row>
    <row r="19" spans="1:23" x14ac:dyDescent="0.25">
      <c r="A19" s="12"/>
      <c r="B19" s="7" t="s">
        <v>16</v>
      </c>
      <c r="C19" s="7">
        <v>19</v>
      </c>
      <c r="D19" s="7">
        <v>9.5</v>
      </c>
      <c r="E19" s="7">
        <v>6</v>
      </c>
      <c r="F19" s="7">
        <v>3</v>
      </c>
      <c r="G19" s="7">
        <v>0.5</v>
      </c>
      <c r="H19" s="7">
        <v>39.299999999999997</v>
      </c>
      <c r="I19" s="7">
        <v>36.4</v>
      </c>
      <c r="J19" s="7">
        <v>35</v>
      </c>
      <c r="K19" s="7">
        <v>0.44</v>
      </c>
      <c r="L19" s="7">
        <v>0.5</v>
      </c>
      <c r="M19" s="7">
        <v>0.28000000000000003</v>
      </c>
      <c r="N19" s="7">
        <v>3.8933333333333333E-3</v>
      </c>
      <c r="O19" s="7">
        <v>1.9400000000000001E-3</v>
      </c>
      <c r="P19" s="7">
        <v>7.1733333333333336E-3</v>
      </c>
      <c r="Q19" s="7">
        <v>4.6945198000000006E-4</v>
      </c>
      <c r="R19">
        <f t="shared" si="0"/>
        <v>0.24198555670103095</v>
      </c>
      <c r="S19">
        <f t="shared" si="1"/>
        <v>0.2704460966542751</v>
      </c>
      <c r="T19">
        <f t="shared" si="2"/>
        <v>36.9</v>
      </c>
      <c r="U19">
        <f t="shared" si="3"/>
        <v>0.40666666666666668</v>
      </c>
      <c r="V19">
        <f t="shared" si="4"/>
        <v>1.3144655440000002E-5</v>
      </c>
      <c r="W19">
        <f t="shared" si="5"/>
        <v>147.58850156668692</v>
      </c>
    </row>
    <row r="20" spans="1:23" x14ac:dyDescent="0.25">
      <c r="A20" s="12"/>
      <c r="B20" s="8" t="s">
        <v>71</v>
      </c>
      <c r="C20" s="8">
        <v>8</v>
      </c>
      <c r="D20" s="8"/>
      <c r="E20" s="8"/>
      <c r="F20" s="8">
        <v>1</v>
      </c>
      <c r="G20" s="8">
        <v>7.0000000000000007E-2</v>
      </c>
      <c r="H20" s="8">
        <v>17.5</v>
      </c>
      <c r="I20" s="8">
        <v>28.8</v>
      </c>
      <c r="J20" s="8">
        <v>29.2</v>
      </c>
      <c r="K20" s="8">
        <v>0.28000000000000003</v>
      </c>
      <c r="L20" s="8">
        <v>0.4</v>
      </c>
      <c r="M20" s="8">
        <v>0.17</v>
      </c>
      <c r="N20" s="8">
        <v>3.8699999999999998E-2</v>
      </c>
      <c r="O20" s="8">
        <v>9.4500000000000001E-3</v>
      </c>
      <c r="P20" s="8">
        <v>5.6849999999999998E-2</v>
      </c>
      <c r="Q20" s="8">
        <v>3.5150000000000001</v>
      </c>
      <c r="R20">
        <f t="shared" si="0"/>
        <v>371.95767195767195</v>
      </c>
      <c r="S20">
        <f t="shared" si="1"/>
        <v>0.16622691292875991</v>
      </c>
      <c r="T20">
        <f t="shared" si="2"/>
        <v>25.166666666666668</v>
      </c>
      <c r="U20">
        <f t="shared" si="3"/>
        <v>0.28333333333333338</v>
      </c>
      <c r="V20">
        <f t="shared" si="4"/>
        <v>5.9755000000000003E-2</v>
      </c>
      <c r="W20">
        <f t="shared" si="5"/>
        <v>0.15814576186093213</v>
      </c>
    </row>
    <row r="21" spans="1:23" x14ac:dyDescent="0.25">
      <c r="A21" s="12"/>
      <c r="B21" s="5" t="s">
        <v>130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>
        <v>1.124E-2</v>
      </c>
      <c r="O21" s="5">
        <v>1.99E-3</v>
      </c>
      <c r="P21" s="5">
        <v>1.7989999999999999E-2</v>
      </c>
      <c r="Q21" s="5">
        <v>0.36299999999999999</v>
      </c>
      <c r="R21">
        <f t="shared" si="0"/>
        <v>182.41206030150752</v>
      </c>
      <c r="S21">
        <f t="shared" si="1"/>
        <v>0.11061700944969428</v>
      </c>
      <c r="T21" s="22" t="e">
        <f t="shared" si="2"/>
        <v>#DIV/0!</v>
      </c>
      <c r="U21" s="22" t="e">
        <f t="shared" si="3"/>
        <v>#DIV/0!</v>
      </c>
      <c r="V21">
        <f t="shared" si="4"/>
        <v>0</v>
      </c>
      <c r="W21" t="e">
        <f t="shared" si="5"/>
        <v>#DIV/0!</v>
      </c>
    </row>
    <row r="22" spans="1:23" x14ac:dyDescent="0.25">
      <c r="A22" s="12"/>
      <c r="B22" s="6" t="s">
        <v>17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>
        <v>1.83E-2</v>
      </c>
      <c r="O22" s="6">
        <v>8.5599999999999999E-3</v>
      </c>
      <c r="P22" s="6">
        <v>2.162E-2</v>
      </c>
      <c r="Q22" s="6">
        <v>1.5659999999999998</v>
      </c>
      <c r="R22">
        <f t="shared" si="0"/>
        <v>182.94392523364485</v>
      </c>
      <c r="S22">
        <f t="shared" si="1"/>
        <v>0.39592969472710454</v>
      </c>
      <c r="T22" s="22" t="e">
        <f t="shared" si="2"/>
        <v>#DIV/0!</v>
      </c>
      <c r="U22" s="22" t="e">
        <f t="shared" si="3"/>
        <v>#DIV/0!</v>
      </c>
      <c r="V22">
        <f t="shared" si="4"/>
        <v>0</v>
      </c>
      <c r="W22" t="e">
        <f t="shared" si="5"/>
        <v>#DIV/0!</v>
      </c>
    </row>
    <row r="23" spans="1:23" x14ac:dyDescent="0.25">
      <c r="A23" s="12"/>
      <c r="B23" s="8" t="s">
        <v>15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>
        <v>1.6414999999999999E-2</v>
      </c>
      <c r="O23" s="8">
        <v>1.555E-3</v>
      </c>
      <c r="P23" s="8">
        <v>2.2225000000000002E-2</v>
      </c>
      <c r="Q23" s="8">
        <v>1.282114438E-2</v>
      </c>
      <c r="R23">
        <f t="shared" si="0"/>
        <v>8.2451089260450168</v>
      </c>
      <c r="S23">
        <f t="shared" si="1"/>
        <v>6.9966254218222709E-2</v>
      </c>
      <c r="T23" s="22" t="e">
        <f t="shared" si="2"/>
        <v>#DIV/0!</v>
      </c>
      <c r="U23" s="22" t="e">
        <f t="shared" si="3"/>
        <v>#DIV/0!</v>
      </c>
      <c r="V23">
        <f t="shared" si="4"/>
        <v>0</v>
      </c>
      <c r="W23" t="e">
        <f t="shared" si="5"/>
        <v>#DIV/0!</v>
      </c>
    </row>
    <row r="24" spans="1:23" x14ac:dyDescent="0.25">
      <c r="A24" s="12" t="s">
        <v>79</v>
      </c>
      <c r="B24" s="5" t="s">
        <v>17</v>
      </c>
      <c r="C24" s="5">
        <v>26</v>
      </c>
      <c r="D24" s="5">
        <v>18</v>
      </c>
      <c r="E24" s="5">
        <v>13</v>
      </c>
      <c r="F24" s="5">
        <v>169</v>
      </c>
      <c r="G24" s="5">
        <v>60.88</v>
      </c>
      <c r="H24" s="5">
        <v>49.7</v>
      </c>
      <c r="I24" s="5">
        <v>47.2</v>
      </c>
      <c r="J24" s="5">
        <v>41.6</v>
      </c>
      <c r="K24" s="5">
        <v>0.12</v>
      </c>
      <c r="L24" s="5">
        <v>0.13</v>
      </c>
      <c r="M24" s="5">
        <v>0.09</v>
      </c>
      <c r="N24" s="5">
        <v>1.9810000000000001E-2</v>
      </c>
      <c r="O24" s="5">
        <v>8.5699999999999995E-3</v>
      </c>
      <c r="P24" s="5">
        <v>2.6409999999999999E-2</v>
      </c>
      <c r="Q24" s="5">
        <v>1.4530000000000001</v>
      </c>
      <c r="R24">
        <f t="shared" si="0"/>
        <v>169.54492415402569</v>
      </c>
      <c r="S24">
        <f t="shared" si="1"/>
        <v>0.32449829609996211</v>
      </c>
      <c r="T24">
        <f t="shared" si="2"/>
        <v>46.166666666666664</v>
      </c>
      <c r="U24">
        <f t="shared" si="3"/>
        <v>0.11333333333333333</v>
      </c>
      <c r="V24">
        <f t="shared" si="4"/>
        <v>1.3077E-2</v>
      </c>
      <c r="W24">
        <f t="shared" si="5"/>
        <v>0.65534908618184595</v>
      </c>
    </row>
    <row r="25" spans="1:23" x14ac:dyDescent="0.25">
      <c r="A25" s="12"/>
      <c r="B25" s="3" t="s">
        <v>15</v>
      </c>
      <c r="C25" s="3">
        <v>24.3</v>
      </c>
      <c r="D25" s="3">
        <v>17</v>
      </c>
      <c r="E25" s="3">
        <v>11</v>
      </c>
      <c r="F25" s="3">
        <v>955</v>
      </c>
      <c r="G25" s="3">
        <v>85.94</v>
      </c>
      <c r="H25" s="3">
        <v>16.100000000000001</v>
      </c>
      <c r="I25" s="3">
        <v>27.1</v>
      </c>
      <c r="J25" s="3">
        <v>29.8</v>
      </c>
      <c r="K25" s="3">
        <v>0.46</v>
      </c>
      <c r="L25" s="3">
        <v>0.32</v>
      </c>
      <c r="M25" s="3">
        <v>0.11</v>
      </c>
      <c r="N25" s="3">
        <v>1.0784999999999999E-2</v>
      </c>
      <c r="O25" s="3">
        <v>1.155E-3</v>
      </c>
      <c r="P25" s="3">
        <v>1.6764999999999999E-2</v>
      </c>
      <c r="Q25" s="3">
        <v>8.4385113600000013E-3</v>
      </c>
      <c r="R25">
        <f t="shared" si="0"/>
        <v>7.3060704415584423</v>
      </c>
      <c r="S25">
        <f t="shared" si="1"/>
        <v>6.889352818371608E-2</v>
      </c>
      <c r="T25">
        <f t="shared" si="2"/>
        <v>24.333333333333332</v>
      </c>
      <c r="U25">
        <f t="shared" si="3"/>
        <v>0.29666666666666669</v>
      </c>
      <c r="V25">
        <f t="shared" si="4"/>
        <v>9.2823624960000013E-5</v>
      </c>
      <c r="W25">
        <f t="shared" si="5"/>
        <v>12.442952971269092</v>
      </c>
    </row>
    <row r="26" spans="1:23" x14ac:dyDescent="0.25">
      <c r="A26" s="12" t="s">
        <v>80</v>
      </c>
      <c r="B26" s="5" t="s">
        <v>17</v>
      </c>
      <c r="C26" s="5">
        <v>24</v>
      </c>
      <c r="D26" s="5">
        <v>15</v>
      </c>
      <c r="E26" s="5">
        <v>25.5</v>
      </c>
      <c r="F26" s="5">
        <v>181</v>
      </c>
      <c r="G26" s="5">
        <v>81.099999999999994</v>
      </c>
      <c r="H26" s="5">
        <v>48.2</v>
      </c>
      <c r="I26" s="5">
        <v>39.5</v>
      </c>
      <c r="J26" s="5">
        <v>53.1</v>
      </c>
      <c r="K26" s="5">
        <v>0.12</v>
      </c>
      <c r="L26" s="5">
        <v>0.1</v>
      </c>
      <c r="M26" s="5">
        <v>0.12</v>
      </c>
      <c r="N26" s="5">
        <v>3.1059999999999997E-2</v>
      </c>
      <c r="O26" s="5">
        <v>1.4099999999999998E-2</v>
      </c>
      <c r="P26" s="5">
        <v>3.6559999999999995E-2</v>
      </c>
      <c r="Q26" s="5">
        <v>2.6560000000000001</v>
      </c>
      <c r="R26">
        <f t="shared" si="0"/>
        <v>188.36879432624116</v>
      </c>
      <c r="S26">
        <f t="shared" si="1"/>
        <v>0.38566739606126915</v>
      </c>
      <c r="T26">
        <f t="shared" si="2"/>
        <v>46.933333333333337</v>
      </c>
      <c r="U26">
        <f t="shared" si="3"/>
        <v>0.11333333333333333</v>
      </c>
      <c r="V26">
        <f t="shared" si="4"/>
        <v>3.1871999999999998E-2</v>
      </c>
      <c r="W26">
        <f t="shared" si="5"/>
        <v>0.44239457831325296</v>
      </c>
    </row>
    <row r="27" spans="1:23" x14ac:dyDescent="0.25">
      <c r="A27" s="12"/>
      <c r="B27" s="6" t="s">
        <v>70</v>
      </c>
      <c r="C27" s="6">
        <v>26</v>
      </c>
      <c r="D27" s="6">
        <v>22</v>
      </c>
      <c r="E27" s="6">
        <v>30</v>
      </c>
      <c r="F27" s="6">
        <v>33</v>
      </c>
      <c r="G27" s="6">
        <v>11.74</v>
      </c>
      <c r="H27" s="6">
        <v>53.7</v>
      </c>
      <c r="I27" s="6">
        <v>62.9</v>
      </c>
      <c r="J27" s="6">
        <v>61.4</v>
      </c>
      <c r="K27" s="6">
        <v>0.22</v>
      </c>
      <c r="L27" s="6">
        <v>0.16</v>
      </c>
      <c r="M27" s="6">
        <v>0.09</v>
      </c>
      <c r="N27" s="6">
        <v>6.4399999999999999E-2</v>
      </c>
      <c r="O27" s="6">
        <v>3.0259999999999999E-2</v>
      </c>
      <c r="P27" s="6">
        <v>0.10078000000000001</v>
      </c>
      <c r="Q27" s="6">
        <v>2.1594879000000002E-3</v>
      </c>
      <c r="R27">
        <f t="shared" si="0"/>
        <v>7.1364438202247193E-2</v>
      </c>
      <c r="S27">
        <f t="shared" si="1"/>
        <v>0.3002579876959714</v>
      </c>
      <c r="T27">
        <f t="shared" si="2"/>
        <v>59.333333333333336</v>
      </c>
      <c r="U27">
        <f t="shared" si="3"/>
        <v>0.15666666666666665</v>
      </c>
      <c r="V27">
        <f t="shared" si="4"/>
        <v>1.9435391100000001E-5</v>
      </c>
      <c r="W27">
        <f t="shared" si="5"/>
        <v>1556.9534898631393</v>
      </c>
    </row>
    <row r="28" spans="1:23" x14ac:dyDescent="0.25">
      <c r="A28" s="12"/>
      <c r="B28" s="7" t="s">
        <v>15</v>
      </c>
      <c r="C28" s="7">
        <v>26.5</v>
      </c>
      <c r="D28" s="7">
        <v>21</v>
      </c>
      <c r="E28" s="7">
        <v>10</v>
      </c>
      <c r="F28" s="7">
        <v>536</v>
      </c>
      <c r="G28" s="7">
        <v>62</v>
      </c>
      <c r="H28" s="7">
        <v>23.1</v>
      </c>
      <c r="I28" s="7">
        <v>19.3</v>
      </c>
      <c r="J28" s="7">
        <v>17.399999999999999</v>
      </c>
      <c r="K28" s="7">
        <v>0.24</v>
      </c>
      <c r="L28" s="7">
        <v>0.41</v>
      </c>
      <c r="M28" s="7">
        <v>0.16</v>
      </c>
      <c r="N28" s="7">
        <v>9.7800000000000005E-3</v>
      </c>
      <c r="O28" s="7">
        <v>1.2999999999999999E-3</v>
      </c>
      <c r="P28" s="7">
        <v>1.6664999999999999E-2</v>
      </c>
      <c r="Q28" s="7">
        <v>6.6188845000000008E-3</v>
      </c>
      <c r="R28">
        <f t="shared" si="0"/>
        <v>5.091449615384616</v>
      </c>
      <c r="S28">
        <f t="shared" si="1"/>
        <v>7.8007800780078004E-2</v>
      </c>
      <c r="T28">
        <f t="shared" si="2"/>
        <v>19.933333333333334</v>
      </c>
      <c r="U28">
        <f t="shared" si="3"/>
        <v>0.26999999999999996</v>
      </c>
      <c r="V28">
        <f t="shared" si="4"/>
        <v>1.0590215200000002E-4</v>
      </c>
      <c r="W28">
        <f t="shared" si="5"/>
        <v>12.275482371689668</v>
      </c>
    </row>
    <row r="29" spans="1:23" x14ac:dyDescent="0.25">
      <c r="A29" s="12" t="s">
        <v>81</v>
      </c>
      <c r="B29" s="5" t="s">
        <v>17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>
        <v>2.4460000000000003E-2</v>
      </c>
      <c r="O29" s="5">
        <v>8.9300000000000004E-3</v>
      </c>
      <c r="P29" s="5">
        <v>2.7600000000000003E-2</v>
      </c>
      <c r="Q29" s="5">
        <v>1.8680000000000001</v>
      </c>
      <c r="R29">
        <f t="shared" si="0"/>
        <v>209.18253079507278</v>
      </c>
      <c r="S29">
        <f t="shared" si="1"/>
        <v>0.32355072463768114</v>
      </c>
      <c r="T29" s="22" t="e">
        <f t="shared" si="2"/>
        <v>#DIV/0!</v>
      </c>
      <c r="U29" s="22" t="e">
        <f t="shared" si="3"/>
        <v>#DIV/0!</v>
      </c>
      <c r="V29">
        <f t="shared" si="4"/>
        <v>0</v>
      </c>
      <c r="W29" t="e">
        <f t="shared" si="5"/>
        <v>#DIV/0!</v>
      </c>
    </row>
    <row r="30" spans="1:23" x14ac:dyDescent="0.25">
      <c r="A30" s="12"/>
      <c r="B30" s="6" t="s">
        <v>129</v>
      </c>
      <c r="C30" s="6">
        <v>14</v>
      </c>
      <c r="D30" s="6">
        <v>16</v>
      </c>
      <c r="E30" s="6">
        <v>8</v>
      </c>
      <c r="F30" s="6">
        <v>41</v>
      </c>
      <c r="G30" s="6">
        <v>4.91</v>
      </c>
      <c r="H30" s="6">
        <v>59.5</v>
      </c>
      <c r="I30" s="6">
        <v>31.2</v>
      </c>
      <c r="J30" s="6">
        <v>37.4</v>
      </c>
      <c r="K30" s="6">
        <v>0.23</v>
      </c>
      <c r="L30" s="6">
        <v>0.11</v>
      </c>
      <c r="M30" s="6">
        <v>0.13</v>
      </c>
      <c r="N30" s="6">
        <v>3.5499999999999998E-3</v>
      </c>
      <c r="O30" s="6">
        <v>8.5999999999999998E-4</v>
      </c>
      <c r="P30" s="6">
        <v>7.6600000000000001E-3</v>
      </c>
      <c r="Q30" s="6">
        <v>0.3075</v>
      </c>
      <c r="R30">
        <f t="shared" si="0"/>
        <v>357.55813953488371</v>
      </c>
      <c r="S30">
        <f t="shared" si="1"/>
        <v>0.11227154046997388</v>
      </c>
      <c r="T30">
        <f t="shared" si="2"/>
        <v>42.699999999999996</v>
      </c>
      <c r="U30">
        <f t="shared" si="3"/>
        <v>0.15666666666666668</v>
      </c>
      <c r="V30">
        <f t="shared" si="4"/>
        <v>3.9975000000000002E-3</v>
      </c>
      <c r="W30">
        <f t="shared" si="5"/>
        <v>0.21513445903689804</v>
      </c>
    </row>
    <row r="31" spans="1:23" x14ac:dyDescent="0.25">
      <c r="A31" s="12"/>
      <c r="B31" s="7" t="s">
        <v>82</v>
      </c>
      <c r="C31" s="7">
        <v>28</v>
      </c>
      <c r="D31" s="7">
        <v>17.5</v>
      </c>
      <c r="E31" s="7">
        <v>16</v>
      </c>
      <c r="F31" s="7">
        <v>21</v>
      </c>
      <c r="G31" s="7">
        <v>3.04</v>
      </c>
      <c r="H31" s="7">
        <v>17.600000000000001</v>
      </c>
      <c r="I31" s="7">
        <v>28.5</v>
      </c>
      <c r="J31" s="7">
        <v>29</v>
      </c>
      <c r="K31" s="7">
        <v>0.18</v>
      </c>
      <c r="L31" s="7">
        <v>7.0000000000000007E-2</v>
      </c>
      <c r="M31" s="7">
        <v>0.25</v>
      </c>
      <c r="N31" s="7">
        <v>5.9199999999999999E-3</v>
      </c>
      <c r="O31" s="7">
        <v>1.142E-2</v>
      </c>
      <c r="P31" s="7">
        <v>8.3499999999999991E-2</v>
      </c>
      <c r="Q31" s="7">
        <v>3.4939999999999998</v>
      </c>
      <c r="R31">
        <f t="shared" si="0"/>
        <v>305.95446584938702</v>
      </c>
      <c r="S31">
        <f t="shared" si="1"/>
        <v>0.13676646706586829</v>
      </c>
      <c r="T31">
        <f t="shared" si="2"/>
        <v>25.033333333333331</v>
      </c>
      <c r="U31">
        <f t="shared" si="3"/>
        <v>0.16666666666666666</v>
      </c>
      <c r="V31">
        <f t="shared" si="4"/>
        <v>8.7349999999999997E-2</v>
      </c>
      <c r="W31">
        <f t="shared" si="5"/>
        <v>0.13073840870062964</v>
      </c>
    </row>
    <row r="32" spans="1:23" x14ac:dyDescent="0.25">
      <c r="A32" s="12"/>
      <c r="B32" s="8" t="s">
        <v>73</v>
      </c>
      <c r="C32" s="8">
        <v>41</v>
      </c>
      <c r="D32" s="8">
        <v>33</v>
      </c>
      <c r="E32" s="8">
        <v>19.5</v>
      </c>
      <c r="F32" s="8">
        <v>212</v>
      </c>
      <c r="G32" s="8">
        <v>41.58</v>
      </c>
      <c r="H32" s="8">
        <v>37</v>
      </c>
      <c r="I32" s="8">
        <v>32.6</v>
      </c>
      <c r="J32" s="8">
        <v>39.6</v>
      </c>
      <c r="K32" s="8">
        <v>0.12</v>
      </c>
      <c r="L32" s="8">
        <v>0.11</v>
      </c>
      <c r="M32" s="8">
        <v>0.11</v>
      </c>
      <c r="N32" s="8">
        <v>2.8820000000000002E-2</v>
      </c>
      <c r="O32" s="8">
        <v>8.6599999999999993E-3</v>
      </c>
      <c r="P32" s="8">
        <v>4.7140000000000001E-2</v>
      </c>
      <c r="Q32" s="8">
        <v>3.016</v>
      </c>
      <c r="R32">
        <f t="shared" si="0"/>
        <v>348.26789838337186</v>
      </c>
      <c r="S32">
        <f t="shared" si="1"/>
        <v>0.18370810352142553</v>
      </c>
      <c r="T32">
        <f t="shared" si="2"/>
        <v>36.4</v>
      </c>
      <c r="U32">
        <f t="shared" si="3"/>
        <v>0.11333333333333333</v>
      </c>
      <c r="V32">
        <f t="shared" si="4"/>
        <v>3.3175999999999997E-2</v>
      </c>
      <c r="W32">
        <f t="shared" si="5"/>
        <v>0.26103207137689899</v>
      </c>
    </row>
    <row r="33" spans="1:23" x14ac:dyDescent="0.25">
      <c r="A33" s="12" t="s">
        <v>83</v>
      </c>
      <c r="B33" s="5" t="s">
        <v>70</v>
      </c>
      <c r="C33" s="5">
        <v>17</v>
      </c>
      <c r="D33" s="5">
        <v>8</v>
      </c>
      <c r="E33" s="5">
        <v>15</v>
      </c>
      <c r="F33" s="5">
        <v>223</v>
      </c>
      <c r="G33" s="5">
        <v>24.69</v>
      </c>
      <c r="H33" s="5">
        <v>43.8</v>
      </c>
      <c r="I33" s="5">
        <v>32.4</v>
      </c>
      <c r="J33" s="5">
        <v>48.9</v>
      </c>
      <c r="K33" s="5">
        <v>0.13</v>
      </c>
      <c r="L33" s="5">
        <v>0.19</v>
      </c>
      <c r="M33" s="5">
        <v>0.13</v>
      </c>
      <c r="N33" s="5">
        <v>4.9059999999999999E-2</v>
      </c>
      <c r="O33" s="5">
        <v>1.5800000000000002E-2</v>
      </c>
      <c r="P33" s="5">
        <v>6.4920000000000005E-2</v>
      </c>
      <c r="Q33" s="5">
        <v>3.47</v>
      </c>
      <c r="R33">
        <f t="shared" si="0"/>
        <v>219.62025316455694</v>
      </c>
      <c r="S33">
        <f t="shared" si="1"/>
        <v>0.24337646333949475</v>
      </c>
      <c r="T33">
        <f t="shared" si="2"/>
        <v>41.699999999999996</v>
      </c>
      <c r="U33">
        <f t="shared" si="3"/>
        <v>0.15</v>
      </c>
      <c r="V33">
        <f t="shared" si="4"/>
        <v>4.5110000000000004E-2</v>
      </c>
      <c r="W33">
        <f t="shared" si="5"/>
        <v>0.35025493238749722</v>
      </c>
    </row>
    <row r="34" spans="1:23" x14ac:dyDescent="0.25">
      <c r="A34" s="12"/>
      <c r="B34" s="6" t="s">
        <v>71</v>
      </c>
      <c r="C34" s="6">
        <v>9</v>
      </c>
      <c r="D34" s="6">
        <v>6.5</v>
      </c>
      <c r="E34" s="6">
        <v>5</v>
      </c>
      <c r="F34" s="6">
        <v>56</v>
      </c>
      <c r="G34" s="6">
        <v>7.12</v>
      </c>
      <c r="H34" s="6">
        <v>38.9</v>
      </c>
      <c r="I34" s="6">
        <v>40.5</v>
      </c>
      <c r="J34" s="6">
        <v>40.200000000000003</v>
      </c>
      <c r="K34" s="6">
        <v>0.18</v>
      </c>
      <c r="L34" s="6">
        <v>0.14000000000000001</v>
      </c>
      <c r="M34" s="6">
        <v>0.16</v>
      </c>
      <c r="N34" s="6">
        <v>0.13782</v>
      </c>
      <c r="O34" s="6">
        <v>2.1999999999999999E-2</v>
      </c>
      <c r="P34" s="6">
        <v>1.252E-2</v>
      </c>
      <c r="Q34" s="6">
        <v>6.4820000000000002</v>
      </c>
      <c r="R34">
        <f t="shared" si="0"/>
        <v>294.63636363636368</v>
      </c>
      <c r="S34">
        <f t="shared" si="1"/>
        <v>1.7571884984025559</v>
      </c>
      <c r="T34">
        <f t="shared" si="2"/>
        <v>39.866666666666667</v>
      </c>
      <c r="U34">
        <f t="shared" si="3"/>
        <v>0.16</v>
      </c>
      <c r="V34">
        <f t="shared" si="4"/>
        <v>0.103712</v>
      </c>
      <c r="W34">
        <f t="shared" si="5"/>
        <v>0.21212588707189139</v>
      </c>
    </row>
    <row r="35" spans="1:23" x14ac:dyDescent="0.25">
      <c r="A35" s="12"/>
      <c r="B35" s="7" t="s">
        <v>17</v>
      </c>
      <c r="C35" s="7">
        <v>20</v>
      </c>
      <c r="D35" s="7">
        <v>24</v>
      </c>
      <c r="E35" s="7">
        <v>12.5</v>
      </c>
      <c r="F35" s="7">
        <v>16</v>
      </c>
      <c r="G35" s="7">
        <v>4.93</v>
      </c>
      <c r="H35" s="7">
        <v>48</v>
      </c>
      <c r="I35" s="7">
        <v>48.1</v>
      </c>
      <c r="J35" s="7">
        <v>50.2</v>
      </c>
      <c r="K35" s="7">
        <v>0.09</v>
      </c>
      <c r="L35" s="7">
        <v>0.11</v>
      </c>
      <c r="M35" s="7">
        <v>0.13</v>
      </c>
      <c r="N35" s="7">
        <v>1.7520000000000001E-2</v>
      </c>
      <c r="O35" s="7">
        <v>8.0400000000000003E-3</v>
      </c>
      <c r="P35" s="7">
        <v>1.9200000000000002E-2</v>
      </c>
      <c r="Q35" s="7">
        <v>1.452</v>
      </c>
      <c r="R35">
        <f t="shared" si="0"/>
        <v>180.59701492537312</v>
      </c>
      <c r="S35">
        <f t="shared" si="1"/>
        <v>0.41874999999999996</v>
      </c>
      <c r="T35">
        <f t="shared" si="2"/>
        <v>48.766666666666673</v>
      </c>
      <c r="U35">
        <f t="shared" si="3"/>
        <v>0.11</v>
      </c>
      <c r="V35">
        <f t="shared" si="4"/>
        <v>1.8876E-2</v>
      </c>
      <c r="W35">
        <f t="shared" si="5"/>
        <v>0.42593769866497139</v>
      </c>
    </row>
    <row r="36" spans="1:23" x14ac:dyDescent="0.25">
      <c r="A36" s="12"/>
      <c r="B36" s="8" t="s">
        <v>75</v>
      </c>
      <c r="C36" s="8">
        <v>6</v>
      </c>
      <c r="D36" s="8">
        <v>4</v>
      </c>
      <c r="E36" s="8">
        <v>3</v>
      </c>
      <c r="F36" s="8">
        <v>3</v>
      </c>
      <c r="G36" s="8">
        <v>0.82</v>
      </c>
      <c r="H36" s="8">
        <v>48.8</v>
      </c>
      <c r="I36" s="8">
        <v>54.1</v>
      </c>
      <c r="J36" s="8">
        <v>51.7</v>
      </c>
      <c r="K36" s="8">
        <v>0.14000000000000001</v>
      </c>
      <c r="L36" s="8">
        <v>0.2</v>
      </c>
      <c r="M36" s="8">
        <v>0.09</v>
      </c>
      <c r="N36" s="8">
        <v>2.988E-2</v>
      </c>
      <c r="O36" s="8">
        <v>4.5799999999999999E-3</v>
      </c>
      <c r="P36" s="8">
        <v>2.1740000000000002E-2</v>
      </c>
      <c r="Q36" s="8">
        <v>1.744</v>
      </c>
      <c r="R36">
        <f t="shared" si="0"/>
        <v>380.78602620087338</v>
      </c>
      <c r="S36">
        <f t="shared" si="1"/>
        <v>0.21067157313707449</v>
      </c>
      <c r="T36">
        <f t="shared" si="2"/>
        <v>51.533333333333339</v>
      </c>
      <c r="U36">
        <f t="shared" si="3"/>
        <v>0.14333333333333334</v>
      </c>
      <c r="V36">
        <f t="shared" si="4"/>
        <v>1.5695999999999998E-2</v>
      </c>
      <c r="W36">
        <f t="shared" si="5"/>
        <v>0.29179408766564735</v>
      </c>
    </row>
    <row r="37" spans="1:23" x14ac:dyDescent="0.25">
      <c r="A37" s="12"/>
      <c r="B37" s="5" t="s">
        <v>35</v>
      </c>
      <c r="C37" s="5">
        <v>12.5</v>
      </c>
      <c r="D37" s="5">
        <v>13</v>
      </c>
      <c r="E37" s="5">
        <v>13</v>
      </c>
      <c r="F37" s="5">
        <v>15</v>
      </c>
      <c r="G37" s="5">
        <v>4.2699999999999996</v>
      </c>
      <c r="H37" s="5">
        <v>43.9</v>
      </c>
      <c r="I37" s="5">
        <v>41.8</v>
      </c>
      <c r="J37" s="5">
        <v>41.4</v>
      </c>
      <c r="K37" s="5">
        <v>0.12</v>
      </c>
      <c r="L37" s="5">
        <v>0.09</v>
      </c>
      <c r="M37" s="5">
        <v>0.12</v>
      </c>
      <c r="N37" s="5">
        <v>5.3533333333333332E-3</v>
      </c>
      <c r="O37" s="5">
        <v>1.2466666666666668E-3</v>
      </c>
      <c r="P37" s="5">
        <v>8.9733333333333332E-3</v>
      </c>
      <c r="Q37" s="5">
        <v>0.60799999999999998</v>
      </c>
      <c r="R37">
        <f t="shared" si="0"/>
        <v>487.70053475935822</v>
      </c>
      <c r="S37">
        <f t="shared" si="1"/>
        <v>0.13893016344725112</v>
      </c>
      <c r="T37">
        <f t="shared" si="2"/>
        <v>42.366666666666667</v>
      </c>
      <c r="U37">
        <f t="shared" si="3"/>
        <v>0.10999999999999999</v>
      </c>
      <c r="V37">
        <f t="shared" si="4"/>
        <v>7.2959999999999995E-3</v>
      </c>
      <c r="W37">
        <f t="shared" si="5"/>
        <v>0.1708698830409357</v>
      </c>
    </row>
    <row r="38" spans="1:23" x14ac:dyDescent="0.25">
      <c r="A38" s="12"/>
      <c r="B38" s="3" t="s">
        <v>15</v>
      </c>
      <c r="C38" s="3">
        <v>22</v>
      </c>
      <c r="D38" s="3">
        <v>16.5</v>
      </c>
      <c r="E38" s="3">
        <v>11</v>
      </c>
      <c r="F38" s="3">
        <v>552</v>
      </c>
      <c r="G38" s="3">
        <v>65.540000000000006</v>
      </c>
      <c r="H38" s="3">
        <v>15.4</v>
      </c>
      <c r="I38" s="3">
        <v>17.5</v>
      </c>
      <c r="J38" s="3">
        <v>12.1</v>
      </c>
      <c r="K38" s="3">
        <v>0.35</v>
      </c>
      <c r="L38" s="3">
        <v>0.75</v>
      </c>
      <c r="M38" s="3">
        <v>0.38</v>
      </c>
      <c r="N38" s="3">
        <v>8.9550000000000012E-3</v>
      </c>
      <c r="O38" s="3">
        <v>1.0500000000000002E-3</v>
      </c>
      <c r="P38" s="3">
        <v>1.898E-2</v>
      </c>
      <c r="Q38" s="3">
        <v>2.2982548620000008E-2</v>
      </c>
      <c r="R38">
        <f t="shared" si="0"/>
        <v>21.888141542857149</v>
      </c>
      <c r="S38">
        <f t="shared" si="1"/>
        <v>5.5321390937829298E-2</v>
      </c>
      <c r="T38">
        <f t="shared" si="2"/>
        <v>15</v>
      </c>
      <c r="U38">
        <f t="shared" si="3"/>
        <v>0.49333333333333335</v>
      </c>
      <c r="V38">
        <f t="shared" si="4"/>
        <v>8.7333684756000043E-4</v>
      </c>
      <c r="W38">
        <f t="shared" si="5"/>
        <v>1.2022852384318554</v>
      </c>
    </row>
    <row r="39" spans="1:23" x14ac:dyDescent="0.25">
      <c r="A39" s="12" t="s">
        <v>84</v>
      </c>
      <c r="B39" s="13" t="s">
        <v>17</v>
      </c>
      <c r="C39" s="13">
        <v>12</v>
      </c>
      <c r="D39" s="13">
        <v>11</v>
      </c>
      <c r="E39" s="13">
        <v>10</v>
      </c>
      <c r="F39" s="13">
        <v>105</v>
      </c>
      <c r="G39" s="13">
        <v>20.190000000000001</v>
      </c>
      <c r="H39" s="13">
        <v>36.1</v>
      </c>
      <c r="I39" s="13">
        <v>37.9</v>
      </c>
      <c r="J39" s="13">
        <v>38.1</v>
      </c>
      <c r="K39" s="13">
        <v>0.12</v>
      </c>
      <c r="L39" s="13">
        <v>0.13</v>
      </c>
      <c r="M39" s="13">
        <v>0.13</v>
      </c>
      <c r="N39" s="13">
        <v>1.882E-2</v>
      </c>
      <c r="O39" s="13">
        <v>8.6899999999999998E-3</v>
      </c>
      <c r="P39" s="13">
        <v>2.1740000000000002E-2</v>
      </c>
      <c r="Q39" s="13">
        <v>1.2919999999999998</v>
      </c>
      <c r="R39">
        <f t="shared" si="0"/>
        <v>148.67663981588029</v>
      </c>
      <c r="S39">
        <f t="shared" si="1"/>
        <v>0.39972401103955835</v>
      </c>
      <c r="T39">
        <f t="shared" si="2"/>
        <v>37.366666666666667</v>
      </c>
      <c r="U39">
        <f t="shared" si="3"/>
        <v>0.12666666666666668</v>
      </c>
      <c r="V39">
        <f t="shared" si="4"/>
        <v>1.6795999999999998E-2</v>
      </c>
      <c r="W39">
        <f t="shared" si="5"/>
        <v>0.51738509168849733</v>
      </c>
    </row>
    <row r="40" spans="1:23" x14ac:dyDescent="0.25">
      <c r="A40" s="12"/>
      <c r="B40" s="6" t="s">
        <v>71</v>
      </c>
      <c r="C40" s="6">
        <v>11.1</v>
      </c>
      <c r="D40" s="6">
        <v>7</v>
      </c>
      <c r="E40" s="6">
        <v>7</v>
      </c>
      <c r="F40" s="6">
        <v>36</v>
      </c>
      <c r="G40" s="6">
        <v>3.53</v>
      </c>
      <c r="H40" s="6">
        <v>41.6</v>
      </c>
      <c r="I40" s="6">
        <v>34</v>
      </c>
      <c r="J40" s="6">
        <v>49.5</v>
      </c>
      <c r="K40" s="6">
        <v>0.14000000000000001</v>
      </c>
      <c r="L40" s="6">
        <v>0.17</v>
      </c>
      <c r="M40" s="6">
        <v>0.13</v>
      </c>
      <c r="N40" s="6">
        <v>0.10666</v>
      </c>
      <c r="O40" s="6">
        <v>1.4799999999999999E-2</v>
      </c>
      <c r="P40" s="6">
        <v>0.1651</v>
      </c>
      <c r="Q40" s="6">
        <v>3.9039999999999999</v>
      </c>
      <c r="R40">
        <f t="shared" si="0"/>
        <v>263.7837837837838</v>
      </c>
      <c r="S40">
        <f t="shared" si="1"/>
        <v>8.964264082374318E-2</v>
      </c>
      <c r="T40">
        <f t="shared" si="2"/>
        <v>41.699999999999996</v>
      </c>
      <c r="U40">
        <f t="shared" si="3"/>
        <v>0.1466666666666667</v>
      </c>
      <c r="V40">
        <f t="shared" si="4"/>
        <v>5.0751999999999999E-2</v>
      </c>
      <c r="W40">
        <f t="shared" si="5"/>
        <v>0.2916141235813367</v>
      </c>
    </row>
    <row r="41" spans="1:23" x14ac:dyDescent="0.25">
      <c r="A41" s="12"/>
      <c r="B41" s="7" t="s">
        <v>70</v>
      </c>
      <c r="C41" s="7">
        <v>18.5</v>
      </c>
      <c r="D41" s="7">
        <v>20</v>
      </c>
      <c r="E41" s="7">
        <v>12</v>
      </c>
      <c r="F41" s="7">
        <v>107</v>
      </c>
      <c r="G41" s="7">
        <v>14.23</v>
      </c>
      <c r="H41" s="7">
        <v>48.6</v>
      </c>
      <c r="I41" s="7">
        <v>35.700000000000003</v>
      </c>
      <c r="J41" s="7">
        <v>42.3</v>
      </c>
      <c r="K41" s="7">
        <v>0.13</v>
      </c>
      <c r="L41" s="7">
        <v>0.19</v>
      </c>
      <c r="M41" s="7">
        <v>0.16</v>
      </c>
      <c r="N41" s="7">
        <v>9.7799999999999998E-2</v>
      </c>
      <c r="O41" s="7">
        <v>3.7080000000000002E-2</v>
      </c>
      <c r="P41" s="7">
        <v>0.13474</v>
      </c>
      <c r="Q41" s="7">
        <v>2.3473069999999999E-3</v>
      </c>
      <c r="R41">
        <f t="shared" si="0"/>
        <v>6.3303856526429336E-2</v>
      </c>
      <c r="S41">
        <f t="shared" si="1"/>
        <v>0.27519667507792789</v>
      </c>
      <c r="T41">
        <f t="shared" si="2"/>
        <v>42.2</v>
      </c>
      <c r="U41">
        <f t="shared" si="3"/>
        <v>0.16</v>
      </c>
      <c r="V41">
        <f t="shared" si="4"/>
        <v>3.7556911999999999E-5</v>
      </c>
      <c r="W41">
        <f t="shared" si="5"/>
        <v>987.30161840781807</v>
      </c>
    </row>
    <row r="42" spans="1:23" x14ac:dyDescent="0.25">
      <c r="A42" s="12"/>
      <c r="B42" s="8" t="s">
        <v>15</v>
      </c>
      <c r="C42" s="8">
        <v>17.5</v>
      </c>
      <c r="D42" s="8">
        <v>16</v>
      </c>
      <c r="E42" s="8">
        <v>5.5</v>
      </c>
      <c r="F42" s="8">
        <v>437</v>
      </c>
      <c r="G42" s="8">
        <v>32.04</v>
      </c>
      <c r="H42" s="8">
        <v>15</v>
      </c>
      <c r="I42" s="8">
        <v>21.9</v>
      </c>
      <c r="J42" s="8">
        <v>17</v>
      </c>
      <c r="K42" s="8">
        <v>0.65</v>
      </c>
      <c r="L42" s="8">
        <v>0.67</v>
      </c>
      <c r="M42" s="8">
        <v>0.88</v>
      </c>
      <c r="N42" s="8">
        <v>1.3000000000000001E-2</v>
      </c>
      <c r="O42" s="8">
        <v>1.6099999999999999E-3</v>
      </c>
      <c r="P42" s="8">
        <v>2.0630000000000003E-2</v>
      </c>
      <c r="Q42" s="8">
        <v>8.6183140400000018E-3</v>
      </c>
      <c r="R42">
        <f t="shared" si="0"/>
        <v>5.352990086956523</v>
      </c>
      <c r="S42">
        <f t="shared" si="1"/>
        <v>7.804168686379058E-2</v>
      </c>
      <c r="T42">
        <f t="shared" si="2"/>
        <v>17.966666666666665</v>
      </c>
      <c r="U42">
        <f t="shared" si="3"/>
        <v>0.73333333333333339</v>
      </c>
      <c r="V42">
        <f t="shared" si="4"/>
        <v>7.5841163552000019E-4</v>
      </c>
      <c r="W42">
        <f t="shared" si="5"/>
        <v>2.1228577260633843</v>
      </c>
    </row>
    <row r="43" spans="1:23" x14ac:dyDescent="0.25">
      <c r="A43" s="12" t="s">
        <v>85</v>
      </c>
      <c r="B43" s="5" t="s">
        <v>23</v>
      </c>
      <c r="C43" s="5">
        <v>21.5</v>
      </c>
      <c r="D43" s="5">
        <v>18</v>
      </c>
      <c r="E43" s="5">
        <v>6</v>
      </c>
      <c r="F43" s="5">
        <v>3</v>
      </c>
      <c r="G43" s="5">
        <v>1.4</v>
      </c>
      <c r="H43" s="5">
        <v>34.299999999999997</v>
      </c>
      <c r="I43" s="5">
        <v>34.5</v>
      </c>
      <c r="J43" s="5">
        <v>35.299999999999997</v>
      </c>
      <c r="K43" s="5">
        <v>0.22</v>
      </c>
      <c r="L43" s="5">
        <v>0.28000000000000003</v>
      </c>
      <c r="M43" s="5">
        <v>0.22</v>
      </c>
      <c r="N43" s="5">
        <v>5.5549999999999995E-2</v>
      </c>
      <c r="O43" s="5">
        <v>9.0333333333333325E-3</v>
      </c>
      <c r="P43" s="5">
        <v>9.3133333333333332E-2</v>
      </c>
      <c r="Q43" s="5">
        <v>2.7383333333333333</v>
      </c>
      <c r="R43">
        <f t="shared" si="0"/>
        <v>303.13653136531366</v>
      </c>
      <c r="S43">
        <f t="shared" si="1"/>
        <v>9.6993557623478874E-2</v>
      </c>
      <c r="T43">
        <f t="shared" si="2"/>
        <v>34.699999999999996</v>
      </c>
      <c r="U43">
        <f t="shared" si="3"/>
        <v>0.24</v>
      </c>
      <c r="V43">
        <f t="shared" si="4"/>
        <v>6.0243333333333336E-2</v>
      </c>
      <c r="W43">
        <f t="shared" si="5"/>
        <v>0.14994743540087421</v>
      </c>
    </row>
    <row r="44" spans="1:23" x14ac:dyDescent="0.25">
      <c r="A44" s="12"/>
      <c r="B44" s="6" t="s">
        <v>70</v>
      </c>
      <c r="C44" s="6">
        <v>21</v>
      </c>
      <c r="D44" s="6">
        <v>14</v>
      </c>
      <c r="E44" s="6">
        <v>16</v>
      </c>
      <c r="F44" s="6">
        <v>33</v>
      </c>
      <c r="G44" s="6">
        <v>15.09</v>
      </c>
      <c r="H44" s="6">
        <v>48.3</v>
      </c>
      <c r="I44" s="6">
        <v>67.5</v>
      </c>
      <c r="J44" s="6">
        <v>48.4</v>
      </c>
      <c r="K44" s="6">
        <v>0.12</v>
      </c>
      <c r="L44" s="6">
        <v>0.09</v>
      </c>
      <c r="M44" s="6">
        <v>0.13</v>
      </c>
      <c r="N44" s="6">
        <v>8.199999999999999E-2</v>
      </c>
      <c r="O44" s="6">
        <v>2.392E-2</v>
      </c>
      <c r="P44" s="6">
        <v>0.12061999999999999</v>
      </c>
      <c r="Q44" s="6">
        <v>5.45</v>
      </c>
      <c r="R44">
        <f t="shared" si="0"/>
        <v>227.84280936454849</v>
      </c>
      <c r="S44">
        <f t="shared" si="1"/>
        <v>0.19830873818603881</v>
      </c>
      <c r="T44">
        <f t="shared" si="2"/>
        <v>54.733333333333327</v>
      </c>
      <c r="U44">
        <f t="shared" si="3"/>
        <v>0.11333333333333333</v>
      </c>
      <c r="V44">
        <f t="shared" si="4"/>
        <v>7.0849999999999996E-2</v>
      </c>
      <c r="W44">
        <f t="shared" si="5"/>
        <v>0.33761467889908259</v>
      </c>
    </row>
    <row r="45" spans="1:23" x14ac:dyDescent="0.25">
      <c r="A45" s="12"/>
      <c r="B45" s="7" t="s">
        <v>71</v>
      </c>
      <c r="C45" s="7">
        <v>14</v>
      </c>
      <c r="D45" s="7">
        <v>11.5</v>
      </c>
      <c r="E45" s="7">
        <v>14.8</v>
      </c>
      <c r="F45" s="7">
        <v>55</v>
      </c>
      <c r="G45" s="7">
        <v>8.3699999999999992</v>
      </c>
      <c r="H45" s="7">
        <v>39.200000000000003</v>
      </c>
      <c r="I45" s="7">
        <v>44.5</v>
      </c>
      <c r="J45" s="7">
        <v>39</v>
      </c>
      <c r="K45" s="7">
        <v>0.27</v>
      </c>
      <c r="L45" s="7">
        <v>0.28000000000000003</v>
      </c>
      <c r="M45" s="7">
        <v>0.22</v>
      </c>
      <c r="N45" s="7">
        <v>0.18804000000000001</v>
      </c>
      <c r="O45" s="7">
        <v>1.8239999999999999E-2</v>
      </c>
      <c r="P45" s="7">
        <v>0.22856000000000001</v>
      </c>
      <c r="Q45" s="7">
        <v>6.3020000000000005</v>
      </c>
      <c r="R45">
        <f t="shared" si="0"/>
        <v>345.50438596491233</v>
      </c>
      <c r="S45">
        <f t="shared" si="1"/>
        <v>7.9803990199509969E-2</v>
      </c>
      <c r="T45">
        <f t="shared" si="2"/>
        <v>40.9</v>
      </c>
      <c r="U45">
        <f t="shared" si="3"/>
        <v>0.25666666666666665</v>
      </c>
      <c r="V45">
        <f t="shared" si="4"/>
        <v>0.13864400000000002</v>
      </c>
      <c r="W45">
        <f t="shared" si="5"/>
        <v>0.13155996653299096</v>
      </c>
    </row>
    <row r="46" spans="1:23" x14ac:dyDescent="0.25">
      <c r="A46" s="12"/>
      <c r="B46" s="8" t="s">
        <v>17</v>
      </c>
      <c r="C46" s="8">
        <v>21</v>
      </c>
      <c r="D46" s="8">
        <v>15</v>
      </c>
      <c r="E46" s="8">
        <v>10</v>
      </c>
      <c r="F46" s="8">
        <v>171</v>
      </c>
      <c r="G46" s="8">
        <v>60.23</v>
      </c>
      <c r="H46" s="8">
        <v>39.700000000000003</v>
      </c>
      <c r="I46" s="8">
        <v>43.2</v>
      </c>
      <c r="J46" s="8">
        <v>40.5</v>
      </c>
      <c r="K46" s="8">
        <v>0.08</v>
      </c>
      <c r="L46" s="8">
        <v>0.11</v>
      </c>
      <c r="M46" s="8">
        <v>0.12</v>
      </c>
      <c r="N46" s="8">
        <v>1.2460000000000001E-2</v>
      </c>
      <c r="O46" s="8">
        <v>4.5500000000000002E-3</v>
      </c>
      <c r="P46" s="8">
        <v>1.7899999999999999E-2</v>
      </c>
      <c r="Q46" s="8">
        <v>0.83099999999999996</v>
      </c>
      <c r="R46">
        <f t="shared" si="0"/>
        <v>182.63736263736263</v>
      </c>
      <c r="S46">
        <f t="shared" si="1"/>
        <v>0.25418994413407825</v>
      </c>
      <c r="T46">
        <f t="shared" si="2"/>
        <v>41.133333333333333</v>
      </c>
      <c r="U46">
        <f t="shared" si="3"/>
        <v>0.10333333333333333</v>
      </c>
      <c r="V46">
        <f t="shared" si="4"/>
        <v>9.9719999999999982E-3</v>
      </c>
      <c r="W46">
        <f t="shared" si="5"/>
        <v>0.45627757721620549</v>
      </c>
    </row>
    <row r="47" spans="1:23" x14ac:dyDescent="0.25">
      <c r="A47" s="12"/>
      <c r="B47" s="3" t="s">
        <v>15</v>
      </c>
      <c r="C47" s="3">
        <v>26</v>
      </c>
      <c r="D47" s="3">
        <v>21.5</v>
      </c>
      <c r="E47" s="3">
        <v>10</v>
      </c>
      <c r="F47" s="3">
        <v>530</v>
      </c>
      <c r="G47" s="3">
        <v>79.599999999999994</v>
      </c>
      <c r="H47" s="3">
        <v>16.5</v>
      </c>
      <c r="I47" s="3">
        <v>16.2</v>
      </c>
      <c r="J47" s="3">
        <v>22.1</v>
      </c>
      <c r="K47" s="3">
        <v>0.34</v>
      </c>
      <c r="L47" s="3">
        <v>0.49</v>
      </c>
      <c r="M47" s="3">
        <v>0.9</v>
      </c>
      <c r="N47" s="3">
        <v>1.3934999999999999E-2</v>
      </c>
      <c r="O47" s="3">
        <v>1.08E-3</v>
      </c>
      <c r="P47" s="3">
        <v>1.9474999999999999E-2</v>
      </c>
      <c r="Q47" s="3">
        <v>3.0736483460000005E-2</v>
      </c>
      <c r="R47">
        <f t="shared" si="0"/>
        <v>28.459706907407412</v>
      </c>
      <c r="S47">
        <f t="shared" si="1"/>
        <v>5.5455712451861365E-2</v>
      </c>
      <c r="T47">
        <f t="shared" si="2"/>
        <v>18.266666666666669</v>
      </c>
      <c r="U47">
        <f t="shared" si="3"/>
        <v>0.57666666666666666</v>
      </c>
      <c r="V47">
        <f t="shared" si="4"/>
        <v>2.7662835114000005E-3</v>
      </c>
      <c r="W47">
        <f t="shared" si="5"/>
        <v>0.39041551437127214</v>
      </c>
    </row>
    <row r="48" spans="1:23" x14ac:dyDescent="0.25">
      <c r="A48" s="12" t="s">
        <v>86</v>
      </c>
      <c r="B48" s="5" t="s">
        <v>17</v>
      </c>
      <c r="C48" s="5">
        <v>35</v>
      </c>
      <c r="D48" s="5">
        <v>18.5</v>
      </c>
      <c r="E48" s="5">
        <v>12</v>
      </c>
      <c r="F48" s="5">
        <v>118</v>
      </c>
      <c r="G48" s="5">
        <v>57.89</v>
      </c>
      <c r="H48" s="5">
        <v>39.1</v>
      </c>
      <c r="I48" s="5">
        <v>39.5</v>
      </c>
      <c r="J48" s="5">
        <v>31.2</v>
      </c>
      <c r="K48" s="5">
        <v>0.15</v>
      </c>
      <c r="L48" s="5">
        <v>0.16</v>
      </c>
      <c r="M48" s="5">
        <v>0.12</v>
      </c>
      <c r="N48" s="5">
        <v>1.6379999999999999E-2</v>
      </c>
      <c r="O48" s="5">
        <v>7.9900000000000006E-3</v>
      </c>
      <c r="P48" s="5">
        <v>2.181E-2</v>
      </c>
      <c r="Q48" s="5">
        <v>1.5519999999999998</v>
      </c>
      <c r="R48">
        <f t="shared" si="0"/>
        <v>194.24280350438045</v>
      </c>
      <c r="S48">
        <f t="shared" si="1"/>
        <v>0.36634571297569923</v>
      </c>
      <c r="T48">
        <f t="shared" si="2"/>
        <v>36.6</v>
      </c>
      <c r="U48">
        <f t="shared" si="3"/>
        <v>0.14333333333333334</v>
      </c>
      <c r="V48">
        <f t="shared" si="4"/>
        <v>1.8623999999999995E-2</v>
      </c>
      <c r="W48">
        <f t="shared" si="5"/>
        <v>0.42901632302405512</v>
      </c>
    </row>
    <row r="49" spans="1:23" x14ac:dyDescent="0.25">
      <c r="A49" s="12"/>
      <c r="B49" s="8" t="s">
        <v>15</v>
      </c>
      <c r="C49" s="8">
        <v>19</v>
      </c>
      <c r="D49" s="8">
        <v>12</v>
      </c>
      <c r="E49" s="8">
        <v>15</v>
      </c>
      <c r="F49" s="8">
        <v>1350</v>
      </c>
      <c r="G49" s="8">
        <v>99.7</v>
      </c>
      <c r="H49" s="8">
        <v>21.9</v>
      </c>
      <c r="I49" s="8">
        <v>11.4</v>
      </c>
      <c r="J49" s="8">
        <v>17.600000000000001</v>
      </c>
      <c r="K49" s="8">
        <v>1.36</v>
      </c>
      <c r="L49" s="8">
        <v>1.02</v>
      </c>
      <c r="M49" s="8">
        <v>1.44</v>
      </c>
      <c r="N49" s="8">
        <v>2.3280000000000002E-2</v>
      </c>
      <c r="O49" s="8">
        <v>1.6049999999999999E-3</v>
      </c>
      <c r="P49" s="8">
        <v>2.7234999999999999E-2</v>
      </c>
      <c r="Q49" s="8">
        <v>0.11999967812000001</v>
      </c>
      <c r="R49">
        <f t="shared" si="0"/>
        <v>74.766154591900317</v>
      </c>
      <c r="S49">
        <f t="shared" si="1"/>
        <v>5.8931521938681841E-2</v>
      </c>
      <c r="T49">
        <f t="shared" si="2"/>
        <v>16.966666666666665</v>
      </c>
      <c r="U49">
        <f t="shared" si="3"/>
        <v>1.2733333333333332</v>
      </c>
      <c r="V49">
        <f t="shared" si="4"/>
        <v>1.7279953649279998E-2</v>
      </c>
      <c r="W49">
        <f t="shared" si="5"/>
        <v>9.2882193585448372E-2</v>
      </c>
    </row>
    <row r="50" spans="1:23" x14ac:dyDescent="0.25">
      <c r="A50" s="12" t="s">
        <v>87</v>
      </c>
      <c r="B50" s="5" t="s">
        <v>15</v>
      </c>
      <c r="C50" s="5">
        <v>26</v>
      </c>
      <c r="D50" s="5">
        <v>15</v>
      </c>
      <c r="E50" s="5">
        <v>5</v>
      </c>
      <c r="F50" s="5">
        <v>2823</v>
      </c>
      <c r="G50" s="5">
        <v>213.57</v>
      </c>
      <c r="H50" s="5">
        <v>7.2</v>
      </c>
      <c r="I50" s="5">
        <v>15.8</v>
      </c>
      <c r="J50" s="5">
        <v>10.1</v>
      </c>
      <c r="K50" s="5">
        <v>0.34</v>
      </c>
      <c r="L50" s="5">
        <v>0.33</v>
      </c>
      <c r="M50" s="5">
        <v>0.38</v>
      </c>
      <c r="N50" s="5">
        <v>1.0964999999999999E-2</v>
      </c>
      <c r="O50" s="5">
        <v>9.8499999999999998E-4</v>
      </c>
      <c r="P50" s="5">
        <v>1.2914999999999999E-2</v>
      </c>
      <c r="Q50" s="5">
        <v>1.6618374639999999E-2</v>
      </c>
      <c r="R50">
        <f t="shared" si="0"/>
        <v>16.871446335025379</v>
      </c>
      <c r="S50">
        <f t="shared" si="1"/>
        <v>7.6267905536198222E-2</v>
      </c>
      <c r="T50">
        <f t="shared" si="2"/>
        <v>11.033333333333333</v>
      </c>
      <c r="U50">
        <f t="shared" si="3"/>
        <v>0.35000000000000003</v>
      </c>
      <c r="V50">
        <f t="shared" si="4"/>
        <v>6.3149823632E-4</v>
      </c>
      <c r="W50">
        <f t="shared" si="5"/>
        <v>1.5597826618487491</v>
      </c>
    </row>
    <row r="51" spans="1:23" x14ac:dyDescent="0.25">
      <c r="A51" s="12"/>
      <c r="B51" s="3" t="s">
        <v>17</v>
      </c>
      <c r="C51" s="3">
        <v>32</v>
      </c>
      <c r="D51" s="3">
        <v>28</v>
      </c>
      <c r="E51" s="3">
        <v>12</v>
      </c>
      <c r="F51" s="3">
        <v>106</v>
      </c>
      <c r="G51" s="3">
        <v>52.06</v>
      </c>
      <c r="H51" s="3">
        <v>29.8</v>
      </c>
      <c r="I51" s="3">
        <v>39.5</v>
      </c>
      <c r="J51" s="3">
        <v>42.2</v>
      </c>
      <c r="K51" s="3">
        <v>0.1</v>
      </c>
      <c r="L51" s="3">
        <v>0.11</v>
      </c>
      <c r="M51" s="3">
        <v>0.13</v>
      </c>
      <c r="N51" s="3">
        <v>2.4640000000000002E-2</v>
      </c>
      <c r="O51" s="3">
        <v>1.0280000000000001E-2</v>
      </c>
      <c r="P51" s="3">
        <v>2.7200000000000002E-2</v>
      </c>
      <c r="Q51" s="3">
        <v>2.3480000000000003</v>
      </c>
      <c r="R51">
        <f t="shared" si="0"/>
        <v>228.40466926070039</v>
      </c>
      <c r="S51">
        <f t="shared" si="1"/>
        <v>0.37794117647058822</v>
      </c>
      <c r="T51">
        <f t="shared" si="2"/>
        <v>37.166666666666664</v>
      </c>
      <c r="U51">
        <f t="shared" si="3"/>
        <v>0.11333333333333334</v>
      </c>
      <c r="V51">
        <f t="shared" si="4"/>
        <v>3.0524000000000006E-2</v>
      </c>
      <c r="W51">
        <f t="shared" si="5"/>
        <v>0.33678416983357357</v>
      </c>
    </row>
    <row r="52" spans="1:23" x14ac:dyDescent="0.25">
      <c r="A52" s="12" t="s">
        <v>88</v>
      </c>
      <c r="B52" s="5" t="s">
        <v>75</v>
      </c>
      <c r="C52" s="5">
        <v>8.5</v>
      </c>
      <c r="D52" s="5">
        <v>4.5</v>
      </c>
      <c r="E52" s="5">
        <v>6</v>
      </c>
      <c r="F52" s="5">
        <v>5</v>
      </c>
      <c r="G52" s="5">
        <v>0.8</v>
      </c>
      <c r="H52" s="5">
        <v>44.4</v>
      </c>
      <c r="I52" s="5">
        <v>36.799999999999997</v>
      </c>
      <c r="J52" s="5">
        <v>50</v>
      </c>
      <c r="K52" s="5">
        <v>0.4</v>
      </c>
      <c r="L52" s="5">
        <v>0.41</v>
      </c>
      <c r="M52" s="5">
        <v>0.36</v>
      </c>
      <c r="N52" s="5">
        <v>6.4659999999999995E-2</v>
      </c>
      <c r="O52" s="5">
        <v>8.7400000000000012E-3</v>
      </c>
      <c r="P52" s="5">
        <v>8.2900000000000001E-2</v>
      </c>
      <c r="Q52" s="5">
        <v>3.2880000000000003</v>
      </c>
      <c r="R52">
        <f t="shared" si="0"/>
        <v>376.20137299771164</v>
      </c>
      <c r="S52">
        <f t="shared" si="1"/>
        <v>0.10542822677925212</v>
      </c>
      <c r="T52">
        <f t="shared" si="2"/>
        <v>43.733333333333327</v>
      </c>
      <c r="U52">
        <f t="shared" si="3"/>
        <v>0.38999999999999996</v>
      </c>
      <c r="V52">
        <f t="shared" si="4"/>
        <v>0.118368</v>
      </c>
      <c r="W52">
        <f t="shared" si="5"/>
        <v>7.3837523655041912E-2</v>
      </c>
    </row>
    <row r="53" spans="1:23" x14ac:dyDescent="0.25">
      <c r="A53" s="12"/>
      <c r="B53" s="6" t="s">
        <v>15</v>
      </c>
      <c r="C53" s="6">
        <v>20</v>
      </c>
      <c r="D53" s="6">
        <v>12</v>
      </c>
      <c r="E53" s="6">
        <v>6</v>
      </c>
      <c r="F53" s="6">
        <v>1837</v>
      </c>
      <c r="G53" s="6">
        <v>116.02</v>
      </c>
      <c r="H53" s="6">
        <v>17.600000000000001</v>
      </c>
      <c r="I53" s="6">
        <v>19.3</v>
      </c>
      <c r="J53" s="6">
        <v>16.8</v>
      </c>
      <c r="K53" s="6">
        <v>0.33</v>
      </c>
      <c r="L53" s="6">
        <v>0.51</v>
      </c>
      <c r="M53" s="6">
        <v>0.41</v>
      </c>
      <c r="N53" s="6">
        <v>1.4873333333333332E-2</v>
      </c>
      <c r="O53" s="6">
        <v>1.2266666666666667E-3</v>
      </c>
      <c r="P53" s="6">
        <v>2.3E-2</v>
      </c>
      <c r="Q53" s="6">
        <v>7.2422470340000003E-2</v>
      </c>
      <c r="R53">
        <f t="shared" si="0"/>
        <v>59.040057342391307</v>
      </c>
      <c r="S53">
        <f t="shared" si="1"/>
        <v>5.3333333333333337E-2</v>
      </c>
      <c r="T53">
        <f t="shared" si="2"/>
        <v>17.900000000000002</v>
      </c>
      <c r="U53">
        <f t="shared" si="3"/>
        <v>0.41666666666666669</v>
      </c>
      <c r="V53">
        <f t="shared" si="4"/>
        <v>2.96932128394E-3</v>
      </c>
      <c r="W53">
        <f t="shared" si="5"/>
        <v>0.41311348600142034</v>
      </c>
    </row>
    <row r="54" spans="1:23" x14ac:dyDescent="0.25">
      <c r="A54" s="12"/>
      <c r="B54" s="7" t="s">
        <v>16</v>
      </c>
      <c r="C54" s="7">
        <v>7</v>
      </c>
      <c r="D54" s="7">
        <v>4</v>
      </c>
      <c r="E54" s="7">
        <v>5.5</v>
      </c>
      <c r="F54" s="7">
        <v>3</v>
      </c>
      <c r="G54" s="7">
        <v>0.45</v>
      </c>
      <c r="H54" s="7">
        <v>21</v>
      </c>
      <c r="I54" s="7">
        <v>15.9</v>
      </c>
      <c r="J54" s="7">
        <v>14.3</v>
      </c>
      <c r="K54" s="7">
        <v>0.49</v>
      </c>
      <c r="L54" s="7">
        <v>0.56000000000000005</v>
      </c>
      <c r="M54" s="7">
        <v>0.37</v>
      </c>
      <c r="N54" s="7">
        <v>3.9000000000000003E-3</v>
      </c>
      <c r="O54" s="7">
        <v>1.5866666666666668E-3</v>
      </c>
      <c r="P54" s="7">
        <v>6.3266666666666662E-3</v>
      </c>
      <c r="Q54" s="7">
        <v>3.9713464000000004E-4</v>
      </c>
      <c r="R54">
        <f t="shared" si="0"/>
        <v>0.25029494117647061</v>
      </c>
      <c r="S54">
        <f t="shared" si="1"/>
        <v>0.25079030558482618</v>
      </c>
      <c r="T54">
        <f t="shared" si="2"/>
        <v>17.066666666666666</v>
      </c>
      <c r="U54">
        <f t="shared" si="3"/>
        <v>0.47333333333333333</v>
      </c>
      <c r="V54">
        <f t="shared" si="4"/>
        <v>1.4693981680000002E-5</v>
      </c>
      <c r="W54">
        <f t="shared" si="5"/>
        <v>107.9807162701367</v>
      </c>
    </row>
    <row r="55" spans="1:23" x14ac:dyDescent="0.25">
      <c r="A55" s="12"/>
      <c r="B55" s="8" t="s">
        <v>71</v>
      </c>
      <c r="C55" s="8">
        <v>12</v>
      </c>
      <c r="D55" s="8">
        <v>6.8</v>
      </c>
      <c r="E55" s="8">
        <v>4.8</v>
      </c>
      <c r="F55" s="8">
        <v>144</v>
      </c>
      <c r="G55" s="8">
        <v>22.53</v>
      </c>
      <c r="H55" s="8">
        <v>27</v>
      </c>
      <c r="I55" s="8">
        <v>37.1</v>
      </c>
      <c r="J55" s="8">
        <v>39.5</v>
      </c>
      <c r="K55" s="8">
        <v>0.28000000000000003</v>
      </c>
      <c r="L55" s="8">
        <v>0.39</v>
      </c>
      <c r="M55" s="8">
        <v>0.54</v>
      </c>
      <c r="N55" s="8">
        <v>9.4780000000000003E-2</v>
      </c>
      <c r="O55" s="8">
        <v>0.14879999999999999</v>
      </c>
      <c r="P55" s="8">
        <v>0.14213999999999999</v>
      </c>
      <c r="Q55" s="8">
        <v>4.16</v>
      </c>
      <c r="R55">
        <f t="shared" si="0"/>
        <v>27.956989247311832</v>
      </c>
      <c r="S55">
        <f t="shared" si="1"/>
        <v>1.0468552131701139</v>
      </c>
      <c r="T55">
        <f t="shared" si="2"/>
        <v>34.533333333333331</v>
      </c>
      <c r="U55">
        <f t="shared" si="3"/>
        <v>0.40333333333333332</v>
      </c>
      <c r="V55">
        <f t="shared" si="4"/>
        <v>0.22464000000000003</v>
      </c>
      <c r="W55">
        <f t="shared" si="5"/>
        <v>0.66239316239316226</v>
      </c>
    </row>
    <row r="56" spans="1:23" x14ac:dyDescent="0.25">
      <c r="A56" s="12"/>
      <c r="B56" s="3" t="s">
        <v>17</v>
      </c>
      <c r="C56" s="3">
        <v>22</v>
      </c>
      <c r="D56" s="3">
        <v>11</v>
      </c>
      <c r="E56" s="3">
        <v>7</v>
      </c>
      <c r="F56" s="3">
        <v>183</v>
      </c>
      <c r="G56" s="3">
        <v>41.82</v>
      </c>
      <c r="H56" s="3">
        <v>49.2</v>
      </c>
      <c r="I56" s="3">
        <v>30</v>
      </c>
      <c r="J56" s="3">
        <v>29</v>
      </c>
      <c r="K56" s="3">
        <v>0.15</v>
      </c>
      <c r="L56" s="3">
        <v>0.15</v>
      </c>
      <c r="M56" s="3">
        <v>0.17</v>
      </c>
      <c r="N56" s="3">
        <v>1.4580000000000001E-2</v>
      </c>
      <c r="O56" s="3">
        <v>7.1800000000000006E-3</v>
      </c>
      <c r="P56" s="3">
        <v>1.908E-2</v>
      </c>
      <c r="Q56" s="3">
        <v>1.2919999999999998</v>
      </c>
      <c r="R56">
        <f t="shared" si="0"/>
        <v>179.94428969359328</v>
      </c>
      <c r="S56">
        <f t="shared" si="1"/>
        <v>0.3763102725366877</v>
      </c>
      <c r="T56">
        <f t="shared" si="2"/>
        <v>36.06666666666667</v>
      </c>
      <c r="U56">
        <f t="shared" si="3"/>
        <v>0.15666666666666665</v>
      </c>
      <c r="V56">
        <f t="shared" si="4"/>
        <v>2.1963999999999997E-2</v>
      </c>
      <c r="W56">
        <f t="shared" si="5"/>
        <v>0.32689856128209804</v>
      </c>
    </row>
    <row r="57" spans="1:23" x14ac:dyDescent="0.25">
      <c r="A57" s="12" t="s">
        <v>89</v>
      </c>
      <c r="B57" s="5" t="s">
        <v>90</v>
      </c>
      <c r="C57" s="5">
        <v>5</v>
      </c>
      <c r="D57" s="5">
        <v>9</v>
      </c>
      <c r="E57" s="5">
        <v>6.5</v>
      </c>
      <c r="F57" s="5">
        <v>4</v>
      </c>
      <c r="G57" s="5">
        <v>0.47</v>
      </c>
      <c r="H57" s="5">
        <v>42.2</v>
      </c>
      <c r="I57" s="5">
        <v>26.6</v>
      </c>
      <c r="J57" s="5">
        <v>34.5</v>
      </c>
      <c r="K57" s="5">
        <v>0.13</v>
      </c>
      <c r="L57" s="5">
        <v>0.14000000000000001</v>
      </c>
      <c r="M57" s="5">
        <v>0.16</v>
      </c>
      <c r="N57" s="5">
        <v>3.4720000000000001E-2</v>
      </c>
      <c r="O57" s="5">
        <v>3.6800000000000001E-3</v>
      </c>
      <c r="P57" s="5">
        <v>5.466E-2</v>
      </c>
      <c r="Q57" s="5">
        <v>0.93400000000000005</v>
      </c>
      <c r="R57">
        <f t="shared" si="0"/>
        <v>253.80434782608697</v>
      </c>
      <c r="S57">
        <f t="shared" si="1"/>
        <v>6.732528357116721E-2</v>
      </c>
      <c r="T57">
        <f t="shared" si="2"/>
        <v>34.433333333333337</v>
      </c>
      <c r="U57">
        <f t="shared" si="3"/>
        <v>0.14333333333333334</v>
      </c>
      <c r="V57">
        <f t="shared" si="4"/>
        <v>1.4944000000000002E-2</v>
      </c>
      <c r="W57">
        <f t="shared" si="5"/>
        <v>0.24625267665952888</v>
      </c>
    </row>
    <row r="58" spans="1:23" x14ac:dyDescent="0.25">
      <c r="A58" s="12"/>
      <c r="B58" s="6" t="s">
        <v>23</v>
      </c>
      <c r="C58" s="6">
        <v>6</v>
      </c>
      <c r="D58" s="6">
        <v>4</v>
      </c>
      <c r="E58" s="6">
        <v>5</v>
      </c>
      <c r="F58" s="6">
        <v>1</v>
      </c>
      <c r="G58" s="6">
        <v>7.0000000000000007E-2</v>
      </c>
      <c r="H58" s="6">
        <v>34.200000000000003</v>
      </c>
      <c r="I58" s="6">
        <v>35.799999999999997</v>
      </c>
      <c r="J58" s="6">
        <v>33.6</v>
      </c>
      <c r="K58" s="6">
        <v>0.43</v>
      </c>
      <c r="L58" s="6">
        <v>0.48</v>
      </c>
      <c r="M58" s="6">
        <v>0.44</v>
      </c>
      <c r="N58" s="6">
        <v>8.7366666666666662E-2</v>
      </c>
      <c r="O58" s="6">
        <v>9.6666666666666672E-3</v>
      </c>
      <c r="P58" s="6">
        <v>0.13076666666666667</v>
      </c>
      <c r="Q58" s="6">
        <v>2.9433333333333334</v>
      </c>
      <c r="R58">
        <f t="shared" si="0"/>
        <v>304.48275862068965</v>
      </c>
      <c r="S58">
        <f t="shared" si="1"/>
        <v>7.3923018098394092E-2</v>
      </c>
      <c r="T58">
        <f t="shared" si="2"/>
        <v>34.533333333333331</v>
      </c>
      <c r="U58">
        <f t="shared" si="3"/>
        <v>0.44999999999999996</v>
      </c>
      <c r="V58">
        <f t="shared" si="4"/>
        <v>0.12950666666666666</v>
      </c>
      <c r="W58">
        <f t="shared" si="5"/>
        <v>7.4642232060125616E-2</v>
      </c>
    </row>
    <row r="59" spans="1:23" x14ac:dyDescent="0.25">
      <c r="A59" s="12"/>
      <c r="B59" s="7" t="s">
        <v>70</v>
      </c>
      <c r="C59" s="7">
        <v>45</v>
      </c>
      <c r="D59" s="7">
        <v>31</v>
      </c>
      <c r="E59" s="7">
        <v>12</v>
      </c>
      <c r="F59" s="7">
        <v>263</v>
      </c>
      <c r="G59" s="7">
        <v>84.92</v>
      </c>
      <c r="H59" s="7">
        <v>30.2</v>
      </c>
      <c r="I59" s="7">
        <v>42.2</v>
      </c>
      <c r="J59" s="7">
        <v>41.1</v>
      </c>
      <c r="K59" s="7">
        <v>0.27</v>
      </c>
      <c r="L59" s="7">
        <v>0.27</v>
      </c>
      <c r="M59" s="7">
        <v>0.23</v>
      </c>
      <c r="N59" s="7">
        <v>0.11362000000000001</v>
      </c>
      <c r="O59" s="7">
        <v>6.3739999999999991E-2</v>
      </c>
      <c r="P59" s="7">
        <v>0.20158000000000001</v>
      </c>
      <c r="Q59" s="7">
        <v>6.7767542799999992E-3</v>
      </c>
      <c r="R59">
        <f t="shared" si="0"/>
        <v>0.10631870536554754</v>
      </c>
      <c r="S59">
        <f t="shared" si="1"/>
        <v>0.31620200416708</v>
      </c>
      <c r="T59">
        <f t="shared" si="2"/>
        <v>37.833333333333336</v>
      </c>
      <c r="U59">
        <f t="shared" si="3"/>
        <v>0.25666666666666665</v>
      </c>
      <c r="V59">
        <f t="shared" si="4"/>
        <v>1.5586534843999998E-4</v>
      </c>
      <c r="W59">
        <f t="shared" si="5"/>
        <v>408.94272292046082</v>
      </c>
    </row>
    <row r="60" spans="1:23" x14ac:dyDescent="0.25">
      <c r="A60" s="12"/>
      <c r="B60" s="8" t="s">
        <v>17</v>
      </c>
      <c r="C60" s="8">
        <v>48</v>
      </c>
      <c r="D60" s="8">
        <v>29</v>
      </c>
      <c r="E60" s="8">
        <v>7</v>
      </c>
      <c r="F60" s="8">
        <v>27</v>
      </c>
      <c r="G60" s="8">
        <v>25.95</v>
      </c>
      <c r="H60" s="8">
        <v>41.7</v>
      </c>
      <c r="I60" s="8">
        <v>36.9</v>
      </c>
      <c r="J60" s="8">
        <v>45.2</v>
      </c>
      <c r="K60" s="8">
        <v>0.19</v>
      </c>
      <c r="L60" s="8">
        <v>0.24</v>
      </c>
      <c r="M60" s="8">
        <v>0.22</v>
      </c>
      <c r="N60" s="8">
        <v>1.4749999999999999E-2</v>
      </c>
      <c r="O60" s="8">
        <v>7.2099999999999994E-3</v>
      </c>
      <c r="P60" s="8">
        <v>1.985E-2</v>
      </c>
      <c r="Q60" s="8">
        <v>1.2290000000000001</v>
      </c>
      <c r="R60">
        <f t="shared" si="0"/>
        <v>170.45769764216368</v>
      </c>
      <c r="S60">
        <f t="shared" si="1"/>
        <v>0.36322418136020151</v>
      </c>
      <c r="T60">
        <f t="shared" si="2"/>
        <v>41.266666666666666</v>
      </c>
      <c r="U60">
        <f t="shared" si="3"/>
        <v>0.21666666666666667</v>
      </c>
      <c r="V60">
        <f t="shared" si="4"/>
        <v>2.7038E-2</v>
      </c>
      <c r="W60">
        <f t="shared" si="5"/>
        <v>0.26666173533545379</v>
      </c>
    </row>
    <row r="61" spans="1:23" x14ac:dyDescent="0.25">
      <c r="A61" s="12"/>
      <c r="B61" s="3" t="s">
        <v>15</v>
      </c>
      <c r="C61" s="3">
        <v>20</v>
      </c>
      <c r="D61" s="3">
        <v>31</v>
      </c>
      <c r="E61" s="3">
        <v>5</v>
      </c>
      <c r="F61" s="3">
        <v>51</v>
      </c>
      <c r="G61" s="3">
        <v>13.47</v>
      </c>
      <c r="H61" s="3">
        <v>12.1</v>
      </c>
      <c r="I61" s="3">
        <v>23.2</v>
      </c>
      <c r="J61" s="3">
        <v>24.8</v>
      </c>
      <c r="K61" s="3">
        <v>2.5499999999999998</v>
      </c>
      <c r="L61" s="3">
        <v>1.64</v>
      </c>
      <c r="M61" s="3">
        <v>1.06</v>
      </c>
      <c r="N61" s="3">
        <v>1.2884999999999999E-2</v>
      </c>
      <c r="O61" s="3">
        <v>1.3549999999999999E-3</v>
      </c>
      <c r="P61" s="3">
        <v>2.3644999999999999E-2</v>
      </c>
      <c r="Q61" s="3">
        <v>1.9556400420000002E-2</v>
      </c>
      <c r="R61">
        <f t="shared" si="0"/>
        <v>14.432767837638378</v>
      </c>
      <c r="S61">
        <f t="shared" si="1"/>
        <v>5.7305984351871425E-2</v>
      </c>
      <c r="T61">
        <f t="shared" si="2"/>
        <v>20.033333333333331</v>
      </c>
      <c r="U61">
        <f t="shared" si="3"/>
        <v>1.75</v>
      </c>
      <c r="V61">
        <f t="shared" si="4"/>
        <v>2.0729784445200003E-3</v>
      </c>
      <c r="W61">
        <f t="shared" si="5"/>
        <v>0.6536488614158027</v>
      </c>
    </row>
    <row r="62" spans="1:23" x14ac:dyDescent="0.25">
      <c r="A62" s="12" t="s">
        <v>91</v>
      </c>
      <c r="B62" s="5" t="s">
        <v>17</v>
      </c>
      <c r="C62" s="5">
        <v>56</v>
      </c>
      <c r="D62" s="5">
        <v>53</v>
      </c>
      <c r="E62" s="5">
        <v>21</v>
      </c>
      <c r="F62" s="5">
        <v>69</v>
      </c>
      <c r="G62" s="5">
        <v>55.13</v>
      </c>
      <c r="H62" s="5">
        <v>37.200000000000003</v>
      </c>
      <c r="I62" s="5">
        <v>37.799999999999997</v>
      </c>
      <c r="J62" s="5">
        <v>45.5</v>
      </c>
      <c r="K62" s="5">
        <v>0.2</v>
      </c>
      <c r="L62" s="5">
        <v>0.23</v>
      </c>
      <c r="M62" s="5">
        <v>0.22</v>
      </c>
      <c r="N62" s="5">
        <v>2.6119999999999997E-2</v>
      </c>
      <c r="O62" s="5">
        <v>1.1899999999999999E-2</v>
      </c>
      <c r="P62" s="5">
        <v>2.9180000000000001E-2</v>
      </c>
      <c r="Q62" s="5">
        <v>2.0699999999999998</v>
      </c>
      <c r="R62">
        <f t="shared" si="0"/>
        <v>173.94957983193277</v>
      </c>
      <c r="S62">
        <f t="shared" si="1"/>
        <v>0.40781357093899928</v>
      </c>
      <c r="T62">
        <f t="shared" si="2"/>
        <v>40.166666666666664</v>
      </c>
      <c r="U62">
        <f t="shared" si="3"/>
        <v>0.21666666666666667</v>
      </c>
      <c r="V62">
        <f t="shared" si="4"/>
        <v>4.5539999999999997E-2</v>
      </c>
      <c r="W62">
        <f t="shared" si="5"/>
        <v>0.26130873956960915</v>
      </c>
    </row>
    <row r="63" spans="1:23" x14ac:dyDescent="0.25">
      <c r="A63" s="12"/>
      <c r="B63" s="6" t="s">
        <v>71</v>
      </c>
      <c r="C63" s="6">
        <v>7</v>
      </c>
      <c r="D63" s="6">
        <v>6.8</v>
      </c>
      <c r="E63" s="6">
        <v>7</v>
      </c>
      <c r="F63" s="6">
        <v>16</v>
      </c>
      <c r="G63" s="6">
        <v>0.97</v>
      </c>
      <c r="H63" s="6">
        <v>31</v>
      </c>
      <c r="I63" s="6">
        <v>40</v>
      </c>
      <c r="J63" s="6">
        <v>31.9</v>
      </c>
      <c r="K63" s="6">
        <v>0.27</v>
      </c>
      <c r="L63" s="6">
        <v>0.37</v>
      </c>
      <c r="M63" s="6">
        <v>0.49</v>
      </c>
      <c r="N63" s="6">
        <v>0.10844000000000001</v>
      </c>
      <c r="O63" s="6">
        <v>7.92E-3</v>
      </c>
      <c r="P63" s="6">
        <v>9.8780000000000007E-2</v>
      </c>
      <c r="Q63" s="6">
        <v>3.952</v>
      </c>
      <c r="R63">
        <f t="shared" si="0"/>
        <v>498.98989898989896</v>
      </c>
      <c r="S63">
        <f t="shared" si="1"/>
        <v>8.0178173719376383E-2</v>
      </c>
      <c r="T63">
        <f t="shared" si="2"/>
        <v>34.300000000000004</v>
      </c>
      <c r="U63">
        <f t="shared" si="3"/>
        <v>0.37666666666666665</v>
      </c>
      <c r="V63">
        <f t="shared" si="4"/>
        <v>0.19364799999999999</v>
      </c>
      <c r="W63">
        <f t="shared" si="5"/>
        <v>4.0898950673386766E-2</v>
      </c>
    </row>
    <row r="64" spans="1:23" x14ac:dyDescent="0.25">
      <c r="A64" s="12"/>
      <c r="B64" s="7" t="s">
        <v>70</v>
      </c>
      <c r="C64" s="7">
        <v>68</v>
      </c>
      <c r="D64" s="7">
        <v>36</v>
      </c>
      <c r="E64" s="7">
        <v>15</v>
      </c>
      <c r="F64" s="7">
        <v>301</v>
      </c>
      <c r="G64" s="7">
        <v>57.66</v>
      </c>
      <c r="H64" s="7">
        <v>51.6</v>
      </c>
      <c r="I64" s="7">
        <v>54.6</v>
      </c>
      <c r="J64" s="7">
        <v>45</v>
      </c>
      <c r="K64" s="7">
        <v>0.25</v>
      </c>
      <c r="L64" s="7">
        <v>0.18</v>
      </c>
      <c r="M64" s="7">
        <v>0.15</v>
      </c>
      <c r="N64" s="7">
        <v>8.004E-2</v>
      </c>
      <c r="O64" s="7">
        <v>2.9339999999999998E-2</v>
      </c>
      <c r="P64" s="7">
        <v>0.10864</v>
      </c>
      <c r="Q64" s="7">
        <v>1.7942095019999996E-2</v>
      </c>
      <c r="R64">
        <f t="shared" si="0"/>
        <v>0.61152334764826166</v>
      </c>
      <c r="S64">
        <f t="shared" si="1"/>
        <v>0.2700662739322533</v>
      </c>
      <c r="T64">
        <f t="shared" si="2"/>
        <v>50.4</v>
      </c>
      <c r="U64">
        <f t="shared" si="3"/>
        <v>0.19333333333333333</v>
      </c>
      <c r="V64">
        <f t="shared" si="4"/>
        <v>2.691314252999999E-4</v>
      </c>
      <c r="W64">
        <f t="shared" si="5"/>
        <v>109.01736936626705</v>
      </c>
    </row>
    <row r="65" spans="1:23" x14ac:dyDescent="0.25">
      <c r="A65" s="12"/>
      <c r="B65" s="8" t="s">
        <v>15</v>
      </c>
      <c r="C65" s="8">
        <v>6</v>
      </c>
      <c r="D65" s="8">
        <v>7</v>
      </c>
      <c r="E65" s="8">
        <v>18</v>
      </c>
      <c r="F65" s="8">
        <v>32</v>
      </c>
      <c r="G65" s="8">
        <v>0.83</v>
      </c>
      <c r="H65" s="8">
        <v>20.9</v>
      </c>
      <c r="I65" s="8">
        <v>23.8</v>
      </c>
      <c r="J65" s="8">
        <v>40.299999999999997</v>
      </c>
      <c r="K65" s="8">
        <v>0.87</v>
      </c>
      <c r="L65" s="8">
        <v>0.78</v>
      </c>
      <c r="M65" s="8">
        <v>0.77</v>
      </c>
      <c r="N65" s="8">
        <v>8.7266666666666656E-3</v>
      </c>
      <c r="O65" s="8">
        <v>7.3999999999999999E-4</v>
      </c>
      <c r="P65" s="8">
        <v>1.4206666666666668E-2</v>
      </c>
      <c r="Q65" s="8">
        <v>2.0285904060000002E-2</v>
      </c>
      <c r="R65">
        <f t="shared" si="0"/>
        <v>27.413383864864869</v>
      </c>
      <c r="S65">
        <f t="shared" si="1"/>
        <v>5.2088221492257149E-2</v>
      </c>
      <c r="T65">
        <f t="shared" si="2"/>
        <v>28.333333333333332</v>
      </c>
      <c r="U65">
        <f t="shared" si="3"/>
        <v>0.80666666666666664</v>
      </c>
      <c r="V65">
        <f t="shared" si="4"/>
        <v>1.5620146126200001E-3</v>
      </c>
      <c r="W65">
        <f t="shared" si="5"/>
        <v>0.47374716857403937</v>
      </c>
    </row>
    <row r="66" spans="1:23" x14ac:dyDescent="0.25">
      <c r="A66" s="12" t="s">
        <v>92</v>
      </c>
      <c r="B66" s="5" t="s">
        <v>71</v>
      </c>
      <c r="C66" s="5">
        <v>8.5</v>
      </c>
      <c r="D66" s="5">
        <v>7.8</v>
      </c>
      <c r="E66" s="5">
        <v>4.5</v>
      </c>
      <c r="F66" s="5">
        <v>4</v>
      </c>
      <c r="G66" s="5">
        <v>0.25</v>
      </c>
      <c r="H66" s="5">
        <v>30.7</v>
      </c>
      <c r="I66" s="5">
        <v>41.5</v>
      </c>
      <c r="J66" s="5">
        <v>35.9</v>
      </c>
      <c r="K66" s="5">
        <v>0.48</v>
      </c>
      <c r="L66" s="5">
        <v>0.45</v>
      </c>
      <c r="M66" s="5">
        <v>0.16</v>
      </c>
      <c r="N66" s="5">
        <v>0.11462000000000001</v>
      </c>
      <c r="O66" s="5">
        <v>1.1039999999999999E-2</v>
      </c>
      <c r="P66" s="5">
        <v>0.14748</v>
      </c>
      <c r="Q66" s="5">
        <v>3.8360000000000003</v>
      </c>
      <c r="R66">
        <f t="shared" si="0"/>
        <v>347.46376811594206</v>
      </c>
      <c r="S66">
        <f t="shared" si="1"/>
        <v>7.4857607811228632E-2</v>
      </c>
      <c r="T66">
        <f t="shared" si="2"/>
        <v>36.033333333333331</v>
      </c>
      <c r="U66">
        <f t="shared" si="3"/>
        <v>0.36333333333333329</v>
      </c>
      <c r="V66">
        <f t="shared" si="4"/>
        <v>6.1376000000000007E-2</v>
      </c>
      <c r="W66">
        <f t="shared" si="5"/>
        <v>0.17987486965589153</v>
      </c>
    </row>
    <row r="67" spans="1:23" x14ac:dyDescent="0.25">
      <c r="A67" s="12"/>
      <c r="B67" s="6" t="s">
        <v>23</v>
      </c>
      <c r="C67" s="6">
        <v>9</v>
      </c>
      <c r="D67" s="6">
        <v>8</v>
      </c>
      <c r="E67" s="6">
        <v>8</v>
      </c>
      <c r="F67" s="6">
        <v>3</v>
      </c>
      <c r="G67" s="6">
        <v>0.28000000000000003</v>
      </c>
      <c r="H67" s="6">
        <v>34.799999999999997</v>
      </c>
      <c r="I67" s="6">
        <v>28.5</v>
      </c>
      <c r="J67" s="6">
        <v>37.5</v>
      </c>
      <c r="K67" s="6">
        <v>0.44</v>
      </c>
      <c r="L67" s="6">
        <v>0.3</v>
      </c>
      <c r="M67" s="6">
        <v>0.23</v>
      </c>
      <c r="N67" s="6">
        <v>4.3400000000000001E-2</v>
      </c>
      <c r="O67" s="6">
        <v>3.8899999999999998E-3</v>
      </c>
      <c r="P67" s="6">
        <v>4.793E-2</v>
      </c>
      <c r="Q67" s="6">
        <v>2.1269999999999998</v>
      </c>
      <c r="R67">
        <f t="shared" ref="R67:R130" si="6">Q67/O67</f>
        <v>546.78663239074547</v>
      </c>
      <c r="S67">
        <f t="shared" ref="S67:S130" si="7">O67/P67</f>
        <v>8.1160025036511568E-2</v>
      </c>
      <c r="T67">
        <f t="shared" ref="T67:T130" si="8">AVERAGEA(H67:J67)</f>
        <v>33.6</v>
      </c>
      <c r="U67">
        <f t="shared" ref="U67:U130" si="9">AVERAGEA(K67:M67)</f>
        <v>0.32333333333333331</v>
      </c>
      <c r="V67">
        <f t="shared" ref="V67:V130" si="10">Q67*M67/10</f>
        <v>4.8920999999999999E-2</v>
      </c>
      <c r="W67">
        <f t="shared" ref="W67:W130" si="11">O67/V67</f>
        <v>7.9515954293657112E-2</v>
      </c>
    </row>
    <row r="68" spans="1:23" x14ac:dyDescent="0.25">
      <c r="A68" s="12"/>
      <c r="B68" s="7" t="s">
        <v>17</v>
      </c>
      <c r="C68" s="7">
        <v>51</v>
      </c>
      <c r="D68" s="7">
        <v>38</v>
      </c>
      <c r="E68" s="7">
        <v>30</v>
      </c>
      <c r="F68" s="7">
        <v>181</v>
      </c>
      <c r="G68" s="7">
        <v>7.2</v>
      </c>
      <c r="H68" s="7">
        <v>38.1</v>
      </c>
      <c r="I68" s="7">
        <v>36.6</v>
      </c>
      <c r="J68" s="7">
        <v>37.4</v>
      </c>
      <c r="K68" s="7">
        <v>0.25</v>
      </c>
      <c r="L68" s="7">
        <v>0.31</v>
      </c>
      <c r="M68" s="7">
        <v>0.21</v>
      </c>
      <c r="N68" s="7">
        <v>2.632E-2</v>
      </c>
      <c r="O68" s="7">
        <v>1.248E-2</v>
      </c>
      <c r="P68" s="7">
        <v>3.4799999999999998E-2</v>
      </c>
      <c r="Q68" s="7">
        <v>2.3639999999999999</v>
      </c>
      <c r="R68">
        <f t="shared" si="6"/>
        <v>189.42307692307691</v>
      </c>
      <c r="S68">
        <f t="shared" si="7"/>
        <v>0.35862068965517241</v>
      </c>
      <c r="T68">
        <f t="shared" si="8"/>
        <v>37.366666666666667</v>
      </c>
      <c r="U68">
        <f t="shared" si="9"/>
        <v>0.25666666666666665</v>
      </c>
      <c r="V68">
        <f t="shared" si="10"/>
        <v>4.9643999999999994E-2</v>
      </c>
      <c r="W68">
        <f t="shared" si="11"/>
        <v>0.25138989605994683</v>
      </c>
    </row>
    <row r="69" spans="1:23" x14ac:dyDescent="0.25">
      <c r="A69" s="12"/>
      <c r="B69" s="8" t="s">
        <v>15</v>
      </c>
      <c r="C69" s="8">
        <v>28</v>
      </c>
      <c r="D69" s="8">
        <v>11.5</v>
      </c>
      <c r="E69" s="8">
        <v>33.5</v>
      </c>
      <c r="F69" s="8">
        <v>39</v>
      </c>
      <c r="G69" s="8">
        <v>15.82</v>
      </c>
      <c r="H69" s="8">
        <v>14.1</v>
      </c>
      <c r="I69" s="8">
        <v>12.3</v>
      </c>
      <c r="J69" s="8">
        <v>11.1</v>
      </c>
      <c r="K69" s="8">
        <v>1.4</v>
      </c>
      <c r="L69" s="8">
        <v>1.05</v>
      </c>
      <c r="M69" s="8">
        <v>1.1499999999999999</v>
      </c>
      <c r="N69" s="8">
        <v>2.0135E-2</v>
      </c>
      <c r="O69" s="8">
        <v>1.4399999999999999E-3</v>
      </c>
      <c r="P69" s="8">
        <v>2.7479999999999997E-2</v>
      </c>
      <c r="Q69" s="8">
        <v>3.8312961200000002E-2</v>
      </c>
      <c r="R69">
        <f t="shared" si="6"/>
        <v>26.60622305555556</v>
      </c>
      <c r="S69">
        <f t="shared" si="7"/>
        <v>5.2401746724890827E-2</v>
      </c>
      <c r="T69">
        <f t="shared" si="8"/>
        <v>12.5</v>
      </c>
      <c r="U69">
        <f t="shared" si="9"/>
        <v>1.2</v>
      </c>
      <c r="V69">
        <f t="shared" si="10"/>
        <v>4.4059905379999998E-3</v>
      </c>
      <c r="W69">
        <f t="shared" si="11"/>
        <v>0.32682775588838542</v>
      </c>
    </row>
    <row r="70" spans="1:23" x14ac:dyDescent="0.25">
      <c r="A70" s="12"/>
      <c r="B70" s="5" t="s">
        <v>93</v>
      </c>
      <c r="C70" s="5">
        <v>33.5</v>
      </c>
      <c r="D70" s="5"/>
      <c r="E70" s="5"/>
      <c r="F70" s="5">
        <v>1</v>
      </c>
      <c r="G70" s="5">
        <v>1.65</v>
      </c>
      <c r="H70" s="5">
        <v>47.7</v>
      </c>
      <c r="I70" s="5">
        <v>49.3</v>
      </c>
      <c r="J70" s="5">
        <v>37.700000000000003</v>
      </c>
      <c r="K70" s="5">
        <v>0.45</v>
      </c>
      <c r="L70" s="5">
        <v>0.73</v>
      </c>
      <c r="M70" s="5">
        <v>0.43</v>
      </c>
      <c r="N70" s="5">
        <v>1.949E-2</v>
      </c>
      <c r="O70" s="5">
        <v>4.3999999999999994E-3</v>
      </c>
      <c r="P70" s="5">
        <v>3.1259999999999996E-2</v>
      </c>
      <c r="Q70" s="5">
        <v>1.0270000000000001</v>
      </c>
      <c r="R70">
        <f t="shared" si="6"/>
        <v>233.40909090909096</v>
      </c>
      <c r="S70">
        <f t="shared" si="7"/>
        <v>0.14075495841330773</v>
      </c>
      <c r="T70">
        <f t="shared" si="8"/>
        <v>44.9</v>
      </c>
      <c r="U70">
        <f t="shared" si="9"/>
        <v>0.53666666666666663</v>
      </c>
      <c r="V70">
        <f t="shared" si="10"/>
        <v>4.4161000000000006E-2</v>
      </c>
      <c r="W70">
        <f t="shared" si="11"/>
        <v>9.9635424922442858E-2</v>
      </c>
    </row>
    <row r="71" spans="1:23" x14ac:dyDescent="0.25">
      <c r="A71" s="12"/>
      <c r="B71" s="6" t="s">
        <v>70</v>
      </c>
      <c r="C71" s="6">
        <v>52.5</v>
      </c>
      <c r="D71" s="6">
        <v>40</v>
      </c>
      <c r="E71" s="6">
        <v>22</v>
      </c>
      <c r="F71" s="6">
        <v>265</v>
      </c>
      <c r="G71" s="6">
        <v>62.67</v>
      </c>
      <c r="H71" s="6">
        <v>52.4</v>
      </c>
      <c r="I71" s="6">
        <v>48.8</v>
      </c>
      <c r="J71" s="6">
        <v>37.9</v>
      </c>
      <c r="K71" s="6">
        <v>0.28999999999999998</v>
      </c>
      <c r="L71" s="6">
        <v>0.28999999999999998</v>
      </c>
      <c r="M71" s="6">
        <v>0.37</v>
      </c>
      <c r="N71" s="6">
        <v>0.21556000000000003</v>
      </c>
      <c r="O71" s="6">
        <v>7.6780000000000001E-2</v>
      </c>
      <c r="P71" s="6">
        <v>0.29508000000000001</v>
      </c>
      <c r="Q71" s="6">
        <v>1.4363320839999997E-2</v>
      </c>
      <c r="R71">
        <f t="shared" si="6"/>
        <v>0.18707112320916902</v>
      </c>
      <c r="S71">
        <f t="shared" si="7"/>
        <v>0.26020062355971263</v>
      </c>
      <c r="T71">
        <f t="shared" si="8"/>
        <v>46.366666666666667</v>
      </c>
      <c r="U71">
        <f t="shared" si="9"/>
        <v>0.31666666666666665</v>
      </c>
      <c r="V71">
        <f t="shared" si="10"/>
        <v>5.3144287107999993E-4</v>
      </c>
      <c r="W71">
        <f t="shared" si="11"/>
        <v>144.4746071086953</v>
      </c>
    </row>
    <row r="72" spans="1:23" x14ac:dyDescent="0.25">
      <c r="A72" s="2" t="s">
        <v>14</v>
      </c>
      <c r="B72" s="3" t="s">
        <v>15</v>
      </c>
      <c r="C72" s="3">
        <v>18</v>
      </c>
      <c r="D72" s="3" t="s">
        <v>127</v>
      </c>
      <c r="E72" s="3">
        <v>11</v>
      </c>
      <c r="F72" s="3">
        <v>6</v>
      </c>
      <c r="G72" s="3">
        <v>1.3</v>
      </c>
      <c r="H72" s="3">
        <v>13.3</v>
      </c>
      <c r="I72" s="3">
        <v>13.6</v>
      </c>
      <c r="J72" s="3">
        <v>21.7</v>
      </c>
      <c r="K72" s="3">
        <v>0.52</v>
      </c>
      <c r="L72" s="3">
        <v>0.65</v>
      </c>
      <c r="M72" s="3">
        <v>0.39</v>
      </c>
      <c r="N72" s="3">
        <v>5.9700000000000005E-3</v>
      </c>
      <c r="O72" s="3">
        <v>2.5399999999999997E-3</v>
      </c>
      <c r="P72" s="3">
        <v>1.2889999999999999E-2</v>
      </c>
      <c r="Q72" s="3">
        <v>3.4182071400000002E-3</v>
      </c>
      <c r="R72">
        <f t="shared" si="6"/>
        <v>1.3457508425196854</v>
      </c>
      <c r="S72">
        <f t="shared" si="7"/>
        <v>0.19705197827773469</v>
      </c>
      <c r="T72">
        <f t="shared" si="8"/>
        <v>16.2</v>
      </c>
      <c r="U72">
        <f t="shared" si="9"/>
        <v>0.52</v>
      </c>
      <c r="V72">
        <f t="shared" si="10"/>
        <v>1.3331007846000004E-4</v>
      </c>
      <c r="W72">
        <f t="shared" si="11"/>
        <v>19.053323119617936</v>
      </c>
    </row>
    <row r="73" spans="1:23" x14ac:dyDescent="0.25">
      <c r="B73" s="4" t="s">
        <v>16</v>
      </c>
      <c r="C73" s="4">
        <v>38</v>
      </c>
      <c r="D73" s="4">
        <v>15</v>
      </c>
      <c r="E73" s="4">
        <v>12</v>
      </c>
      <c r="F73" s="4">
        <v>6</v>
      </c>
      <c r="G73" s="4">
        <v>7.16</v>
      </c>
      <c r="H73" s="4">
        <v>41.6</v>
      </c>
      <c r="I73" s="4">
        <v>37.299999999999997</v>
      </c>
      <c r="J73" s="4">
        <v>21.9</v>
      </c>
      <c r="K73" s="4">
        <v>0.08</v>
      </c>
      <c r="L73" s="4">
        <v>0.14000000000000001</v>
      </c>
      <c r="M73" s="4">
        <v>0.17</v>
      </c>
      <c r="N73" s="4">
        <v>3.218E-2</v>
      </c>
      <c r="O73" s="4">
        <v>2.4199999999999999E-2</v>
      </c>
      <c r="P73" s="4">
        <v>5.1220000000000002E-2</v>
      </c>
      <c r="Q73" s="4">
        <v>6.3260010000000002E-4</v>
      </c>
      <c r="R73">
        <f t="shared" si="6"/>
        <v>2.6140500000000001E-2</v>
      </c>
      <c r="S73">
        <f t="shared" si="7"/>
        <v>0.47247169074580242</v>
      </c>
      <c r="T73">
        <f t="shared" si="8"/>
        <v>33.6</v>
      </c>
      <c r="U73">
        <f t="shared" si="9"/>
        <v>0.13</v>
      </c>
      <c r="V73">
        <f t="shared" si="10"/>
        <v>1.07542017E-5</v>
      </c>
      <c r="W73">
        <f t="shared" si="11"/>
        <v>2250.2832544046482</v>
      </c>
    </row>
    <row r="74" spans="1:23" x14ac:dyDescent="0.25">
      <c r="B74" s="5" t="s">
        <v>17</v>
      </c>
      <c r="C74" s="5">
        <v>35</v>
      </c>
      <c r="D74" s="5">
        <v>46</v>
      </c>
      <c r="E74" s="5">
        <v>20</v>
      </c>
      <c r="F74" s="5">
        <v>16</v>
      </c>
      <c r="G74" s="5">
        <v>11.66</v>
      </c>
      <c r="H74" s="5">
        <v>40</v>
      </c>
      <c r="I74" s="5">
        <v>52</v>
      </c>
      <c r="J74" s="5">
        <v>45.2</v>
      </c>
      <c r="K74" s="5">
        <v>0.18</v>
      </c>
      <c r="L74" s="5">
        <v>0.17</v>
      </c>
      <c r="M74" s="5">
        <v>0.15</v>
      </c>
      <c r="N74" s="5">
        <v>6.9099999999999995E-2</v>
      </c>
      <c r="O74" s="5">
        <v>4.4060000000000002E-2</v>
      </c>
      <c r="P74" s="5">
        <v>0.14334</v>
      </c>
      <c r="Q74" s="20">
        <v>0</v>
      </c>
      <c r="R74">
        <f t="shared" si="6"/>
        <v>0</v>
      </c>
      <c r="S74">
        <f t="shared" si="7"/>
        <v>0.307381052044091</v>
      </c>
      <c r="T74">
        <f t="shared" si="8"/>
        <v>45.733333333333327</v>
      </c>
      <c r="U74">
        <f t="shared" si="9"/>
        <v>0.16666666666666666</v>
      </c>
      <c r="V74">
        <f t="shared" si="10"/>
        <v>0</v>
      </c>
      <c r="W74" t="e">
        <f t="shared" si="11"/>
        <v>#DIV/0!</v>
      </c>
    </row>
    <row r="75" spans="1:23" x14ac:dyDescent="0.25">
      <c r="B75" s="6" t="s">
        <v>18</v>
      </c>
      <c r="C75" s="6">
        <v>34</v>
      </c>
      <c r="D75" s="6">
        <v>14</v>
      </c>
      <c r="E75" s="6"/>
      <c r="F75" s="6">
        <v>2</v>
      </c>
      <c r="G75" s="6">
        <v>9.6199999999999992</v>
      </c>
      <c r="H75" s="6">
        <v>12.21</v>
      </c>
      <c r="I75" s="6">
        <v>27.2</v>
      </c>
      <c r="J75" s="6">
        <v>26.1</v>
      </c>
      <c r="K75" s="6">
        <v>0.21</v>
      </c>
      <c r="L75" s="6">
        <v>0.56999999999999995</v>
      </c>
      <c r="M75" s="6">
        <v>0.66</v>
      </c>
      <c r="N75" s="6">
        <v>4.7099999999999998E-3</v>
      </c>
      <c r="O75" s="6">
        <v>2.4899999999999998E-4</v>
      </c>
      <c r="P75" s="6">
        <v>8.119999999999999E-4</v>
      </c>
      <c r="Q75" s="6">
        <v>5.4637884000000004E-4</v>
      </c>
      <c r="R75">
        <f t="shared" si="6"/>
        <v>2.1942925301204821</v>
      </c>
      <c r="S75">
        <f t="shared" si="7"/>
        <v>0.30665024630541876</v>
      </c>
      <c r="T75">
        <f t="shared" si="8"/>
        <v>21.836666666666662</v>
      </c>
      <c r="U75">
        <f t="shared" si="9"/>
        <v>0.48</v>
      </c>
      <c r="V75">
        <f t="shared" si="10"/>
        <v>3.606100344E-5</v>
      </c>
      <c r="W75">
        <f t="shared" si="11"/>
        <v>6.9049659257069189</v>
      </c>
    </row>
    <row r="76" spans="1:23" x14ac:dyDescent="0.25">
      <c r="A76" s="2" t="s">
        <v>19</v>
      </c>
      <c r="B76" s="7" t="s">
        <v>17</v>
      </c>
      <c r="C76" s="7">
        <v>31</v>
      </c>
      <c r="D76" s="7">
        <v>15</v>
      </c>
      <c r="E76" s="7">
        <v>21</v>
      </c>
      <c r="F76" s="7">
        <v>11</v>
      </c>
      <c r="G76" s="7">
        <v>4.4800000000000004</v>
      </c>
      <c r="H76" s="7"/>
      <c r="I76" s="7"/>
      <c r="J76" s="7"/>
      <c r="K76" s="7">
        <v>0.2</v>
      </c>
      <c r="L76" s="7">
        <v>0.2</v>
      </c>
      <c r="M76" s="7">
        <v>0.24</v>
      </c>
      <c r="N76" s="7">
        <v>7.6659999999999992E-2</v>
      </c>
      <c r="O76" s="7">
        <v>3.8379999999999997E-2</v>
      </c>
      <c r="P76" s="7">
        <v>0.11744000000000002</v>
      </c>
      <c r="Q76" s="7">
        <v>4.67</v>
      </c>
      <c r="R76">
        <f t="shared" si="6"/>
        <v>121.67795726941115</v>
      </c>
      <c r="S76">
        <f t="shared" si="7"/>
        <v>0.32680517711171653</v>
      </c>
      <c r="T76" s="22" t="e">
        <f t="shared" si="8"/>
        <v>#DIV/0!</v>
      </c>
      <c r="U76">
        <f t="shared" si="9"/>
        <v>0.21333333333333335</v>
      </c>
      <c r="V76">
        <f t="shared" si="10"/>
        <v>0.11208</v>
      </c>
      <c r="W76">
        <f t="shared" si="11"/>
        <v>0.34243397573162027</v>
      </c>
    </row>
    <row r="77" spans="1:23" x14ac:dyDescent="0.25">
      <c r="B77" s="8" t="s">
        <v>18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>
        <v>7.3099999999999999E-4</v>
      </c>
      <c r="O77" s="8">
        <v>2.9999999999999997E-4</v>
      </c>
      <c r="P77" s="8">
        <v>9.6299999999999999E-4</v>
      </c>
      <c r="Q77" s="8">
        <v>1.4925990000000001E-3</v>
      </c>
      <c r="R77">
        <f t="shared" si="6"/>
        <v>4.9753300000000005</v>
      </c>
      <c r="S77">
        <f t="shared" si="7"/>
        <v>0.3115264797507788</v>
      </c>
      <c r="T77" s="22" t="e">
        <f t="shared" si="8"/>
        <v>#DIV/0!</v>
      </c>
      <c r="U77" s="22" t="e">
        <f t="shared" si="9"/>
        <v>#DIV/0!</v>
      </c>
      <c r="V77">
        <f t="shared" si="10"/>
        <v>0</v>
      </c>
      <c r="W77" t="e">
        <f t="shared" si="11"/>
        <v>#DIV/0!</v>
      </c>
    </row>
    <row r="78" spans="1:23" x14ac:dyDescent="0.25">
      <c r="B78" s="3" t="s">
        <v>16</v>
      </c>
      <c r="C78" s="3">
        <v>23</v>
      </c>
      <c r="D78" s="3">
        <v>18</v>
      </c>
      <c r="E78" s="3">
        <v>17</v>
      </c>
      <c r="F78" s="3">
        <v>6</v>
      </c>
      <c r="G78" s="3">
        <v>4.67</v>
      </c>
      <c r="H78" s="3">
        <v>31.9</v>
      </c>
      <c r="I78" s="3">
        <v>15.6</v>
      </c>
      <c r="J78" s="3">
        <v>36.5</v>
      </c>
      <c r="K78" s="3">
        <v>0.15</v>
      </c>
      <c r="L78" s="3">
        <v>0.13</v>
      </c>
      <c r="M78" s="3">
        <v>0.13</v>
      </c>
      <c r="N78" s="3">
        <v>1.7419999999999998E-2</v>
      </c>
      <c r="O78" s="3">
        <v>1.2759999999999999E-2</v>
      </c>
      <c r="P78" s="3">
        <v>3.1280000000000002E-2</v>
      </c>
      <c r="Q78" s="3">
        <v>1.3747077000000002E-3</v>
      </c>
      <c r="R78">
        <f t="shared" si="6"/>
        <v>0.10773571316614423</v>
      </c>
      <c r="S78">
        <f t="shared" si="7"/>
        <v>0.40792838874680298</v>
      </c>
      <c r="T78">
        <f t="shared" si="8"/>
        <v>28</v>
      </c>
      <c r="U78">
        <f t="shared" si="9"/>
        <v>0.13666666666666669</v>
      </c>
      <c r="V78">
        <f t="shared" si="10"/>
        <v>1.7871200100000004E-5</v>
      </c>
      <c r="W78">
        <f t="shared" si="11"/>
        <v>713.99793682574204</v>
      </c>
    </row>
    <row r="79" spans="1:23" x14ac:dyDescent="0.25">
      <c r="B79" s="4" t="s">
        <v>20</v>
      </c>
      <c r="C79" s="4">
        <v>22</v>
      </c>
      <c r="D79" s="4">
        <v>19</v>
      </c>
      <c r="E79" s="4">
        <v>18</v>
      </c>
      <c r="F79" s="4">
        <v>11</v>
      </c>
      <c r="G79" s="4">
        <v>48.68</v>
      </c>
      <c r="H79" s="4"/>
      <c r="I79" s="4"/>
      <c r="J79" s="4"/>
      <c r="K79" s="4">
        <v>0.53</v>
      </c>
      <c r="L79" s="4">
        <v>0.36</v>
      </c>
      <c r="M79" s="4">
        <v>0.3</v>
      </c>
      <c r="N79" s="4">
        <v>5.0899999999999999E-3</v>
      </c>
      <c r="O79" s="4">
        <v>1.3933333333333332E-3</v>
      </c>
      <c r="P79" s="4">
        <v>8.5033333333333332E-3</v>
      </c>
      <c r="Q79" s="4">
        <v>0.48049033599999996</v>
      </c>
      <c r="R79">
        <f t="shared" si="6"/>
        <v>344.84952344497606</v>
      </c>
      <c r="S79">
        <f t="shared" si="7"/>
        <v>0.16385731085848687</v>
      </c>
      <c r="T79" s="22" t="e">
        <f t="shared" si="8"/>
        <v>#DIV/0!</v>
      </c>
      <c r="U79">
        <f t="shared" si="9"/>
        <v>0.39666666666666667</v>
      </c>
      <c r="V79">
        <f t="shared" si="10"/>
        <v>1.4414710079999999E-2</v>
      </c>
      <c r="W79">
        <f t="shared" si="11"/>
        <v>9.6660517318800862E-2</v>
      </c>
    </row>
    <row r="80" spans="1:23" x14ac:dyDescent="0.25">
      <c r="A80" s="2" t="s">
        <v>22</v>
      </c>
      <c r="B80" s="5" t="s">
        <v>23</v>
      </c>
      <c r="C80" s="5">
        <v>50</v>
      </c>
      <c r="D80" s="5">
        <v>26</v>
      </c>
      <c r="E80" s="5">
        <v>20</v>
      </c>
      <c r="F80" s="5">
        <v>3</v>
      </c>
      <c r="G80" s="5">
        <v>6.02</v>
      </c>
      <c r="H80" s="5">
        <v>44.8</v>
      </c>
      <c r="I80" s="5">
        <v>43.5</v>
      </c>
      <c r="J80" s="5">
        <v>48.4</v>
      </c>
      <c r="K80" s="5">
        <v>0.33</v>
      </c>
      <c r="L80" s="5">
        <v>0.32</v>
      </c>
      <c r="M80" s="5">
        <v>0.33</v>
      </c>
      <c r="N80" s="5">
        <v>0.32999999999999996</v>
      </c>
      <c r="O80" s="5">
        <v>7.2860000000000008E-2</v>
      </c>
      <c r="P80" s="5">
        <v>0.53383999999999998</v>
      </c>
      <c r="Q80" s="5">
        <v>12.114000000000001</v>
      </c>
      <c r="R80">
        <f t="shared" si="6"/>
        <v>166.26406807576171</v>
      </c>
      <c r="S80">
        <f t="shared" si="7"/>
        <v>0.1364828413007643</v>
      </c>
      <c r="T80">
        <f t="shared" si="8"/>
        <v>45.566666666666663</v>
      </c>
      <c r="U80">
        <f t="shared" si="9"/>
        <v>0.32666666666666666</v>
      </c>
      <c r="V80">
        <f t="shared" si="10"/>
        <v>0.39976200000000006</v>
      </c>
      <c r="W80">
        <f t="shared" si="11"/>
        <v>0.18225844377404554</v>
      </c>
    </row>
    <row r="81" spans="1:23" x14ac:dyDescent="0.25">
      <c r="B81" s="6" t="s">
        <v>15</v>
      </c>
      <c r="C81" s="6">
        <v>5</v>
      </c>
      <c r="D81" s="6">
        <v>4</v>
      </c>
      <c r="E81" s="6">
        <v>4</v>
      </c>
      <c r="F81" s="6">
        <v>15</v>
      </c>
      <c r="G81" s="6">
        <v>1.83</v>
      </c>
      <c r="H81" s="6">
        <v>1.9</v>
      </c>
      <c r="I81" s="6">
        <v>3.6</v>
      </c>
      <c r="J81" s="6">
        <v>7.3</v>
      </c>
      <c r="K81" s="6">
        <v>0.39</v>
      </c>
      <c r="L81" s="6">
        <v>0.16</v>
      </c>
      <c r="M81" s="6">
        <v>0.25</v>
      </c>
      <c r="N81" s="6">
        <v>6.0000000000000001E-3</v>
      </c>
      <c r="O81" s="6">
        <v>2.1999999999999997E-3</v>
      </c>
      <c r="P81" s="6">
        <v>1.2959999999999999E-2</v>
      </c>
      <c r="Q81" s="6">
        <v>3.0963414399999998E-3</v>
      </c>
      <c r="R81">
        <f t="shared" si="6"/>
        <v>1.4074279272727275</v>
      </c>
      <c r="S81">
        <f t="shared" si="7"/>
        <v>0.16975308641975306</v>
      </c>
      <c r="T81">
        <f t="shared" si="8"/>
        <v>4.2666666666666666</v>
      </c>
      <c r="U81">
        <f t="shared" si="9"/>
        <v>0.26666666666666666</v>
      </c>
      <c r="V81">
        <f t="shared" si="10"/>
        <v>7.7408536000000001E-5</v>
      </c>
      <c r="W81">
        <f t="shared" si="11"/>
        <v>28.420638261392771</v>
      </c>
    </row>
    <row r="82" spans="1:23" x14ac:dyDescent="0.25">
      <c r="B82" s="7" t="s">
        <v>24</v>
      </c>
      <c r="C82" s="7">
        <v>6</v>
      </c>
      <c r="D82" s="7">
        <v>5</v>
      </c>
      <c r="E82" s="7">
        <v>3</v>
      </c>
      <c r="F82" s="7">
        <v>42</v>
      </c>
      <c r="G82" s="7">
        <v>2.66</v>
      </c>
      <c r="H82" s="7">
        <v>2.7</v>
      </c>
      <c r="I82" s="7">
        <v>5.2</v>
      </c>
      <c r="J82" s="7">
        <v>8.6999999999999993</v>
      </c>
      <c r="K82" s="7">
        <v>0.24</v>
      </c>
      <c r="L82" s="7">
        <v>0.21</v>
      </c>
      <c r="M82" s="7">
        <v>0.56000000000000005</v>
      </c>
      <c r="N82" s="7">
        <v>0.01</v>
      </c>
      <c r="O82" s="7">
        <v>1.66E-3</v>
      </c>
      <c r="P82" s="7">
        <v>2.07E-2</v>
      </c>
      <c r="Q82" s="7">
        <v>1.1647839420000002E-2</v>
      </c>
      <c r="R82">
        <f t="shared" si="6"/>
        <v>7.0167707349397599</v>
      </c>
      <c r="S82">
        <f t="shared" si="7"/>
        <v>8.0193236714975843E-2</v>
      </c>
      <c r="T82">
        <f t="shared" si="8"/>
        <v>5.5333333333333341</v>
      </c>
      <c r="U82">
        <f t="shared" si="9"/>
        <v>0.33666666666666667</v>
      </c>
      <c r="V82">
        <f t="shared" si="10"/>
        <v>6.5227900752000011E-4</v>
      </c>
      <c r="W82">
        <f t="shared" si="11"/>
        <v>2.544923232025218</v>
      </c>
    </row>
    <row r="83" spans="1:23" x14ac:dyDescent="0.25">
      <c r="B83" s="8" t="s">
        <v>25</v>
      </c>
      <c r="C83" s="8">
        <v>49</v>
      </c>
      <c r="D83" s="8">
        <v>32</v>
      </c>
      <c r="E83" s="8">
        <v>28</v>
      </c>
      <c r="F83" s="8">
        <v>4</v>
      </c>
      <c r="G83" s="8">
        <v>86.22</v>
      </c>
      <c r="H83" s="8">
        <v>3.7</v>
      </c>
      <c r="I83" s="8">
        <v>3.6</v>
      </c>
      <c r="J83" s="8">
        <v>2.7</v>
      </c>
      <c r="K83" s="8">
        <v>0.27</v>
      </c>
      <c r="L83" s="8">
        <v>0.2</v>
      </c>
      <c r="M83" s="8">
        <v>0.18</v>
      </c>
      <c r="N83" s="8">
        <v>4.0000000000000002E-4</v>
      </c>
      <c r="O83" s="8">
        <v>1.46E-4</v>
      </c>
      <c r="P83" s="8">
        <v>7.1999999999999994E-4</v>
      </c>
      <c r="Q83" s="8">
        <v>2.0285904060000002E-2</v>
      </c>
      <c r="R83">
        <f t="shared" si="6"/>
        <v>138.9445483561644</v>
      </c>
      <c r="S83">
        <f t="shared" si="7"/>
        <v>0.20277777777777778</v>
      </c>
      <c r="T83">
        <f t="shared" si="8"/>
        <v>3.3333333333333335</v>
      </c>
      <c r="U83">
        <f t="shared" si="9"/>
        <v>0.21666666666666667</v>
      </c>
      <c r="V83">
        <f t="shared" si="10"/>
        <v>3.6514627308000002E-4</v>
      </c>
      <c r="W83">
        <f t="shared" si="11"/>
        <v>0.39983976494814943</v>
      </c>
    </row>
    <row r="84" spans="1:23" x14ac:dyDescent="0.25">
      <c r="B84" s="3" t="s">
        <v>20</v>
      </c>
      <c r="C84" s="3">
        <v>12</v>
      </c>
      <c r="D84" s="3">
        <v>13</v>
      </c>
      <c r="E84" s="3">
        <v>15</v>
      </c>
      <c r="F84" s="3">
        <v>4</v>
      </c>
      <c r="G84" s="3">
        <v>47.62</v>
      </c>
      <c r="H84" s="3">
        <v>48.4</v>
      </c>
      <c r="I84" s="3">
        <v>32.200000000000003</v>
      </c>
      <c r="J84" s="3">
        <v>34.700000000000003</v>
      </c>
      <c r="K84" s="3">
        <v>0.5</v>
      </c>
      <c r="L84" s="3">
        <v>0.31</v>
      </c>
      <c r="M84" s="3">
        <v>0.21</v>
      </c>
      <c r="N84" s="3">
        <v>8.0000000000000002E-3</v>
      </c>
      <c r="O84" s="3">
        <v>1.6199999999999999E-3</v>
      </c>
      <c r="P84" s="3">
        <v>1.328E-2</v>
      </c>
      <c r="Q84" s="3">
        <v>0.66725502400000014</v>
      </c>
      <c r="R84">
        <f t="shared" si="6"/>
        <v>411.8858172839507</v>
      </c>
      <c r="S84">
        <f t="shared" si="7"/>
        <v>0.12198795180722891</v>
      </c>
      <c r="T84">
        <f t="shared" si="8"/>
        <v>38.43333333333333</v>
      </c>
      <c r="U84">
        <f t="shared" si="9"/>
        <v>0.34</v>
      </c>
      <c r="V84">
        <f t="shared" si="10"/>
        <v>1.4012355504000002E-2</v>
      </c>
      <c r="W84">
        <f t="shared" si="11"/>
        <v>0.11561225373832049</v>
      </c>
    </row>
    <row r="85" spans="1:23" x14ac:dyDescent="0.25">
      <c r="A85" s="2" t="s">
        <v>26</v>
      </c>
      <c r="B85" s="9" t="s">
        <v>27</v>
      </c>
      <c r="C85" s="9">
        <v>25</v>
      </c>
      <c r="D85" s="9">
        <v>30</v>
      </c>
      <c r="E85" s="9">
        <v>33</v>
      </c>
      <c r="F85" s="9">
        <v>7</v>
      </c>
      <c r="G85" s="9">
        <v>1.59</v>
      </c>
      <c r="H85" s="9">
        <v>9.1999999999999993</v>
      </c>
      <c r="I85" s="9">
        <v>21.1</v>
      </c>
      <c r="J85" s="9">
        <v>11.8</v>
      </c>
      <c r="K85" s="9">
        <v>0.44</v>
      </c>
      <c r="L85" s="9">
        <v>0.56000000000000005</v>
      </c>
      <c r="M85" s="9">
        <v>0.25</v>
      </c>
      <c r="N85" s="9">
        <v>3.8133333333333335E-3</v>
      </c>
      <c r="O85" s="9">
        <v>1.5200000000000001E-3</v>
      </c>
      <c r="P85" s="9">
        <v>6.7200000000000003E-3</v>
      </c>
      <c r="Q85" s="9">
        <v>0.28000000000000003</v>
      </c>
      <c r="R85">
        <f t="shared" si="6"/>
        <v>184.21052631578948</v>
      </c>
      <c r="S85">
        <f t="shared" si="7"/>
        <v>0.22619047619047619</v>
      </c>
      <c r="T85">
        <f t="shared" si="8"/>
        <v>14.033333333333333</v>
      </c>
      <c r="U85">
        <f t="shared" si="9"/>
        <v>0.41666666666666669</v>
      </c>
      <c r="V85">
        <f t="shared" si="10"/>
        <v>7.000000000000001E-3</v>
      </c>
      <c r="W85">
        <f t="shared" si="11"/>
        <v>0.21714285714285711</v>
      </c>
    </row>
    <row r="86" spans="1:23" x14ac:dyDescent="0.25">
      <c r="B86" s="5" t="s">
        <v>28</v>
      </c>
      <c r="C86" s="5">
        <v>8</v>
      </c>
      <c r="D86" s="5">
        <v>8.5</v>
      </c>
      <c r="E86" s="5">
        <v>11</v>
      </c>
      <c r="F86" s="5"/>
      <c r="G86" s="5">
        <v>9.5299999999999994</v>
      </c>
      <c r="H86" s="5">
        <v>15</v>
      </c>
      <c r="I86" s="5">
        <v>15.2</v>
      </c>
      <c r="J86" s="5">
        <v>11.1</v>
      </c>
      <c r="K86" s="5">
        <v>0.2</v>
      </c>
      <c r="L86" s="5">
        <v>0.24</v>
      </c>
      <c r="M86" s="5">
        <v>0.1</v>
      </c>
      <c r="N86" s="5">
        <v>4.6620000000000002E-2</v>
      </c>
      <c r="O86" s="5">
        <v>4.4400000000000004E-3</v>
      </c>
      <c r="P86" s="5">
        <v>3.9040000000000005E-2</v>
      </c>
      <c r="Q86" s="5">
        <v>1.01</v>
      </c>
      <c r="R86">
        <f t="shared" si="6"/>
        <v>227.47747747747746</v>
      </c>
      <c r="S86">
        <f t="shared" si="7"/>
        <v>0.1137295081967213</v>
      </c>
      <c r="T86">
        <f t="shared" si="8"/>
        <v>13.766666666666666</v>
      </c>
      <c r="U86">
        <f t="shared" si="9"/>
        <v>0.18000000000000002</v>
      </c>
      <c r="V86">
        <f t="shared" si="10"/>
        <v>1.0100000000000001E-2</v>
      </c>
      <c r="W86">
        <f t="shared" si="11"/>
        <v>0.43960396039603961</v>
      </c>
    </row>
    <row r="87" spans="1:23" x14ac:dyDescent="0.25">
      <c r="B87" s="6" t="s">
        <v>16</v>
      </c>
      <c r="C87" s="6">
        <v>15</v>
      </c>
      <c r="D87" s="6">
        <v>16</v>
      </c>
      <c r="E87" s="6">
        <v>10</v>
      </c>
      <c r="F87" s="6">
        <v>14</v>
      </c>
      <c r="G87" s="6">
        <v>16.25</v>
      </c>
      <c r="H87" s="6">
        <v>41.6</v>
      </c>
      <c r="I87" s="6">
        <v>28.9</v>
      </c>
      <c r="J87" s="6">
        <v>38.1</v>
      </c>
      <c r="K87" s="6">
        <v>0.09</v>
      </c>
      <c r="L87" s="6">
        <v>0.1</v>
      </c>
      <c r="M87" s="6">
        <v>0.12</v>
      </c>
      <c r="N87" s="6">
        <v>3.2660000000000002E-2</v>
      </c>
      <c r="O87" s="6">
        <v>2.1999999999999999E-2</v>
      </c>
      <c r="P87" s="6">
        <v>5.0839999999999996E-2</v>
      </c>
      <c r="Q87" s="6">
        <v>1.3181563000000001E-3</v>
      </c>
      <c r="R87">
        <f t="shared" si="6"/>
        <v>5.9916195454545462E-2</v>
      </c>
      <c r="S87">
        <f t="shared" si="7"/>
        <v>0.43273013375295044</v>
      </c>
      <c r="T87">
        <f t="shared" si="8"/>
        <v>36.199999999999996</v>
      </c>
      <c r="U87">
        <f t="shared" si="9"/>
        <v>0.10333333333333333</v>
      </c>
      <c r="V87">
        <f t="shared" si="10"/>
        <v>1.5817875600000001E-5</v>
      </c>
      <c r="W87">
        <f t="shared" si="11"/>
        <v>1390.8315222810322</v>
      </c>
    </row>
    <row r="88" spans="1:23" x14ac:dyDescent="0.25">
      <c r="B88" s="7" t="s">
        <v>23</v>
      </c>
      <c r="C88" s="7">
        <v>35</v>
      </c>
      <c r="D88" s="7"/>
      <c r="E88" s="7"/>
      <c r="F88" s="7">
        <v>1</v>
      </c>
      <c r="G88" s="7">
        <v>2.08</v>
      </c>
      <c r="H88" s="7">
        <v>33.4</v>
      </c>
      <c r="I88" s="7">
        <v>39.9</v>
      </c>
      <c r="J88" s="7">
        <v>36</v>
      </c>
      <c r="K88" s="7">
        <v>0.27</v>
      </c>
      <c r="L88" s="7">
        <v>0.21</v>
      </c>
      <c r="M88" s="7">
        <v>0.28999999999999998</v>
      </c>
      <c r="N88" s="7">
        <v>5.6160000000000002E-2</v>
      </c>
      <c r="O88" s="7">
        <v>1.966E-2</v>
      </c>
      <c r="P88" s="7">
        <v>9.5240000000000005E-2</v>
      </c>
      <c r="Q88" s="7">
        <v>2.5380000000000003</v>
      </c>
      <c r="R88">
        <f t="shared" si="6"/>
        <v>129.09460834181078</v>
      </c>
      <c r="S88">
        <f t="shared" si="7"/>
        <v>0.20642587148257033</v>
      </c>
      <c r="T88">
        <f t="shared" si="8"/>
        <v>36.43333333333333</v>
      </c>
      <c r="U88">
        <f t="shared" si="9"/>
        <v>0.25666666666666665</v>
      </c>
      <c r="V88">
        <f t="shared" si="10"/>
        <v>7.3602000000000001E-2</v>
      </c>
      <c r="W88">
        <f t="shared" si="11"/>
        <v>0.26711230673079533</v>
      </c>
    </row>
    <row r="89" spans="1:23" x14ac:dyDescent="0.25">
      <c r="B89" s="8" t="s">
        <v>30</v>
      </c>
      <c r="C89" s="8">
        <v>33</v>
      </c>
      <c r="D89" s="8">
        <v>40</v>
      </c>
      <c r="E89" s="8">
        <v>25</v>
      </c>
      <c r="F89" s="8">
        <v>7</v>
      </c>
      <c r="G89" s="8">
        <v>22.26</v>
      </c>
      <c r="H89" s="8">
        <v>58.3</v>
      </c>
      <c r="I89" s="8">
        <v>44.5</v>
      </c>
      <c r="J89" s="8">
        <v>59.9</v>
      </c>
      <c r="K89" s="8">
        <v>0.17</v>
      </c>
      <c r="L89" s="8">
        <v>0.19</v>
      </c>
      <c r="M89" s="8">
        <v>0.17</v>
      </c>
      <c r="N89" s="8">
        <v>1.61E-2</v>
      </c>
      <c r="O89" s="8">
        <v>8.7933333333333318E-3</v>
      </c>
      <c r="P89" s="8">
        <v>2.7533333333333333E-2</v>
      </c>
      <c r="Q89" s="8">
        <v>1.1166666666666667</v>
      </c>
      <c r="R89">
        <f t="shared" si="6"/>
        <v>126.99014404852163</v>
      </c>
      <c r="S89">
        <f t="shared" si="7"/>
        <v>0.31937046004842612</v>
      </c>
      <c r="T89">
        <f t="shared" si="8"/>
        <v>54.233333333333327</v>
      </c>
      <c r="U89">
        <f t="shared" si="9"/>
        <v>0.17666666666666667</v>
      </c>
      <c r="V89">
        <f t="shared" si="10"/>
        <v>1.8983333333333335E-2</v>
      </c>
      <c r="W89">
        <f t="shared" si="11"/>
        <v>0.46321334503950823</v>
      </c>
    </row>
    <row r="90" spans="1:23" x14ac:dyDescent="0.25">
      <c r="B90" s="3" t="s">
        <v>24</v>
      </c>
      <c r="C90" s="3">
        <v>15</v>
      </c>
      <c r="D90" s="3">
        <v>21</v>
      </c>
      <c r="E90" s="3">
        <v>8</v>
      </c>
      <c r="F90" s="3">
        <v>8</v>
      </c>
      <c r="G90" s="3">
        <v>24.72</v>
      </c>
      <c r="H90" s="3">
        <v>13.6</v>
      </c>
      <c r="I90" s="3">
        <v>15.9</v>
      </c>
      <c r="J90" s="3">
        <v>10</v>
      </c>
      <c r="K90" s="3">
        <v>0.21</v>
      </c>
      <c r="L90" s="3">
        <v>0.41</v>
      </c>
      <c r="M90" s="3">
        <v>0.3</v>
      </c>
      <c r="N90" s="3">
        <v>2.9299999999999999E-3</v>
      </c>
      <c r="O90" s="3">
        <v>1.7049999999999999E-3</v>
      </c>
      <c r="P90" s="3">
        <v>6.7349999999999997E-3</v>
      </c>
      <c r="Q90" s="3">
        <v>0.248</v>
      </c>
      <c r="R90">
        <f t="shared" si="6"/>
        <v>145.45454545454547</v>
      </c>
      <c r="S90">
        <f t="shared" si="7"/>
        <v>0.25315515961395696</v>
      </c>
      <c r="T90">
        <f t="shared" si="8"/>
        <v>13.166666666666666</v>
      </c>
      <c r="U90">
        <f t="shared" si="9"/>
        <v>0.30666666666666664</v>
      </c>
      <c r="V90">
        <f t="shared" si="10"/>
        <v>7.4399999999999996E-3</v>
      </c>
      <c r="W90">
        <f t="shared" si="11"/>
        <v>0.22916666666666666</v>
      </c>
    </row>
    <row r="91" spans="1:23" x14ac:dyDescent="0.25">
      <c r="A91" s="2" t="s">
        <v>29</v>
      </c>
      <c r="B91" s="9" t="s">
        <v>31</v>
      </c>
      <c r="C91" s="9">
        <v>7</v>
      </c>
      <c r="D91" s="9"/>
      <c r="E91" s="9"/>
      <c r="F91" s="9">
        <v>1</v>
      </c>
      <c r="G91" s="9">
        <v>0.11</v>
      </c>
      <c r="H91" s="9">
        <v>36.200000000000003</v>
      </c>
      <c r="I91" s="9">
        <v>16.5</v>
      </c>
      <c r="J91" s="9">
        <v>16.5</v>
      </c>
      <c r="K91" s="9">
        <v>0.19</v>
      </c>
      <c r="L91" s="9">
        <v>0.16</v>
      </c>
      <c r="M91" s="9">
        <v>0.12</v>
      </c>
      <c r="N91" s="9">
        <v>3.96E-3</v>
      </c>
      <c r="O91" s="9">
        <v>1.83E-3</v>
      </c>
      <c r="P91" s="9">
        <v>1.001E-2</v>
      </c>
      <c r="Q91" s="9">
        <v>0.72499999999999998</v>
      </c>
      <c r="R91">
        <f t="shared" si="6"/>
        <v>396.17486338797812</v>
      </c>
      <c r="S91">
        <f t="shared" si="7"/>
        <v>0.18281718281718282</v>
      </c>
      <c r="T91">
        <f t="shared" si="8"/>
        <v>23.066666666666666</v>
      </c>
      <c r="U91">
        <f t="shared" si="9"/>
        <v>0.15666666666666665</v>
      </c>
      <c r="V91">
        <f t="shared" si="10"/>
        <v>8.6999999999999994E-3</v>
      </c>
      <c r="W91">
        <f t="shared" si="11"/>
        <v>0.2103448275862069</v>
      </c>
    </row>
    <row r="92" spans="1:23" x14ac:dyDescent="0.25">
      <c r="B92" s="5" t="s">
        <v>20</v>
      </c>
      <c r="C92" s="5">
        <v>12</v>
      </c>
      <c r="D92" s="5">
        <v>8</v>
      </c>
      <c r="E92" s="5">
        <v>11</v>
      </c>
      <c r="F92" s="5">
        <v>5</v>
      </c>
      <c r="G92" s="5">
        <v>10.210000000000001</v>
      </c>
      <c r="H92" s="5">
        <v>6</v>
      </c>
      <c r="I92" s="5">
        <v>6.2</v>
      </c>
      <c r="J92" s="5">
        <v>16.5</v>
      </c>
      <c r="K92" s="5">
        <v>0.62</v>
      </c>
      <c r="L92" s="5">
        <v>0.28999999999999998</v>
      </c>
      <c r="M92" s="5">
        <v>0.3</v>
      </c>
      <c r="N92" s="5">
        <v>5.4949999999999999E-3</v>
      </c>
      <c r="O92" s="5">
        <v>1.6099999999999999E-3</v>
      </c>
      <c r="P92" s="5">
        <v>1.035E-2</v>
      </c>
      <c r="Q92" s="5">
        <v>0.18198465030000002</v>
      </c>
      <c r="R92">
        <f t="shared" si="6"/>
        <v>113.03394428571431</v>
      </c>
      <c r="S92">
        <f t="shared" si="7"/>
        <v>0.15555555555555556</v>
      </c>
      <c r="T92">
        <f t="shared" si="8"/>
        <v>9.5666666666666664</v>
      </c>
      <c r="U92">
        <f t="shared" si="9"/>
        <v>0.40333333333333332</v>
      </c>
      <c r="V92">
        <f t="shared" si="10"/>
        <v>5.4595395090000004E-3</v>
      </c>
      <c r="W92">
        <f t="shared" si="11"/>
        <v>0.29489666616496313</v>
      </c>
    </row>
    <row r="93" spans="1:23" x14ac:dyDescent="0.25">
      <c r="B93" s="6" t="s">
        <v>24</v>
      </c>
      <c r="C93" s="6">
        <v>9</v>
      </c>
      <c r="D93" s="6">
        <v>7</v>
      </c>
      <c r="E93" s="6">
        <v>5</v>
      </c>
      <c r="F93" s="6">
        <v>69</v>
      </c>
      <c r="G93" s="6">
        <v>9.69</v>
      </c>
      <c r="H93" s="6">
        <v>22.1</v>
      </c>
      <c r="I93" s="6">
        <v>25.4</v>
      </c>
      <c r="J93" s="6">
        <v>56.6</v>
      </c>
      <c r="K93" s="6">
        <v>0.3</v>
      </c>
      <c r="L93" s="6">
        <v>0.33</v>
      </c>
      <c r="M93" s="6">
        <v>0.18</v>
      </c>
      <c r="N93" s="6">
        <v>7.6300000000000005E-3</v>
      </c>
      <c r="O93" s="6">
        <v>1.56E-3</v>
      </c>
      <c r="P93" s="6">
        <v>1.0150000000000001E-2</v>
      </c>
      <c r="Q93" s="6">
        <v>1.119357876E-2</v>
      </c>
      <c r="R93">
        <f t="shared" si="6"/>
        <v>7.1753710000000002</v>
      </c>
      <c r="S93">
        <f t="shared" si="7"/>
        <v>0.15369458128078817</v>
      </c>
      <c r="T93">
        <f t="shared" si="8"/>
        <v>34.699999999999996</v>
      </c>
      <c r="U93">
        <f t="shared" si="9"/>
        <v>0.27</v>
      </c>
      <c r="V93">
        <f t="shared" si="10"/>
        <v>2.0148441768E-4</v>
      </c>
      <c r="W93">
        <f t="shared" si="11"/>
        <v>7.7425342265306636</v>
      </c>
    </row>
    <row r="94" spans="1:23" x14ac:dyDescent="0.25">
      <c r="B94" s="7" t="s">
        <v>23</v>
      </c>
      <c r="C94" s="7">
        <v>29</v>
      </c>
      <c r="D94" s="7">
        <v>13</v>
      </c>
      <c r="E94" s="7"/>
      <c r="F94" s="7">
        <v>2</v>
      </c>
      <c r="G94" s="7">
        <v>1.87</v>
      </c>
      <c r="H94" s="7">
        <v>33.6</v>
      </c>
      <c r="I94" s="7">
        <v>45.6</v>
      </c>
      <c r="J94" s="7">
        <v>31.2</v>
      </c>
      <c r="K94" s="7">
        <v>0.23</v>
      </c>
      <c r="L94" s="7">
        <v>0.34</v>
      </c>
      <c r="M94" s="7">
        <v>0.35</v>
      </c>
      <c r="N94" s="7">
        <v>7.5700000000000003E-2</v>
      </c>
      <c r="O94" s="7">
        <v>2.2720000000000001E-2</v>
      </c>
      <c r="P94" s="7">
        <v>0.11854000000000001</v>
      </c>
      <c r="Q94" s="7">
        <v>4.18</v>
      </c>
      <c r="R94">
        <f t="shared" si="6"/>
        <v>183.97887323943661</v>
      </c>
      <c r="S94">
        <f t="shared" si="7"/>
        <v>0.19166526067150327</v>
      </c>
      <c r="T94">
        <f t="shared" si="8"/>
        <v>36.800000000000004</v>
      </c>
      <c r="U94">
        <f t="shared" si="9"/>
        <v>0.3066666666666667</v>
      </c>
      <c r="V94">
        <f t="shared" si="10"/>
        <v>0.14629999999999999</v>
      </c>
      <c r="W94">
        <f t="shared" si="11"/>
        <v>0.15529733424470268</v>
      </c>
    </row>
    <row r="95" spans="1:23" x14ac:dyDescent="0.25">
      <c r="B95" s="8" t="s">
        <v>32</v>
      </c>
      <c r="C95" s="8">
        <v>19</v>
      </c>
      <c r="D95" s="8">
        <v>35</v>
      </c>
      <c r="E95" s="8">
        <v>7</v>
      </c>
      <c r="F95" s="8">
        <v>9</v>
      </c>
      <c r="G95" s="8">
        <v>28.55</v>
      </c>
      <c r="H95" s="8">
        <v>23.9</v>
      </c>
      <c r="I95" s="8">
        <v>19.2</v>
      </c>
      <c r="J95" s="8">
        <v>16.600000000000001</v>
      </c>
      <c r="K95" s="8">
        <v>0.28000000000000003</v>
      </c>
      <c r="L95" s="8">
        <v>0.23</v>
      </c>
      <c r="M95" s="8">
        <v>0.28999999999999998</v>
      </c>
      <c r="N95" s="8">
        <v>7.4300000000000006E-4</v>
      </c>
      <c r="O95" s="8">
        <v>2.4499999999999999E-4</v>
      </c>
      <c r="P95" s="8">
        <v>9.5699999999999995E-4</v>
      </c>
      <c r="Q95" s="8">
        <v>2.6191273800000004E-3</v>
      </c>
      <c r="R95">
        <f t="shared" si="6"/>
        <v>10.690315836734696</v>
      </c>
      <c r="S95">
        <f t="shared" si="7"/>
        <v>0.2560083594566353</v>
      </c>
      <c r="T95">
        <f t="shared" si="8"/>
        <v>19.899999999999999</v>
      </c>
      <c r="U95">
        <f t="shared" si="9"/>
        <v>0.26666666666666666</v>
      </c>
      <c r="V95">
        <f t="shared" si="10"/>
        <v>7.595469402000001E-5</v>
      </c>
      <c r="W95">
        <f t="shared" si="11"/>
        <v>3.2256070959286309</v>
      </c>
    </row>
    <row r="96" spans="1:23" x14ac:dyDescent="0.25">
      <c r="B96" s="3" t="s">
        <v>28</v>
      </c>
      <c r="C96" s="3">
        <v>15</v>
      </c>
      <c r="D96" s="3">
        <v>15</v>
      </c>
      <c r="E96" s="3">
        <v>16.5</v>
      </c>
      <c r="F96" s="3">
        <v>19</v>
      </c>
      <c r="G96" s="3">
        <v>33.35</v>
      </c>
      <c r="H96" s="3">
        <v>51.3</v>
      </c>
      <c r="I96" s="3">
        <v>20.7</v>
      </c>
      <c r="J96" s="3">
        <v>54.8</v>
      </c>
      <c r="K96" s="3">
        <v>0.22</v>
      </c>
      <c r="L96" s="3">
        <v>0.67</v>
      </c>
      <c r="M96" s="3">
        <v>0.26</v>
      </c>
      <c r="N96" s="3">
        <v>5.1959999999999992E-2</v>
      </c>
      <c r="O96" s="3">
        <v>4.4600000000000001E-2</v>
      </c>
      <c r="P96" s="3">
        <v>4.19E-2</v>
      </c>
      <c r="Q96" s="3">
        <v>1.1740000000000002</v>
      </c>
      <c r="R96">
        <f t="shared" si="6"/>
        <v>26.322869955156953</v>
      </c>
      <c r="S96">
        <f t="shared" si="7"/>
        <v>1.064439140811456</v>
      </c>
      <c r="T96">
        <f t="shared" si="8"/>
        <v>42.266666666666666</v>
      </c>
      <c r="U96">
        <f t="shared" si="9"/>
        <v>0.3833333333333333</v>
      </c>
      <c r="V96">
        <f t="shared" si="10"/>
        <v>3.0524000000000006E-2</v>
      </c>
      <c r="W96">
        <f t="shared" si="11"/>
        <v>1.4611453282662821</v>
      </c>
    </row>
    <row r="97" spans="1:23" x14ac:dyDescent="0.25">
      <c r="A97" s="2" t="s">
        <v>33</v>
      </c>
      <c r="B97" s="9" t="s">
        <v>32</v>
      </c>
      <c r="C97" s="9">
        <v>11</v>
      </c>
      <c r="D97" s="9">
        <v>8</v>
      </c>
      <c r="E97" s="9">
        <v>21</v>
      </c>
      <c r="F97" s="9">
        <v>30</v>
      </c>
      <c r="G97" s="9">
        <v>46.06</v>
      </c>
      <c r="H97" s="9">
        <v>20.5</v>
      </c>
      <c r="I97" s="9">
        <v>20.2</v>
      </c>
      <c r="J97" s="9">
        <v>18.100000000000001</v>
      </c>
      <c r="K97" s="9">
        <v>0.27</v>
      </c>
      <c r="L97" s="9">
        <v>0.33</v>
      </c>
      <c r="M97" s="9">
        <v>0.28000000000000003</v>
      </c>
      <c r="N97" s="9">
        <v>6.0000000000000001E-3</v>
      </c>
      <c r="O97" s="9">
        <v>8.8000000000000003E-4</v>
      </c>
      <c r="P97" s="9">
        <v>8.9599999999999992E-3</v>
      </c>
      <c r="Q97" s="9">
        <v>2.4666810079999997E-2</v>
      </c>
      <c r="R97">
        <f t="shared" si="6"/>
        <v>28.030465999999997</v>
      </c>
      <c r="S97">
        <f t="shared" si="7"/>
        <v>9.8214285714285726E-2</v>
      </c>
      <c r="T97">
        <f t="shared" si="8"/>
        <v>19.600000000000001</v>
      </c>
      <c r="U97">
        <f t="shared" si="9"/>
        <v>0.29333333333333339</v>
      </c>
      <c r="V97">
        <f t="shared" si="10"/>
        <v>6.9067068223999995E-4</v>
      </c>
      <c r="W97">
        <f t="shared" si="11"/>
        <v>1.274123866306244</v>
      </c>
    </row>
    <row r="98" spans="1:23" x14ac:dyDescent="0.25">
      <c r="B98" s="5" t="s">
        <v>28</v>
      </c>
      <c r="C98" s="5">
        <v>18</v>
      </c>
      <c r="D98" s="5">
        <v>15</v>
      </c>
      <c r="E98" s="5">
        <v>20</v>
      </c>
      <c r="F98" s="5">
        <v>3</v>
      </c>
      <c r="G98" s="5">
        <v>18.899999999999999</v>
      </c>
      <c r="H98" s="5">
        <v>14.4</v>
      </c>
      <c r="I98" s="5">
        <v>18.8</v>
      </c>
      <c r="J98" s="5">
        <v>30</v>
      </c>
      <c r="K98" s="5">
        <v>7.0000000000000007E-2</v>
      </c>
      <c r="L98" s="5">
        <v>0.28000000000000003</v>
      </c>
      <c r="M98" s="5">
        <v>0.24</v>
      </c>
      <c r="N98" s="5">
        <v>0.12</v>
      </c>
      <c r="O98" s="5">
        <v>8.5400000000000007E-3</v>
      </c>
      <c r="P98" s="5">
        <v>0.11692</v>
      </c>
      <c r="Q98" s="5">
        <v>2.286</v>
      </c>
      <c r="R98">
        <f t="shared" si="6"/>
        <v>267.68149882903981</v>
      </c>
      <c r="S98">
        <f t="shared" si="7"/>
        <v>7.304139582620596E-2</v>
      </c>
      <c r="T98">
        <f t="shared" si="8"/>
        <v>21.066666666666666</v>
      </c>
      <c r="U98">
        <f t="shared" si="9"/>
        <v>0.19666666666666668</v>
      </c>
      <c r="V98">
        <f t="shared" si="10"/>
        <v>5.4864000000000003E-2</v>
      </c>
      <c r="W98">
        <f t="shared" si="11"/>
        <v>0.15565762613006709</v>
      </c>
    </row>
    <row r="99" spans="1:23" x14ac:dyDescent="0.25">
      <c r="B99" s="6" t="s">
        <v>24</v>
      </c>
      <c r="C99" s="6">
        <v>13</v>
      </c>
      <c r="D99" s="6">
        <v>15</v>
      </c>
      <c r="E99" s="6">
        <v>10</v>
      </c>
      <c r="F99" s="6">
        <v>25</v>
      </c>
      <c r="G99" s="6">
        <v>13.94</v>
      </c>
      <c r="H99" s="6">
        <v>28.4</v>
      </c>
      <c r="I99" s="6">
        <v>26.8</v>
      </c>
      <c r="J99" s="6">
        <v>25.9</v>
      </c>
      <c r="K99" s="6">
        <v>0.13</v>
      </c>
      <c r="L99" s="6">
        <v>0.2</v>
      </c>
      <c r="M99" s="6">
        <v>0.33</v>
      </c>
      <c r="N99" s="6">
        <v>1.2E-2</v>
      </c>
      <c r="O99" s="6">
        <v>1.9599999999999999E-3</v>
      </c>
      <c r="P99" s="6">
        <v>2.2100000000000002E-2</v>
      </c>
      <c r="Q99" s="6">
        <v>1.2597117939999999E-2</v>
      </c>
      <c r="R99">
        <f t="shared" si="6"/>
        <v>6.4271009897959184</v>
      </c>
      <c r="S99">
        <f t="shared" si="7"/>
        <v>8.8687782805429854E-2</v>
      </c>
      <c r="T99">
        <f t="shared" si="8"/>
        <v>27.033333333333331</v>
      </c>
      <c r="U99">
        <f t="shared" si="9"/>
        <v>0.22</v>
      </c>
      <c r="V99">
        <f t="shared" si="10"/>
        <v>4.1570489202000005E-4</v>
      </c>
      <c r="W99">
        <f t="shared" si="11"/>
        <v>4.7148831722329163</v>
      </c>
    </row>
    <row r="100" spans="1:23" x14ac:dyDescent="0.25">
      <c r="A100" s="2" t="s">
        <v>34</v>
      </c>
      <c r="B100" s="7" t="s">
        <v>35</v>
      </c>
      <c r="C100" s="7">
        <v>19</v>
      </c>
      <c r="D100" s="7">
        <v>25</v>
      </c>
      <c r="E100" s="7">
        <v>11</v>
      </c>
      <c r="F100" s="7">
        <v>3</v>
      </c>
      <c r="G100" s="7">
        <v>10.38</v>
      </c>
      <c r="H100" s="7">
        <v>43</v>
      </c>
      <c r="I100" s="7">
        <v>40.700000000000003</v>
      </c>
      <c r="J100" s="7">
        <v>22.8</v>
      </c>
      <c r="K100" s="7">
        <v>0.17</v>
      </c>
      <c r="L100" s="7">
        <v>0.17</v>
      </c>
      <c r="M100" s="7">
        <v>0.19</v>
      </c>
      <c r="N100" s="7">
        <v>5.2039999999999996E-2</v>
      </c>
      <c r="O100" s="7">
        <v>1.47E-2</v>
      </c>
      <c r="P100" s="7">
        <v>9.2960000000000001E-2</v>
      </c>
      <c r="Q100" s="7">
        <v>2.6619999999999999</v>
      </c>
      <c r="R100">
        <f t="shared" si="6"/>
        <v>181.08843537414967</v>
      </c>
      <c r="S100">
        <f t="shared" si="7"/>
        <v>0.15813253012048192</v>
      </c>
      <c r="T100">
        <f t="shared" si="8"/>
        <v>35.5</v>
      </c>
      <c r="U100">
        <f t="shared" si="9"/>
        <v>0.17666666666666667</v>
      </c>
      <c r="V100">
        <f t="shared" si="10"/>
        <v>5.0577999999999998E-2</v>
      </c>
      <c r="W100">
        <f t="shared" si="11"/>
        <v>0.29064019929613666</v>
      </c>
    </row>
    <row r="101" spans="1:23" x14ac:dyDescent="0.25">
      <c r="B101" s="8" t="s">
        <v>24</v>
      </c>
      <c r="C101" s="8">
        <v>12</v>
      </c>
      <c r="D101" s="8">
        <v>18</v>
      </c>
      <c r="E101" s="8">
        <v>5</v>
      </c>
      <c r="F101" s="8">
        <v>95</v>
      </c>
      <c r="G101" s="8">
        <v>28.87</v>
      </c>
      <c r="H101" s="8">
        <v>24.2</v>
      </c>
      <c r="I101" s="8">
        <v>39.1</v>
      </c>
      <c r="J101" s="8">
        <v>31.4</v>
      </c>
      <c r="K101" s="8">
        <v>0.35</v>
      </c>
      <c r="L101" s="8">
        <v>0.32</v>
      </c>
      <c r="M101" s="8">
        <v>0.53</v>
      </c>
      <c r="N101" s="8">
        <v>3.8550000000000001E-2</v>
      </c>
      <c r="O101" s="8">
        <v>6.7499999999999999E-3</v>
      </c>
      <c r="P101" s="8">
        <v>5.5233333333333329E-2</v>
      </c>
      <c r="Q101" s="8">
        <v>1.2216666666666667</v>
      </c>
      <c r="R101">
        <f t="shared" si="6"/>
        <v>180.98765432098764</v>
      </c>
      <c r="S101">
        <f t="shared" si="7"/>
        <v>0.12220881110440555</v>
      </c>
      <c r="T101">
        <f t="shared" si="8"/>
        <v>31.566666666666663</v>
      </c>
      <c r="U101">
        <f t="shared" si="9"/>
        <v>0.39999999999999997</v>
      </c>
      <c r="V101">
        <f t="shared" si="10"/>
        <v>6.4748333333333338E-2</v>
      </c>
      <c r="W101">
        <f t="shared" si="11"/>
        <v>0.10424978763932147</v>
      </c>
    </row>
    <row r="102" spans="1:23" x14ac:dyDescent="0.25">
      <c r="B102" s="3" t="s">
        <v>37</v>
      </c>
      <c r="C102" s="3">
        <v>35</v>
      </c>
      <c r="D102" s="3">
        <v>38</v>
      </c>
      <c r="E102" s="3">
        <v>25</v>
      </c>
      <c r="F102" s="3">
        <v>3</v>
      </c>
      <c r="G102" s="3">
        <v>26.32</v>
      </c>
      <c r="H102" s="3">
        <v>42.2</v>
      </c>
      <c r="I102" s="3">
        <v>39.5</v>
      </c>
      <c r="J102" s="3">
        <v>36.5</v>
      </c>
      <c r="K102" s="3">
        <v>0.64</v>
      </c>
      <c r="L102" s="3">
        <v>0.42</v>
      </c>
      <c r="M102" s="3">
        <v>0.38</v>
      </c>
      <c r="N102" s="3">
        <v>7.0209999999999995E-2</v>
      </c>
      <c r="O102" s="3">
        <v>1.1730000000000001E-2</v>
      </c>
      <c r="P102" s="3">
        <v>7.6700000000000004E-2</v>
      </c>
      <c r="Q102" s="3">
        <v>1.7309999999999999</v>
      </c>
      <c r="R102">
        <f t="shared" si="6"/>
        <v>147.57033248081839</v>
      </c>
      <c r="S102">
        <f t="shared" si="7"/>
        <v>0.15293350717079532</v>
      </c>
      <c r="T102">
        <f t="shared" si="8"/>
        <v>39.4</v>
      </c>
      <c r="U102">
        <f t="shared" si="9"/>
        <v>0.48</v>
      </c>
      <c r="V102">
        <f t="shared" si="10"/>
        <v>6.5777999999999989E-2</v>
      </c>
      <c r="W102">
        <f t="shared" si="11"/>
        <v>0.17832710024628298</v>
      </c>
    </row>
    <row r="103" spans="1:23" x14ac:dyDescent="0.25">
      <c r="B103" s="9" t="s">
        <v>18</v>
      </c>
      <c r="C103" s="9">
        <v>36</v>
      </c>
      <c r="D103" s="9"/>
      <c r="E103" s="9"/>
      <c r="F103" s="9">
        <v>1</v>
      </c>
      <c r="G103" s="9">
        <v>29.78</v>
      </c>
      <c r="H103" s="9">
        <v>18.3</v>
      </c>
      <c r="I103" s="9">
        <v>16.8</v>
      </c>
      <c r="J103" s="9">
        <v>19.2</v>
      </c>
      <c r="K103" s="9">
        <v>0.42</v>
      </c>
      <c r="L103" s="9">
        <v>0.31</v>
      </c>
      <c r="M103" s="9">
        <v>0.24</v>
      </c>
      <c r="N103" s="9">
        <v>6.7699999999999998E-4</v>
      </c>
      <c r="O103" s="9">
        <v>2.8299999999999999E-4</v>
      </c>
      <c r="P103" s="9">
        <v>9.7400000000000004E-4</v>
      </c>
      <c r="Q103" s="9">
        <v>1.7824398399999999E-3</v>
      </c>
      <c r="R103">
        <f t="shared" si="6"/>
        <v>6.2983739929328619</v>
      </c>
      <c r="S103">
        <f t="shared" si="7"/>
        <v>0.29055441478439425</v>
      </c>
      <c r="T103">
        <f t="shared" si="8"/>
        <v>18.099999999999998</v>
      </c>
      <c r="U103">
        <f t="shared" si="9"/>
        <v>0.32333333333333331</v>
      </c>
      <c r="V103">
        <f t="shared" si="10"/>
        <v>4.2778556160000001E-5</v>
      </c>
      <c r="W103">
        <f t="shared" si="11"/>
        <v>6.6154640409443868</v>
      </c>
    </row>
    <row r="104" spans="1:23" x14ac:dyDescent="0.25">
      <c r="B104" s="7" t="s">
        <v>32</v>
      </c>
      <c r="C104" s="7">
        <v>10</v>
      </c>
      <c r="D104" s="7">
        <v>8</v>
      </c>
      <c r="E104" s="7">
        <v>16</v>
      </c>
      <c r="F104" s="7">
        <v>80</v>
      </c>
      <c r="G104" s="7">
        <v>55.33</v>
      </c>
      <c r="H104" s="7">
        <v>52.8</v>
      </c>
      <c r="I104" s="7">
        <v>35.299999999999997</v>
      </c>
      <c r="J104" s="7">
        <v>25.1</v>
      </c>
      <c r="K104" s="7">
        <v>0.53</v>
      </c>
      <c r="L104" s="7">
        <v>0.42</v>
      </c>
      <c r="M104" s="7">
        <v>0.24</v>
      </c>
      <c r="N104" s="7">
        <v>3.9849999999999998E-3</v>
      </c>
      <c r="O104" s="7">
        <v>5.1000000000000004E-4</v>
      </c>
      <c r="P104" s="7">
        <v>5.3900000000000007E-3</v>
      </c>
      <c r="Q104" s="7">
        <v>5.1843189799999998E-3</v>
      </c>
      <c r="R104">
        <f t="shared" si="6"/>
        <v>10.165331333333333</v>
      </c>
      <c r="S104">
        <f t="shared" si="7"/>
        <v>9.4619666048237475E-2</v>
      </c>
      <c r="T104">
        <f t="shared" si="8"/>
        <v>37.733333333333327</v>
      </c>
      <c r="U104">
        <f t="shared" si="9"/>
        <v>0.39666666666666667</v>
      </c>
      <c r="V104">
        <f t="shared" si="10"/>
        <v>1.2442365551999999E-4</v>
      </c>
      <c r="W104">
        <f t="shared" si="11"/>
        <v>4.0988990226060515</v>
      </c>
    </row>
    <row r="105" spans="1:23" x14ac:dyDescent="0.25">
      <c r="A105" s="2" t="s">
        <v>38</v>
      </c>
      <c r="B105" s="8" t="s">
        <v>39</v>
      </c>
      <c r="C105" s="8">
        <v>26</v>
      </c>
      <c r="D105" s="8">
        <v>21</v>
      </c>
      <c r="E105" s="8">
        <v>9</v>
      </c>
      <c r="F105" s="8">
        <v>25</v>
      </c>
      <c r="G105" s="8">
        <v>15.64</v>
      </c>
      <c r="H105" s="8">
        <v>28.7</v>
      </c>
      <c r="I105" s="8">
        <v>61.3</v>
      </c>
      <c r="J105" s="8">
        <v>29.2</v>
      </c>
      <c r="K105" s="8">
        <v>0.28000000000000003</v>
      </c>
      <c r="L105" s="8">
        <v>0.27</v>
      </c>
      <c r="M105" s="8">
        <v>0.23</v>
      </c>
      <c r="N105" s="8">
        <v>8.7499999999999991E-3</v>
      </c>
      <c r="O105" s="8">
        <v>3.7699999999999999E-3</v>
      </c>
      <c r="P105" s="8">
        <v>1.55E-2</v>
      </c>
      <c r="Q105" s="8">
        <v>0.66900000000000004</v>
      </c>
      <c r="R105">
        <f t="shared" si="6"/>
        <v>177.45358090185678</v>
      </c>
      <c r="S105">
        <f t="shared" si="7"/>
        <v>0.2432258064516129</v>
      </c>
      <c r="T105">
        <f t="shared" si="8"/>
        <v>39.733333333333334</v>
      </c>
      <c r="U105">
        <f t="shared" si="9"/>
        <v>0.26</v>
      </c>
      <c r="V105">
        <f t="shared" si="10"/>
        <v>1.5387000000000001E-2</v>
      </c>
      <c r="W105">
        <f t="shared" si="11"/>
        <v>0.24501202313641382</v>
      </c>
    </row>
    <row r="106" spans="1:23" x14ac:dyDescent="0.25">
      <c r="B106" s="3" t="s">
        <v>27</v>
      </c>
      <c r="C106" s="3">
        <v>17.5</v>
      </c>
      <c r="D106" s="3">
        <v>50</v>
      </c>
      <c r="E106" s="3">
        <v>22</v>
      </c>
      <c r="F106" s="3">
        <v>30</v>
      </c>
      <c r="G106" s="3">
        <v>18.68</v>
      </c>
      <c r="H106" s="3">
        <v>22.7</v>
      </c>
      <c r="I106" s="3">
        <v>33.799999999999997</v>
      </c>
      <c r="J106" s="3">
        <v>45.9</v>
      </c>
      <c r="K106" s="3">
        <v>0.22</v>
      </c>
      <c r="L106" s="3">
        <v>0.16</v>
      </c>
      <c r="M106" s="3">
        <v>0.79</v>
      </c>
      <c r="N106" s="3">
        <v>1.3809999999999999E-2</v>
      </c>
      <c r="O106" s="3">
        <v>6.0000000000000001E-3</v>
      </c>
      <c r="P106" s="3">
        <v>2.9399999999999999E-2</v>
      </c>
      <c r="Q106" s="3">
        <v>1.266</v>
      </c>
      <c r="R106">
        <f t="shared" si="6"/>
        <v>211</v>
      </c>
      <c r="S106">
        <f t="shared" si="7"/>
        <v>0.20408163265306123</v>
      </c>
      <c r="T106">
        <f t="shared" si="8"/>
        <v>34.133333333333333</v>
      </c>
      <c r="U106">
        <f t="shared" si="9"/>
        <v>0.38999999999999996</v>
      </c>
      <c r="V106">
        <f t="shared" si="10"/>
        <v>0.10001400000000001</v>
      </c>
      <c r="W106">
        <f t="shared" si="11"/>
        <v>5.999160117583538E-2</v>
      </c>
    </row>
    <row r="107" spans="1:23" x14ac:dyDescent="0.25">
      <c r="B107" s="9" t="s">
        <v>16</v>
      </c>
      <c r="C107" s="9">
        <v>15</v>
      </c>
      <c r="D107" s="9">
        <v>12</v>
      </c>
      <c r="E107" s="9">
        <v>19</v>
      </c>
      <c r="F107" s="9">
        <v>3</v>
      </c>
      <c r="G107" s="9">
        <v>3.69</v>
      </c>
      <c r="H107" s="9">
        <v>40.9</v>
      </c>
      <c r="I107" s="9">
        <v>42.5</v>
      </c>
      <c r="J107" s="9">
        <v>48.9</v>
      </c>
      <c r="K107" s="9">
        <v>0.17</v>
      </c>
      <c r="L107" s="9">
        <v>0.06</v>
      </c>
      <c r="M107" s="9">
        <v>0.08</v>
      </c>
      <c r="N107" s="9">
        <v>3.1899999999999998E-2</v>
      </c>
      <c r="O107" s="9">
        <v>2.1579999999999998E-2</v>
      </c>
      <c r="P107" s="9">
        <v>4.598E-2</v>
      </c>
      <c r="Q107" s="9">
        <v>5.7372635599999998E-3</v>
      </c>
      <c r="R107">
        <f t="shared" si="6"/>
        <v>0.26586022057460612</v>
      </c>
      <c r="S107">
        <f t="shared" si="7"/>
        <v>0.46933449325793819</v>
      </c>
      <c r="T107">
        <f t="shared" si="8"/>
        <v>44.1</v>
      </c>
      <c r="U107">
        <f t="shared" si="9"/>
        <v>0.10333333333333333</v>
      </c>
      <c r="V107">
        <f t="shared" si="10"/>
        <v>4.589810848E-5</v>
      </c>
      <c r="W107">
        <f t="shared" si="11"/>
        <v>470.17188103521602</v>
      </c>
    </row>
    <row r="108" spans="1:23" x14ac:dyDescent="0.25">
      <c r="B108" s="5" t="s">
        <v>23</v>
      </c>
      <c r="C108" s="5">
        <v>24</v>
      </c>
      <c r="D108" s="5">
        <v>45</v>
      </c>
      <c r="E108" s="5">
        <v>20</v>
      </c>
      <c r="F108" s="5">
        <v>4</v>
      </c>
      <c r="G108" s="5">
        <v>25.22</v>
      </c>
      <c r="H108" s="5"/>
      <c r="I108" s="5"/>
      <c r="J108" s="5"/>
      <c r="K108" s="5">
        <v>0.16</v>
      </c>
      <c r="L108" s="5">
        <v>0.12</v>
      </c>
      <c r="M108" s="5">
        <v>0.15</v>
      </c>
      <c r="N108" s="5">
        <v>0.10074000000000001</v>
      </c>
      <c r="O108" s="5">
        <v>2.5259999999999998E-2</v>
      </c>
      <c r="P108" s="5">
        <v>0.17208000000000001</v>
      </c>
      <c r="Q108" s="5">
        <v>4.1180000000000003</v>
      </c>
      <c r="R108">
        <f t="shared" si="6"/>
        <v>163.02454473475854</v>
      </c>
      <c r="S108">
        <f t="shared" si="7"/>
        <v>0.14679218967921895</v>
      </c>
      <c r="T108" s="22" t="e">
        <f t="shared" si="8"/>
        <v>#DIV/0!</v>
      </c>
      <c r="U108">
        <f t="shared" si="9"/>
        <v>0.14333333333333334</v>
      </c>
      <c r="V108">
        <f t="shared" si="10"/>
        <v>6.1770000000000005E-2</v>
      </c>
      <c r="W108">
        <f t="shared" si="11"/>
        <v>0.40893637688198148</v>
      </c>
    </row>
    <row r="109" spans="1:23" x14ac:dyDescent="0.25">
      <c r="B109" s="6" t="s">
        <v>32</v>
      </c>
      <c r="C109" s="6">
        <v>32</v>
      </c>
      <c r="D109" s="6">
        <v>15</v>
      </c>
      <c r="E109" s="6">
        <v>18</v>
      </c>
      <c r="F109" s="6">
        <v>3</v>
      </c>
      <c r="G109" s="6">
        <v>21.66</v>
      </c>
      <c r="H109" s="6">
        <v>47.1</v>
      </c>
      <c r="I109" s="6">
        <v>40.9</v>
      </c>
      <c r="J109" s="6">
        <v>46.8</v>
      </c>
      <c r="K109" s="6">
        <v>0.75</v>
      </c>
      <c r="L109" s="6">
        <v>0.74</v>
      </c>
      <c r="M109" s="6">
        <v>0.8</v>
      </c>
      <c r="N109" s="6">
        <v>4.7800000000000004E-3</v>
      </c>
      <c r="O109" s="6">
        <v>2.5999999999999998E-4</v>
      </c>
      <c r="P109" s="6">
        <v>3.8800000000000002E-3</v>
      </c>
      <c r="Q109" s="6">
        <v>3.5316493739999996E-2</v>
      </c>
      <c r="R109">
        <f t="shared" si="6"/>
        <v>135.83266823076923</v>
      </c>
      <c r="S109">
        <f t="shared" si="7"/>
        <v>6.7010309278350499E-2</v>
      </c>
      <c r="T109">
        <f t="shared" si="8"/>
        <v>44.933333333333337</v>
      </c>
      <c r="U109">
        <f t="shared" si="9"/>
        <v>0.76333333333333331</v>
      </c>
      <c r="V109">
        <f t="shared" si="10"/>
        <v>2.8253194991999997E-3</v>
      </c>
      <c r="W109">
        <f t="shared" si="11"/>
        <v>9.2024990474040197E-2</v>
      </c>
    </row>
    <row r="110" spans="1:23" x14ac:dyDescent="0.25">
      <c r="A110" s="2" t="s">
        <v>40</v>
      </c>
      <c r="B110" s="7" t="s">
        <v>23</v>
      </c>
      <c r="C110" s="7">
        <v>35</v>
      </c>
      <c r="D110" s="7">
        <v>72</v>
      </c>
      <c r="E110" s="7">
        <v>25.1</v>
      </c>
      <c r="F110" s="7">
        <v>3</v>
      </c>
      <c r="G110" s="7">
        <v>22.09</v>
      </c>
      <c r="H110" s="7">
        <v>47.5</v>
      </c>
      <c r="I110" s="7">
        <v>46.6</v>
      </c>
      <c r="J110" s="7">
        <v>45.6</v>
      </c>
      <c r="K110" s="7">
        <v>0.19</v>
      </c>
      <c r="L110" s="7">
        <v>0.18</v>
      </c>
      <c r="M110" s="7">
        <v>0.15</v>
      </c>
      <c r="N110" s="7">
        <v>9.486E-2</v>
      </c>
      <c r="O110" s="7">
        <v>2.3539999999999998E-2</v>
      </c>
      <c r="P110" s="7">
        <v>0.15464</v>
      </c>
      <c r="Q110" s="7">
        <v>4.1180000000000003</v>
      </c>
      <c r="R110">
        <f t="shared" si="6"/>
        <v>174.93627867459645</v>
      </c>
      <c r="S110">
        <f t="shared" si="7"/>
        <v>0.15222452146921883</v>
      </c>
      <c r="T110">
        <f t="shared" si="8"/>
        <v>46.566666666666663</v>
      </c>
      <c r="U110">
        <f t="shared" si="9"/>
        <v>0.17333333333333334</v>
      </c>
      <c r="V110">
        <f t="shared" si="10"/>
        <v>6.1770000000000005E-2</v>
      </c>
      <c r="W110">
        <f t="shared" si="11"/>
        <v>0.38109114456856075</v>
      </c>
    </row>
    <row r="111" spans="1:23" x14ac:dyDescent="0.25">
      <c r="B111" s="8" t="s">
        <v>17</v>
      </c>
      <c r="C111" s="8">
        <v>50</v>
      </c>
      <c r="D111" s="8">
        <v>56</v>
      </c>
      <c r="E111" s="8">
        <v>35</v>
      </c>
      <c r="F111" s="8">
        <v>3</v>
      </c>
      <c r="G111" s="8">
        <v>16.12</v>
      </c>
      <c r="H111" s="8">
        <v>54.7</v>
      </c>
      <c r="I111" s="8">
        <v>52.7</v>
      </c>
      <c r="J111" s="8">
        <v>53.3</v>
      </c>
      <c r="K111" s="8">
        <v>0.22</v>
      </c>
      <c r="L111" s="8">
        <v>0.25</v>
      </c>
      <c r="M111" s="8">
        <v>0.25</v>
      </c>
      <c r="N111" s="8">
        <v>0.27467999999999998</v>
      </c>
      <c r="O111" s="8">
        <v>0.12364</v>
      </c>
      <c r="P111" s="8">
        <v>0.33296000000000003</v>
      </c>
      <c r="Q111" s="8">
        <v>13.277999999999999</v>
      </c>
      <c r="R111">
        <f t="shared" si="6"/>
        <v>107.39242963442251</v>
      </c>
      <c r="S111">
        <f t="shared" si="7"/>
        <v>0.37133589620374818</v>
      </c>
      <c r="T111">
        <f t="shared" si="8"/>
        <v>53.566666666666663</v>
      </c>
      <c r="U111">
        <f t="shared" si="9"/>
        <v>0.24</v>
      </c>
      <c r="V111">
        <f t="shared" si="10"/>
        <v>0.33194999999999997</v>
      </c>
      <c r="W111">
        <f t="shared" si="11"/>
        <v>0.37246573279108303</v>
      </c>
    </row>
    <row r="112" spans="1:23" x14ac:dyDescent="0.25">
      <c r="B112" s="3" t="s">
        <v>32</v>
      </c>
      <c r="C112" s="3">
        <v>21</v>
      </c>
      <c r="D112" s="3">
        <v>11</v>
      </c>
      <c r="E112" s="3">
        <v>24</v>
      </c>
      <c r="F112" s="3">
        <v>43</v>
      </c>
      <c r="G112" s="3">
        <v>41.35</v>
      </c>
      <c r="H112" s="3">
        <v>15.2</v>
      </c>
      <c r="I112" s="3">
        <v>11.7</v>
      </c>
      <c r="J112" s="3">
        <v>12.3</v>
      </c>
      <c r="K112" s="3">
        <v>0.37</v>
      </c>
      <c r="L112" s="3">
        <v>0.56000000000000005</v>
      </c>
      <c r="M112" s="3">
        <v>0.37</v>
      </c>
      <c r="N112" s="3">
        <v>9.389999999999999E-3</v>
      </c>
      <c r="O112" s="3">
        <v>1.325E-3</v>
      </c>
      <c r="P112" s="3">
        <v>1.1715E-2</v>
      </c>
      <c r="Q112" s="3">
        <v>1.7996269440000001</v>
      </c>
      <c r="R112">
        <f t="shared" si="6"/>
        <v>1358.2090143396226</v>
      </c>
      <c r="S112">
        <f t="shared" si="7"/>
        <v>0.11310285958173283</v>
      </c>
      <c r="T112">
        <f t="shared" si="8"/>
        <v>13.066666666666668</v>
      </c>
      <c r="U112">
        <f t="shared" si="9"/>
        <v>0.43333333333333335</v>
      </c>
      <c r="V112">
        <f t="shared" si="10"/>
        <v>6.658619692800001E-2</v>
      </c>
      <c r="W112">
        <f t="shared" si="11"/>
        <v>1.9899019032919529E-2</v>
      </c>
    </row>
    <row r="113" spans="1:23" x14ac:dyDescent="0.25">
      <c r="B113" s="4" t="s">
        <v>15</v>
      </c>
      <c r="C113" s="4">
        <v>8</v>
      </c>
      <c r="D113" s="4">
        <v>8.5</v>
      </c>
      <c r="E113" s="4">
        <v>17.5</v>
      </c>
      <c r="F113" s="4">
        <v>5</v>
      </c>
      <c r="G113" s="4">
        <v>5.7</v>
      </c>
      <c r="H113" s="4">
        <v>22.1</v>
      </c>
      <c r="I113" s="4">
        <v>21.7</v>
      </c>
      <c r="J113" s="4">
        <v>17.100000000000001</v>
      </c>
      <c r="K113" s="4">
        <v>0.13</v>
      </c>
      <c r="L113" s="4">
        <v>0.23</v>
      </c>
      <c r="M113" s="4">
        <v>0.34</v>
      </c>
      <c r="N113" s="4">
        <v>4.8399999999999997E-3</v>
      </c>
      <c r="O113" s="4">
        <v>1.8100000000000002E-3</v>
      </c>
      <c r="P113" s="4">
        <v>1.0135E-2</v>
      </c>
      <c r="Q113" s="4">
        <v>5.3997795000000001E-3</v>
      </c>
      <c r="R113">
        <f t="shared" si="6"/>
        <v>2.9833035911602206</v>
      </c>
      <c r="S113">
        <f t="shared" si="7"/>
        <v>0.17858904785397139</v>
      </c>
      <c r="T113">
        <f t="shared" si="8"/>
        <v>20.3</v>
      </c>
      <c r="U113">
        <f t="shared" si="9"/>
        <v>0.23333333333333331</v>
      </c>
      <c r="V113">
        <f t="shared" si="10"/>
        <v>1.83592503E-4</v>
      </c>
      <c r="W113">
        <f t="shared" si="11"/>
        <v>9.8587903668375834</v>
      </c>
    </row>
    <row r="114" spans="1:23" x14ac:dyDescent="0.25">
      <c r="A114" s="2" t="s">
        <v>41</v>
      </c>
      <c r="B114" s="5" t="s">
        <v>23</v>
      </c>
      <c r="C114" s="5">
        <v>95</v>
      </c>
      <c r="D114" s="5">
        <v>34.5</v>
      </c>
      <c r="E114" s="5">
        <v>20</v>
      </c>
      <c r="F114" s="5">
        <v>3</v>
      </c>
      <c r="G114" s="5">
        <v>17.82</v>
      </c>
      <c r="H114" s="5">
        <v>45.8</v>
      </c>
      <c r="I114" s="5">
        <v>44.9</v>
      </c>
      <c r="J114" s="5">
        <v>47</v>
      </c>
      <c r="K114" s="5">
        <v>0.24</v>
      </c>
      <c r="L114" s="5">
        <v>0.25</v>
      </c>
      <c r="M114" s="5">
        <v>0.26</v>
      </c>
      <c r="N114" s="5">
        <v>0.21438000000000001</v>
      </c>
      <c r="O114" s="5">
        <v>4.7420000000000004E-2</v>
      </c>
      <c r="P114" s="5">
        <v>0.30471999999999999</v>
      </c>
      <c r="Q114" s="5">
        <v>8.9239999999999995</v>
      </c>
      <c r="R114">
        <f t="shared" si="6"/>
        <v>188.19063686208349</v>
      </c>
      <c r="S114">
        <f t="shared" si="7"/>
        <v>0.15561827251247048</v>
      </c>
      <c r="T114">
        <f t="shared" si="8"/>
        <v>45.9</v>
      </c>
      <c r="U114">
        <f t="shared" si="9"/>
        <v>0.25</v>
      </c>
      <c r="V114">
        <f t="shared" si="10"/>
        <v>0.23202400000000001</v>
      </c>
      <c r="W114">
        <f t="shared" si="11"/>
        <v>0.20437540944040272</v>
      </c>
    </row>
    <row r="115" spans="1:23" x14ac:dyDescent="0.25">
      <c r="B115" s="6" t="s">
        <v>24</v>
      </c>
      <c r="C115" s="6">
        <v>7</v>
      </c>
      <c r="D115" s="6">
        <v>5</v>
      </c>
      <c r="E115" s="6">
        <v>4</v>
      </c>
      <c r="F115" s="6">
        <v>64</v>
      </c>
      <c r="G115" s="6">
        <v>20.2</v>
      </c>
      <c r="H115" s="6">
        <v>8.1</v>
      </c>
      <c r="I115" s="6">
        <v>12.3</v>
      </c>
      <c r="J115" s="6">
        <v>8.1999999999999993</v>
      </c>
      <c r="K115" s="6">
        <v>0.18</v>
      </c>
      <c r="L115" s="6">
        <v>0.25</v>
      </c>
      <c r="M115" s="6">
        <v>0.33</v>
      </c>
      <c r="N115" s="6">
        <v>5.2699999999999995E-3</v>
      </c>
      <c r="O115" s="6">
        <v>2.8400000000000001E-3</v>
      </c>
      <c r="P115" s="6">
        <v>1.8110000000000001E-2</v>
      </c>
      <c r="Q115" s="6">
        <v>0.72799999999999998</v>
      </c>
      <c r="R115">
        <f t="shared" si="6"/>
        <v>256.33802816901408</v>
      </c>
      <c r="S115">
        <f t="shared" si="7"/>
        <v>0.15681943677526228</v>
      </c>
      <c r="T115">
        <f t="shared" si="8"/>
        <v>9.5333333333333332</v>
      </c>
      <c r="U115">
        <f t="shared" si="9"/>
        <v>0.25333333333333335</v>
      </c>
      <c r="V115">
        <f t="shared" si="10"/>
        <v>2.4024E-2</v>
      </c>
      <c r="W115">
        <f t="shared" si="11"/>
        <v>0.11821511821511822</v>
      </c>
    </row>
    <row r="116" spans="1:23" x14ac:dyDescent="0.25">
      <c r="B116" s="7" t="s">
        <v>16</v>
      </c>
      <c r="C116" s="7">
        <v>10</v>
      </c>
      <c r="D116" s="7">
        <v>24</v>
      </c>
      <c r="E116" s="7">
        <v>23</v>
      </c>
      <c r="F116" s="7">
        <v>4</v>
      </c>
      <c r="G116" s="7">
        <v>4</v>
      </c>
      <c r="H116" s="7">
        <v>14.3</v>
      </c>
      <c r="I116" s="7">
        <v>13</v>
      </c>
      <c r="J116" s="7">
        <v>7.8</v>
      </c>
      <c r="K116" s="7">
        <v>0.23</v>
      </c>
      <c r="L116" s="7">
        <v>0.18</v>
      </c>
      <c r="M116" s="7">
        <v>0.06</v>
      </c>
      <c r="N116" s="7">
        <v>2.7060000000000001E-2</v>
      </c>
      <c r="O116" s="7">
        <v>1.882E-2</v>
      </c>
      <c r="P116" s="7">
        <v>3.678E-2</v>
      </c>
      <c r="Q116" s="7">
        <v>8.6131142000000008E-4</v>
      </c>
      <c r="R116">
        <f t="shared" si="6"/>
        <v>4.5765750265674816E-2</v>
      </c>
      <c r="S116">
        <f t="shared" si="7"/>
        <v>0.51169113648722131</v>
      </c>
      <c r="T116">
        <f t="shared" si="8"/>
        <v>11.700000000000001</v>
      </c>
      <c r="U116">
        <f t="shared" si="9"/>
        <v>0.15666666666666668</v>
      </c>
      <c r="V116">
        <f t="shared" si="10"/>
        <v>5.1678685200000003E-6</v>
      </c>
      <c r="W116">
        <f t="shared" si="11"/>
        <v>3641.7335168581262</v>
      </c>
    </row>
    <row r="117" spans="1:23" x14ac:dyDescent="0.25">
      <c r="B117" s="8" t="s">
        <v>18</v>
      </c>
      <c r="C117" s="8">
        <v>40</v>
      </c>
      <c r="D117" s="8">
        <v>30</v>
      </c>
      <c r="E117" s="8"/>
      <c r="F117" s="8">
        <v>2</v>
      </c>
      <c r="G117" s="8">
        <v>106.45</v>
      </c>
      <c r="H117" s="8">
        <v>7.5</v>
      </c>
      <c r="I117" s="8">
        <v>13.6</v>
      </c>
      <c r="J117" s="8">
        <v>14.6</v>
      </c>
      <c r="K117" s="8">
        <v>0.28999999999999998</v>
      </c>
      <c r="L117" s="8">
        <v>0.36</v>
      </c>
      <c r="M117" s="8">
        <v>0.14000000000000001</v>
      </c>
      <c r="N117" s="8">
        <v>4.2999999999999999E-4</v>
      </c>
      <c r="O117" s="8">
        <v>1.7999999999999998E-4</v>
      </c>
      <c r="P117" s="8">
        <v>6.3600000000000006E-4</v>
      </c>
      <c r="Q117" s="8">
        <v>8.1159266000000005E-4</v>
      </c>
      <c r="R117">
        <f t="shared" si="6"/>
        <v>4.5088481111111118</v>
      </c>
      <c r="S117">
        <f t="shared" si="7"/>
        <v>0.28301886792452824</v>
      </c>
      <c r="T117">
        <f t="shared" si="8"/>
        <v>11.9</v>
      </c>
      <c r="U117">
        <f t="shared" si="9"/>
        <v>0.26333333333333331</v>
      </c>
      <c r="V117">
        <f t="shared" si="10"/>
        <v>1.1362297240000002E-5</v>
      </c>
      <c r="W117">
        <f t="shared" si="11"/>
        <v>15.841866851214318</v>
      </c>
    </row>
    <row r="118" spans="1:23" x14ac:dyDescent="0.25">
      <c r="A118" s="2" t="s">
        <v>94</v>
      </c>
      <c r="B118" s="5" t="s">
        <v>35</v>
      </c>
      <c r="C118" s="5">
        <v>32</v>
      </c>
      <c r="D118" s="5">
        <v>10</v>
      </c>
      <c r="E118" s="5">
        <v>22</v>
      </c>
      <c r="F118" s="5">
        <v>11</v>
      </c>
      <c r="G118" s="5">
        <v>10.27</v>
      </c>
      <c r="H118" s="5">
        <v>32</v>
      </c>
      <c r="I118" s="5">
        <v>25.7</v>
      </c>
      <c r="J118" s="5">
        <v>29.7</v>
      </c>
      <c r="K118" s="5">
        <v>0.16</v>
      </c>
      <c r="L118" s="5">
        <v>0.22</v>
      </c>
      <c r="M118" s="5">
        <v>0.17</v>
      </c>
      <c r="N118" s="5">
        <v>2.6000000000000002E-2</v>
      </c>
      <c r="O118" s="5">
        <v>6.4199999999999995E-3</v>
      </c>
      <c r="P118" s="5">
        <v>6.4820000000000003E-2</v>
      </c>
      <c r="Q118" s="5">
        <v>1.222</v>
      </c>
      <c r="R118">
        <f t="shared" si="6"/>
        <v>190.34267912772586</v>
      </c>
      <c r="S118">
        <f t="shared" si="7"/>
        <v>9.9043505091021278E-2</v>
      </c>
      <c r="T118">
        <f t="shared" si="8"/>
        <v>29.133333333333336</v>
      </c>
      <c r="U118">
        <f t="shared" si="9"/>
        <v>0.18333333333333335</v>
      </c>
      <c r="V118">
        <f t="shared" si="10"/>
        <v>2.0774000000000001E-2</v>
      </c>
      <c r="W118">
        <f t="shared" si="11"/>
        <v>0.30904014633676707</v>
      </c>
    </row>
    <row r="119" spans="1:23" x14ac:dyDescent="0.25">
      <c r="B119" s="6" t="s">
        <v>71</v>
      </c>
      <c r="C119" s="6">
        <v>31</v>
      </c>
      <c r="D119" s="6">
        <v>16</v>
      </c>
      <c r="E119" s="6">
        <v>12</v>
      </c>
      <c r="F119" s="6">
        <v>3</v>
      </c>
      <c r="G119" s="6">
        <v>2.98</v>
      </c>
      <c r="H119" s="6">
        <v>27.9</v>
      </c>
      <c r="I119" s="6">
        <v>43.5</v>
      </c>
      <c r="J119" s="6" t="s">
        <v>171</v>
      </c>
      <c r="K119" s="6">
        <v>0.84</v>
      </c>
      <c r="L119" s="6">
        <v>0.63</v>
      </c>
      <c r="M119" s="6">
        <v>0.43</v>
      </c>
      <c r="N119" s="6">
        <v>0.17599999999999999</v>
      </c>
      <c r="O119" s="6">
        <v>3.3100000000000004E-2</v>
      </c>
      <c r="P119" s="6">
        <v>0.26305999999999996</v>
      </c>
      <c r="Q119" s="6">
        <v>4.5680000000000005</v>
      </c>
      <c r="R119">
        <f t="shared" si="6"/>
        <v>138.00604229607251</v>
      </c>
      <c r="S119">
        <f t="shared" si="7"/>
        <v>0.12582680757241699</v>
      </c>
      <c r="T119">
        <f t="shared" si="8"/>
        <v>23.8</v>
      </c>
      <c r="U119">
        <f t="shared" si="9"/>
        <v>0.6333333333333333</v>
      </c>
      <c r="V119">
        <f t="shared" si="10"/>
        <v>0.19642400000000002</v>
      </c>
      <c r="W119">
        <f t="shared" si="11"/>
        <v>0.16851301266647661</v>
      </c>
    </row>
    <row r="120" spans="1:23" x14ac:dyDescent="0.25">
      <c r="B120" s="7" t="s">
        <v>73</v>
      </c>
      <c r="C120" s="7">
        <v>3.5</v>
      </c>
      <c r="D120" s="7">
        <v>8.5</v>
      </c>
      <c r="E120" s="7">
        <v>5</v>
      </c>
      <c r="F120" s="7">
        <v>26</v>
      </c>
      <c r="G120" s="7">
        <v>2.12</v>
      </c>
      <c r="H120" s="7">
        <v>35.4</v>
      </c>
      <c r="I120" s="7">
        <v>29.6</v>
      </c>
      <c r="J120" s="7" t="s">
        <v>172</v>
      </c>
      <c r="K120" s="7">
        <v>7.0000000000000007E-2</v>
      </c>
      <c r="L120" s="7">
        <v>7.0000000000000007E-2</v>
      </c>
      <c r="M120" s="7">
        <v>0.18</v>
      </c>
      <c r="N120" s="7">
        <v>0.01</v>
      </c>
      <c r="O120" s="7">
        <v>5.94E-3</v>
      </c>
      <c r="P120" s="7">
        <v>2.8160000000000001E-2</v>
      </c>
      <c r="Q120" s="7">
        <v>1.014</v>
      </c>
      <c r="R120">
        <f t="shared" si="6"/>
        <v>170.7070707070707</v>
      </c>
      <c r="S120">
        <f t="shared" si="7"/>
        <v>0.2109375</v>
      </c>
      <c r="T120">
        <f t="shared" si="8"/>
        <v>21.666666666666668</v>
      </c>
      <c r="U120">
        <f t="shared" si="9"/>
        <v>0.10666666666666667</v>
      </c>
      <c r="V120">
        <f t="shared" si="10"/>
        <v>1.8251999999999997E-2</v>
      </c>
      <c r="W120">
        <f t="shared" si="11"/>
        <v>0.32544378698224857</v>
      </c>
    </row>
    <row r="121" spans="1:23" x14ac:dyDescent="0.25">
      <c r="B121" s="8" t="s">
        <v>32</v>
      </c>
      <c r="C121" s="8">
        <v>34</v>
      </c>
      <c r="D121" s="8">
        <v>33</v>
      </c>
      <c r="E121" s="8">
        <v>15</v>
      </c>
      <c r="F121" s="8">
        <v>4</v>
      </c>
      <c r="G121" s="8">
        <v>23.95</v>
      </c>
      <c r="H121" s="8">
        <v>37</v>
      </c>
      <c r="I121" s="8">
        <v>68.900000000000006</v>
      </c>
      <c r="J121" s="8">
        <v>57.5</v>
      </c>
      <c r="K121" s="8">
        <v>0.88</v>
      </c>
      <c r="L121" s="8">
        <v>0.69</v>
      </c>
      <c r="M121" s="8">
        <v>0.77</v>
      </c>
      <c r="N121" s="8">
        <v>3.0000000000000001E-3</v>
      </c>
      <c r="O121" s="8">
        <v>1.5000000000000001E-4</v>
      </c>
      <c r="P121" s="8">
        <v>2.1199999999999999E-3</v>
      </c>
      <c r="Q121" s="8">
        <v>1.8365436099999997E-2</v>
      </c>
      <c r="R121">
        <f t="shared" si="6"/>
        <v>122.43624066666663</v>
      </c>
      <c r="S121">
        <f t="shared" si="7"/>
        <v>7.0754716981132088E-2</v>
      </c>
      <c r="T121">
        <f t="shared" si="8"/>
        <v>54.466666666666669</v>
      </c>
      <c r="U121">
        <f t="shared" si="9"/>
        <v>0.77999999999999992</v>
      </c>
      <c r="V121">
        <f t="shared" si="10"/>
        <v>1.4141385796999999E-3</v>
      </c>
      <c r="W121">
        <f t="shared" si="11"/>
        <v>0.10607164117665294</v>
      </c>
    </row>
    <row r="122" spans="1:23" x14ac:dyDescent="0.25">
      <c r="B122" s="3" t="s">
        <v>16</v>
      </c>
      <c r="C122" s="3">
        <v>26</v>
      </c>
      <c r="D122" s="3">
        <v>10</v>
      </c>
      <c r="E122" s="3">
        <v>12</v>
      </c>
      <c r="F122" s="3">
        <v>4</v>
      </c>
      <c r="G122" s="3">
        <v>4.6100000000000003</v>
      </c>
      <c r="H122" s="3">
        <v>45</v>
      </c>
      <c r="I122" s="3">
        <v>58.5</v>
      </c>
      <c r="J122" s="3">
        <v>52.2</v>
      </c>
      <c r="K122" s="3">
        <v>0.31</v>
      </c>
      <c r="L122" s="3">
        <v>0.2</v>
      </c>
      <c r="M122" s="3">
        <v>0.3</v>
      </c>
      <c r="N122" s="3">
        <v>3.7999999999999999E-2</v>
      </c>
      <c r="O122" s="3">
        <v>2.7339999999999996E-2</v>
      </c>
      <c r="P122" s="3">
        <v>5.4120000000000001E-2</v>
      </c>
      <c r="Q122" s="3">
        <v>1.2925307599999998E-3</v>
      </c>
      <c r="R122">
        <f t="shared" si="6"/>
        <v>4.727617995610827E-2</v>
      </c>
      <c r="S122">
        <f t="shared" si="7"/>
        <v>0.50517368810051733</v>
      </c>
      <c r="T122">
        <f t="shared" si="8"/>
        <v>51.9</v>
      </c>
      <c r="U122">
        <f t="shared" si="9"/>
        <v>0.27</v>
      </c>
      <c r="V122">
        <f t="shared" si="10"/>
        <v>3.8775922799999995E-5</v>
      </c>
      <c r="W122">
        <f t="shared" si="11"/>
        <v>705.07670806483031</v>
      </c>
    </row>
    <row r="123" spans="1:23" x14ac:dyDescent="0.25">
      <c r="A123" s="2" t="s">
        <v>95</v>
      </c>
      <c r="B123" s="5" t="s">
        <v>23</v>
      </c>
      <c r="C123" s="5">
        <v>19.5</v>
      </c>
      <c r="D123" s="5">
        <v>15</v>
      </c>
      <c r="E123" s="5">
        <v>5</v>
      </c>
      <c r="F123" s="5">
        <v>3</v>
      </c>
      <c r="G123" s="5">
        <v>6.49</v>
      </c>
      <c r="H123" s="5">
        <v>54</v>
      </c>
      <c r="I123" s="5">
        <v>63.2</v>
      </c>
      <c r="J123" s="5">
        <v>60.2</v>
      </c>
      <c r="K123" s="5">
        <v>0.28000000000000003</v>
      </c>
      <c r="L123" s="5">
        <v>0.39</v>
      </c>
      <c r="M123" s="5">
        <v>0.32</v>
      </c>
      <c r="N123" s="5">
        <v>0.27592</v>
      </c>
      <c r="O123" s="5">
        <v>4.2959999999999998E-2</v>
      </c>
      <c r="P123" s="5">
        <v>0.33576</v>
      </c>
      <c r="Q123" s="5">
        <v>8.8260000000000005</v>
      </c>
      <c r="R123">
        <f t="shared" si="6"/>
        <v>205.44692737430171</v>
      </c>
      <c r="S123">
        <f t="shared" si="7"/>
        <v>0.12794853466761971</v>
      </c>
      <c r="T123">
        <f t="shared" si="8"/>
        <v>59.133333333333333</v>
      </c>
      <c r="U123">
        <f t="shared" si="9"/>
        <v>0.33</v>
      </c>
      <c r="V123">
        <f t="shared" si="10"/>
        <v>0.28243200000000002</v>
      </c>
      <c r="W123">
        <f t="shared" si="11"/>
        <v>0.15210740992522093</v>
      </c>
    </row>
    <row r="124" spans="1:23" x14ac:dyDescent="0.25">
      <c r="B124" s="6" t="s">
        <v>73</v>
      </c>
      <c r="C124" s="6">
        <v>6</v>
      </c>
      <c r="D124" s="6">
        <v>5</v>
      </c>
      <c r="E124" s="6">
        <v>4.5</v>
      </c>
      <c r="F124" s="6">
        <v>25</v>
      </c>
      <c r="G124" s="6">
        <v>1.71</v>
      </c>
      <c r="H124" s="6">
        <v>61</v>
      </c>
      <c r="I124" s="6">
        <v>52.7</v>
      </c>
      <c r="J124" s="6">
        <v>59.8</v>
      </c>
      <c r="K124" s="6">
        <v>0.13</v>
      </c>
      <c r="L124" s="6">
        <v>0.14000000000000001</v>
      </c>
      <c r="M124" s="6">
        <v>0.2</v>
      </c>
      <c r="N124" s="6">
        <v>1.072E-2</v>
      </c>
      <c r="O124" s="6">
        <v>4.9299999999999995E-3</v>
      </c>
      <c r="P124" s="6">
        <v>2.402E-2</v>
      </c>
      <c r="Q124" s="6">
        <v>0.88500000000000001</v>
      </c>
      <c r="R124">
        <f t="shared" si="6"/>
        <v>179.51318458417853</v>
      </c>
      <c r="S124">
        <f t="shared" si="7"/>
        <v>0.20524562864279766</v>
      </c>
      <c r="T124">
        <f t="shared" si="8"/>
        <v>57.833333333333336</v>
      </c>
      <c r="U124">
        <f t="shared" si="9"/>
        <v>0.15666666666666668</v>
      </c>
      <c r="V124">
        <f t="shared" si="10"/>
        <v>1.77E-2</v>
      </c>
      <c r="W124">
        <f t="shared" si="11"/>
        <v>0.27853107344632766</v>
      </c>
    </row>
    <row r="125" spans="1:23" x14ac:dyDescent="0.25">
      <c r="B125" s="7" t="s">
        <v>39</v>
      </c>
      <c r="C125" s="7">
        <v>15.5</v>
      </c>
      <c r="D125" s="7">
        <v>24</v>
      </c>
      <c r="E125" s="7">
        <v>17</v>
      </c>
      <c r="F125" s="7">
        <v>3</v>
      </c>
      <c r="G125" s="7">
        <v>2.27</v>
      </c>
      <c r="H125" s="7">
        <v>26.1</v>
      </c>
      <c r="I125" s="7">
        <v>25.1</v>
      </c>
      <c r="J125" s="7">
        <v>18.5</v>
      </c>
      <c r="K125" s="7">
        <v>0.18</v>
      </c>
      <c r="L125" s="7">
        <v>0.19</v>
      </c>
      <c r="M125" s="7">
        <v>0.19</v>
      </c>
      <c r="N125" s="7">
        <v>2.9866666666666665E-3</v>
      </c>
      <c r="O125" s="7">
        <v>1.1933333333333334E-3</v>
      </c>
      <c r="P125" s="7">
        <v>4.6666666666666671E-3</v>
      </c>
      <c r="Q125" s="7">
        <v>2.3133333333333336E-2</v>
      </c>
      <c r="R125">
        <f t="shared" si="6"/>
        <v>19.385474860335197</v>
      </c>
      <c r="S125">
        <f t="shared" si="7"/>
        <v>0.25571428571428567</v>
      </c>
      <c r="T125">
        <f t="shared" si="8"/>
        <v>23.233333333333334</v>
      </c>
      <c r="U125">
        <f t="shared" si="9"/>
        <v>0.18666666666666668</v>
      </c>
      <c r="V125">
        <f t="shared" si="10"/>
        <v>4.3953333333333336E-4</v>
      </c>
      <c r="W125">
        <f t="shared" si="11"/>
        <v>2.7150007583800999</v>
      </c>
    </row>
    <row r="126" spans="1:23" x14ac:dyDescent="0.25">
      <c r="B126" s="8" t="s">
        <v>27</v>
      </c>
      <c r="C126" s="8">
        <v>58</v>
      </c>
      <c r="D126" s="8"/>
      <c r="E126" s="8"/>
      <c r="F126" s="8">
        <v>1</v>
      </c>
      <c r="G126" s="8">
        <v>18.89</v>
      </c>
      <c r="H126" s="8">
        <v>29.5</v>
      </c>
      <c r="I126" s="8">
        <v>30.8</v>
      </c>
      <c r="J126" s="8">
        <v>27.1</v>
      </c>
      <c r="K126" s="8">
        <v>0.66</v>
      </c>
      <c r="L126" s="8">
        <v>0.38</v>
      </c>
      <c r="M126" s="8">
        <v>0.14000000000000001</v>
      </c>
      <c r="N126" s="8">
        <v>4.96E-3</v>
      </c>
      <c r="O126" s="8">
        <v>2.7499999999999998E-3</v>
      </c>
      <c r="P126" s="8">
        <v>1.239E-2</v>
      </c>
      <c r="Q126" s="8">
        <v>0.56799999999999995</v>
      </c>
      <c r="R126">
        <f t="shared" si="6"/>
        <v>206.54545454545453</v>
      </c>
      <c r="S126">
        <f t="shared" si="7"/>
        <v>0.22195318805488295</v>
      </c>
      <c r="T126">
        <f t="shared" si="8"/>
        <v>29.133333333333336</v>
      </c>
      <c r="U126">
        <f t="shared" si="9"/>
        <v>0.39333333333333337</v>
      </c>
      <c r="V126">
        <f t="shared" si="10"/>
        <v>7.9520000000000007E-3</v>
      </c>
      <c r="W126">
        <f t="shared" si="11"/>
        <v>0.34582494969818911</v>
      </c>
    </row>
    <row r="127" spans="1:23" x14ac:dyDescent="0.25">
      <c r="B127" s="3" t="s">
        <v>16</v>
      </c>
      <c r="C127" s="3">
        <v>20</v>
      </c>
      <c r="D127" s="3">
        <v>12</v>
      </c>
      <c r="E127" s="3">
        <v>22</v>
      </c>
      <c r="F127" s="3">
        <v>12</v>
      </c>
      <c r="G127" s="3">
        <v>8.23</v>
      </c>
      <c r="H127" s="3">
        <v>50.4</v>
      </c>
      <c r="I127" s="3">
        <v>69.3</v>
      </c>
      <c r="J127" s="3">
        <v>69.400000000000006</v>
      </c>
      <c r="K127" s="3">
        <v>0.23</v>
      </c>
      <c r="L127" s="3">
        <v>0.3</v>
      </c>
      <c r="M127" s="3">
        <v>0.4</v>
      </c>
      <c r="N127" s="3">
        <v>2.2539999999999998E-2</v>
      </c>
      <c r="O127" s="3">
        <v>1.5340000000000001E-2</v>
      </c>
      <c r="P127" s="3">
        <v>3.0020000000000002E-2</v>
      </c>
      <c r="Q127" s="3">
        <v>7.8967231999999997E-4</v>
      </c>
      <c r="R127">
        <f t="shared" si="6"/>
        <v>5.1477986962190345E-2</v>
      </c>
      <c r="S127">
        <f t="shared" si="7"/>
        <v>0.51099267155229844</v>
      </c>
      <c r="T127">
        <f t="shared" si="8"/>
        <v>63.033333333333331</v>
      </c>
      <c r="U127">
        <f t="shared" si="9"/>
        <v>0.31</v>
      </c>
      <c r="V127">
        <f t="shared" si="10"/>
        <v>3.1586892799999998E-5</v>
      </c>
      <c r="W127">
        <f t="shared" si="11"/>
        <v>485.64447592641977</v>
      </c>
    </row>
    <row r="128" spans="1:23" x14ac:dyDescent="0.25">
      <c r="A128" s="2" t="s">
        <v>96</v>
      </c>
      <c r="B128" s="5" t="s">
        <v>35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>
        <v>3.6740000000000002E-2</v>
      </c>
      <c r="O128" s="5">
        <v>8.94E-3</v>
      </c>
      <c r="P128" s="5">
        <v>5.5510000000000004E-2</v>
      </c>
      <c r="Q128" s="5">
        <v>1.649</v>
      </c>
      <c r="R128">
        <f t="shared" si="6"/>
        <v>184.45190156599554</v>
      </c>
      <c r="S128">
        <f t="shared" si="7"/>
        <v>0.16105206269140696</v>
      </c>
      <c r="T128" s="22" t="e">
        <f t="shared" si="8"/>
        <v>#DIV/0!</v>
      </c>
      <c r="U128" s="22" t="e">
        <f t="shared" si="9"/>
        <v>#DIV/0!</v>
      </c>
      <c r="V128">
        <f t="shared" si="10"/>
        <v>0</v>
      </c>
      <c r="W128" t="e">
        <f t="shared" si="11"/>
        <v>#DIV/0!</v>
      </c>
    </row>
    <row r="129" spans="1:23" x14ac:dyDescent="0.25">
      <c r="B129" s="6" t="s">
        <v>97</v>
      </c>
      <c r="C129" s="6">
        <v>25</v>
      </c>
      <c r="D129" s="6">
        <v>8</v>
      </c>
      <c r="E129" s="6">
        <v>31</v>
      </c>
      <c r="F129" s="6">
        <v>13</v>
      </c>
      <c r="G129" s="6">
        <v>17.87</v>
      </c>
      <c r="H129" s="6">
        <v>12.7</v>
      </c>
      <c r="I129" s="6">
        <v>11</v>
      </c>
      <c r="J129" s="6">
        <v>11.2</v>
      </c>
      <c r="K129" s="6">
        <v>0.3</v>
      </c>
      <c r="L129" s="6">
        <v>0.39</v>
      </c>
      <c r="M129" s="6">
        <v>0.12</v>
      </c>
      <c r="N129" s="6">
        <v>5.8569999999999997E-2</v>
      </c>
      <c r="O129" s="6">
        <v>1.78E-2</v>
      </c>
      <c r="P129" s="6">
        <v>8.1889999999999991E-2</v>
      </c>
      <c r="Q129" s="6">
        <v>1.671</v>
      </c>
      <c r="R129">
        <f t="shared" si="6"/>
        <v>93.876404494382029</v>
      </c>
      <c r="S129">
        <f t="shared" si="7"/>
        <v>0.2173647576016608</v>
      </c>
      <c r="T129">
        <f t="shared" si="8"/>
        <v>11.633333333333333</v>
      </c>
      <c r="U129">
        <f t="shared" si="9"/>
        <v>0.26999999999999996</v>
      </c>
      <c r="V129">
        <f t="shared" si="10"/>
        <v>2.0052E-2</v>
      </c>
      <c r="W129">
        <f t="shared" si="11"/>
        <v>0.88769200079792532</v>
      </c>
    </row>
    <row r="130" spans="1:23" x14ac:dyDescent="0.25">
      <c r="B130" s="7" t="s">
        <v>32</v>
      </c>
      <c r="C130" s="7">
        <v>26</v>
      </c>
      <c r="D130" s="7">
        <v>21</v>
      </c>
      <c r="E130" s="7">
        <v>6</v>
      </c>
      <c r="F130" s="7">
        <v>28</v>
      </c>
      <c r="G130" s="7">
        <v>59.56</v>
      </c>
      <c r="H130" s="7">
        <v>26.4</v>
      </c>
      <c r="I130" s="7">
        <v>34.700000000000003</v>
      </c>
      <c r="J130" s="7">
        <v>32.799999999999997</v>
      </c>
      <c r="K130" s="7">
        <v>0.59</v>
      </c>
      <c r="L130" s="7">
        <v>0.44</v>
      </c>
      <c r="M130" s="7">
        <v>0.42</v>
      </c>
      <c r="N130" s="7">
        <v>4.2640000000000004E-3</v>
      </c>
      <c r="O130" s="7">
        <v>2.6400000000000002E-4</v>
      </c>
      <c r="P130" s="7">
        <v>3.7080000000000004E-3</v>
      </c>
      <c r="Q130" s="7">
        <v>1.1585827560000001E-2</v>
      </c>
      <c r="R130">
        <f t="shared" si="6"/>
        <v>43.885710454545453</v>
      </c>
      <c r="S130">
        <f t="shared" si="7"/>
        <v>7.1197411003236247E-2</v>
      </c>
      <c r="T130">
        <f t="shared" si="8"/>
        <v>31.3</v>
      </c>
      <c r="U130">
        <f t="shared" si="9"/>
        <v>0.48333333333333334</v>
      </c>
      <c r="V130">
        <f t="shared" si="10"/>
        <v>4.8660475752000003E-4</v>
      </c>
      <c r="W130">
        <f t="shared" si="11"/>
        <v>0.5425347695848397</v>
      </c>
    </row>
    <row r="131" spans="1:23" x14ac:dyDescent="0.25">
      <c r="A131" s="2" t="s">
        <v>98</v>
      </c>
      <c r="B131" s="5" t="s">
        <v>35</v>
      </c>
      <c r="C131" s="5">
        <v>26</v>
      </c>
      <c r="D131" s="5">
        <v>12</v>
      </c>
      <c r="E131" s="5">
        <v>5</v>
      </c>
      <c r="F131" s="5">
        <v>7</v>
      </c>
      <c r="G131" s="5">
        <v>32.94</v>
      </c>
      <c r="H131" s="5">
        <v>22.3</v>
      </c>
      <c r="I131" s="5">
        <v>45.5</v>
      </c>
      <c r="J131" s="5">
        <v>53.4</v>
      </c>
      <c r="K131" s="5">
        <v>0.49</v>
      </c>
      <c r="L131" s="5">
        <v>0.41</v>
      </c>
      <c r="M131" s="5">
        <v>0.25</v>
      </c>
      <c r="N131" s="5">
        <v>4.9840000000000002E-2</v>
      </c>
      <c r="O131" s="5">
        <v>1.508E-2</v>
      </c>
      <c r="P131" s="5">
        <v>0.11459999999999999</v>
      </c>
      <c r="Q131" s="5">
        <v>2.3260000000000001</v>
      </c>
      <c r="R131">
        <f t="shared" ref="R131:R194" si="12">Q131/O131</f>
        <v>154.24403183023873</v>
      </c>
      <c r="S131">
        <f t="shared" ref="S131:S194" si="13">O131/P131</f>
        <v>0.13158813263525307</v>
      </c>
      <c r="T131">
        <f t="shared" ref="T131:T194" si="14">AVERAGEA(H131:J131)</f>
        <v>40.4</v>
      </c>
      <c r="U131">
        <f t="shared" ref="U131:U194" si="15">AVERAGEA(K131:M131)</f>
        <v>0.3833333333333333</v>
      </c>
      <c r="V131">
        <f t="shared" ref="V131:V194" si="16">Q131*M131/10</f>
        <v>5.815E-2</v>
      </c>
      <c r="W131">
        <f t="shared" ref="W131:W194" si="17">O131/V131</f>
        <v>0.25932932072227</v>
      </c>
    </row>
    <row r="132" spans="1:23" x14ac:dyDescent="0.25">
      <c r="B132" s="6" t="s">
        <v>39</v>
      </c>
      <c r="C132" s="6">
        <v>25</v>
      </c>
      <c r="D132" s="6">
        <v>18</v>
      </c>
      <c r="E132" s="6">
        <v>10</v>
      </c>
      <c r="F132" s="6">
        <v>12</v>
      </c>
      <c r="G132" s="6">
        <v>3.28</v>
      </c>
      <c r="H132" s="6">
        <v>19.2</v>
      </c>
      <c r="I132" s="6">
        <v>11.3</v>
      </c>
      <c r="J132" s="6">
        <v>9.9</v>
      </c>
      <c r="K132" s="6">
        <v>0.16</v>
      </c>
      <c r="L132" s="6">
        <v>0.13</v>
      </c>
      <c r="M132" s="6">
        <v>0.1</v>
      </c>
      <c r="N132" s="6">
        <v>4.3533333333333332E-3</v>
      </c>
      <c r="O132" s="6">
        <v>2.1066666666666668E-3</v>
      </c>
      <c r="P132" s="6">
        <v>8.6400000000000001E-3</v>
      </c>
      <c r="Q132" s="6">
        <v>0.76133333333333342</v>
      </c>
      <c r="R132">
        <f t="shared" si="12"/>
        <v>361.39240506329116</v>
      </c>
      <c r="S132">
        <f t="shared" si="13"/>
        <v>0.24382716049382719</v>
      </c>
      <c r="T132">
        <f t="shared" si="14"/>
        <v>13.466666666666667</v>
      </c>
      <c r="U132">
        <f t="shared" si="15"/>
        <v>0.13</v>
      </c>
      <c r="V132">
        <f t="shared" si="16"/>
        <v>7.6133333333333348E-3</v>
      </c>
      <c r="W132">
        <f t="shared" si="17"/>
        <v>0.27670753064798598</v>
      </c>
    </row>
    <row r="133" spans="1:23" x14ac:dyDescent="0.25">
      <c r="B133" s="7" t="s">
        <v>16</v>
      </c>
      <c r="C133" s="7">
        <v>33</v>
      </c>
      <c r="D133" s="7">
        <v>8.5</v>
      </c>
      <c r="E133" s="7">
        <v>14</v>
      </c>
      <c r="F133" s="7">
        <v>7</v>
      </c>
      <c r="G133" s="7">
        <v>6.15</v>
      </c>
      <c r="H133" s="7">
        <v>23.3</v>
      </c>
      <c r="I133" s="7">
        <v>19.100000000000001</v>
      </c>
      <c r="J133" s="7">
        <v>21.5</v>
      </c>
      <c r="K133" s="7">
        <v>0.16</v>
      </c>
      <c r="L133" s="7">
        <v>0.13</v>
      </c>
      <c r="M133" s="7">
        <v>0.1</v>
      </c>
      <c r="N133" s="7">
        <v>3.0800000000000001E-2</v>
      </c>
      <c r="O133" s="7">
        <v>2.2120000000000001E-2</v>
      </c>
      <c r="P133" s="7">
        <v>4.4240000000000002E-2</v>
      </c>
      <c r="Q133" s="7">
        <v>1.3010401600000001E-3</v>
      </c>
      <c r="R133">
        <f t="shared" si="12"/>
        <v>5.8817367088607596E-2</v>
      </c>
      <c r="S133">
        <f t="shared" si="13"/>
        <v>0.5</v>
      </c>
      <c r="T133">
        <f t="shared" si="14"/>
        <v>21.3</v>
      </c>
      <c r="U133">
        <f t="shared" si="15"/>
        <v>0.13</v>
      </c>
      <c r="V133">
        <f t="shared" si="16"/>
        <v>1.3010401600000002E-5</v>
      </c>
      <c r="W133">
        <f t="shared" si="17"/>
        <v>1700.1781097979324</v>
      </c>
    </row>
    <row r="134" spans="1:23" x14ac:dyDescent="0.25">
      <c r="A134" s="2" t="s">
        <v>99</v>
      </c>
      <c r="B134" s="5" t="s">
        <v>35</v>
      </c>
      <c r="C134" s="5">
        <v>35</v>
      </c>
      <c r="D134" s="5"/>
      <c r="E134" s="5"/>
      <c r="F134" s="5">
        <v>1</v>
      </c>
      <c r="G134" s="5">
        <v>7.15</v>
      </c>
      <c r="H134" s="5">
        <v>35.5</v>
      </c>
      <c r="I134" s="5">
        <v>47.1</v>
      </c>
      <c r="J134" s="5">
        <v>40.1</v>
      </c>
      <c r="K134" s="5">
        <v>0.23</v>
      </c>
      <c r="L134" s="5">
        <v>0.24</v>
      </c>
      <c r="M134" s="5">
        <v>0.26</v>
      </c>
      <c r="N134" s="5">
        <v>4.718E-2</v>
      </c>
      <c r="O134" s="5">
        <v>1.4189999999999999E-2</v>
      </c>
      <c r="P134" s="5">
        <v>0.19769</v>
      </c>
      <c r="Q134" s="5">
        <v>2.0819999999999999</v>
      </c>
      <c r="R134">
        <f t="shared" si="12"/>
        <v>146.72304439746298</v>
      </c>
      <c r="S134">
        <f t="shared" si="13"/>
        <v>7.177904800445141E-2</v>
      </c>
      <c r="T134">
        <f t="shared" si="14"/>
        <v>40.9</v>
      </c>
      <c r="U134">
        <f t="shared" si="15"/>
        <v>0.24333333333333332</v>
      </c>
      <c r="V134">
        <f t="shared" si="16"/>
        <v>5.4132E-2</v>
      </c>
      <c r="W134">
        <f t="shared" si="17"/>
        <v>0.26213699844823762</v>
      </c>
    </row>
    <row r="135" spans="1:23" x14ac:dyDescent="0.25">
      <c r="B135" s="6" t="s">
        <v>27</v>
      </c>
      <c r="C135" s="6">
        <v>51</v>
      </c>
      <c r="D135" s="6">
        <v>21</v>
      </c>
      <c r="E135" s="6"/>
      <c r="F135" s="6">
        <v>26</v>
      </c>
      <c r="G135" s="6">
        <v>37.71</v>
      </c>
      <c r="H135" s="6">
        <v>51.4</v>
      </c>
      <c r="I135" s="6">
        <v>21.7</v>
      </c>
      <c r="J135" s="6">
        <v>54.4</v>
      </c>
      <c r="K135" s="6">
        <v>0.25</v>
      </c>
      <c r="L135" s="6">
        <v>0.35</v>
      </c>
      <c r="M135" s="6">
        <v>0.26</v>
      </c>
      <c r="N135" s="6">
        <v>1.702E-2</v>
      </c>
      <c r="O135" s="6">
        <v>5.4399999999999995E-3</v>
      </c>
      <c r="P135" s="6">
        <v>2.0580000000000001E-2</v>
      </c>
      <c r="Q135" s="6">
        <v>0.93799999999999994</v>
      </c>
      <c r="R135">
        <f t="shared" si="12"/>
        <v>172.4264705882353</v>
      </c>
      <c r="S135">
        <f t="shared" si="13"/>
        <v>0.26433430515063167</v>
      </c>
      <c r="T135">
        <f t="shared" si="14"/>
        <v>42.5</v>
      </c>
      <c r="U135">
        <f t="shared" si="15"/>
        <v>0.28666666666666668</v>
      </c>
      <c r="V135">
        <f t="shared" si="16"/>
        <v>2.4388E-2</v>
      </c>
      <c r="W135">
        <f t="shared" si="17"/>
        <v>0.22306052156798423</v>
      </c>
    </row>
    <row r="136" spans="1:23" x14ac:dyDescent="0.25">
      <c r="B136" s="7" t="s">
        <v>24</v>
      </c>
      <c r="C136" s="7">
        <v>13</v>
      </c>
      <c r="D136" s="7">
        <v>21</v>
      </c>
      <c r="E136" s="7">
        <v>16</v>
      </c>
      <c r="F136" s="7">
        <v>4</v>
      </c>
      <c r="G136" s="7">
        <v>21.01</v>
      </c>
      <c r="H136" s="7">
        <v>18.8</v>
      </c>
      <c r="I136" s="7">
        <v>20.7</v>
      </c>
      <c r="J136" s="7">
        <v>26.6</v>
      </c>
      <c r="K136" s="7">
        <v>0.21</v>
      </c>
      <c r="L136" s="7">
        <v>0.28999999999999998</v>
      </c>
      <c r="M136" s="7">
        <v>0.08</v>
      </c>
      <c r="N136" s="7">
        <v>4.6100000000000004E-3</v>
      </c>
      <c r="O136" s="7">
        <v>1.7749999999999999E-3</v>
      </c>
      <c r="P136" s="7">
        <v>9.1399999999999988E-3</v>
      </c>
      <c r="Q136" s="7">
        <v>0.31850000000000001</v>
      </c>
      <c r="R136">
        <f t="shared" si="12"/>
        <v>179.43661971830988</v>
      </c>
      <c r="S136">
        <f t="shared" si="13"/>
        <v>0.19420131291028447</v>
      </c>
      <c r="T136">
        <f t="shared" si="14"/>
        <v>22.033333333333331</v>
      </c>
      <c r="U136">
        <f t="shared" si="15"/>
        <v>0.19333333333333333</v>
      </c>
      <c r="V136">
        <f t="shared" si="16"/>
        <v>2.5480000000000004E-3</v>
      </c>
      <c r="W136">
        <f t="shared" si="17"/>
        <v>0.69662480376766078</v>
      </c>
    </row>
    <row r="137" spans="1:23" x14ac:dyDescent="0.25">
      <c r="B137" s="8" t="s">
        <v>16</v>
      </c>
      <c r="C137" s="8">
        <v>22</v>
      </c>
      <c r="D137" s="8">
        <v>15</v>
      </c>
      <c r="E137" s="8">
        <v>11</v>
      </c>
      <c r="F137" s="8">
        <v>6</v>
      </c>
      <c r="G137" s="8">
        <v>4.7</v>
      </c>
      <c r="H137" s="8">
        <v>21.5</v>
      </c>
      <c r="I137" s="8">
        <v>34</v>
      </c>
      <c r="J137" s="8">
        <v>27.1</v>
      </c>
      <c r="K137" s="8">
        <v>0.25</v>
      </c>
      <c r="L137" s="8">
        <v>0.24</v>
      </c>
      <c r="M137" s="8">
        <v>0.15</v>
      </c>
      <c r="N137" s="8">
        <v>1.9800000000000002E-2</v>
      </c>
      <c r="O137" s="8">
        <v>1.4180000000000002E-2</v>
      </c>
      <c r="P137" s="8">
        <v>3.288E-2</v>
      </c>
      <c r="Q137" s="8">
        <v>5.5207793999999992E-4</v>
      </c>
      <c r="R137">
        <f t="shared" si="12"/>
        <v>3.8933564174894207E-2</v>
      </c>
      <c r="S137">
        <f t="shared" si="13"/>
        <v>0.43126520681265212</v>
      </c>
      <c r="T137">
        <f t="shared" si="14"/>
        <v>27.533333333333331</v>
      </c>
      <c r="U137">
        <f t="shared" si="15"/>
        <v>0.21333333333333335</v>
      </c>
      <c r="V137">
        <f t="shared" si="16"/>
        <v>8.281169099999998E-6</v>
      </c>
      <c r="W137">
        <f t="shared" si="17"/>
        <v>1712.3186145299226</v>
      </c>
    </row>
    <row r="138" spans="1:23" x14ac:dyDescent="0.25">
      <c r="A138" s="2" t="s">
        <v>100</v>
      </c>
      <c r="B138" s="5" t="s">
        <v>101</v>
      </c>
      <c r="C138" s="5">
        <v>1</v>
      </c>
      <c r="D138" s="5">
        <v>1.5</v>
      </c>
      <c r="E138" s="5"/>
      <c r="F138" s="5">
        <v>2</v>
      </c>
      <c r="G138" s="5">
        <v>0.45</v>
      </c>
      <c r="H138" s="5">
        <v>52.5</v>
      </c>
      <c r="I138" s="5">
        <v>22.2</v>
      </c>
      <c r="J138" s="5">
        <v>48</v>
      </c>
      <c r="K138" s="5">
        <v>0.14000000000000001</v>
      </c>
      <c r="L138" s="5">
        <v>0.09</v>
      </c>
      <c r="M138" s="5">
        <v>0.09</v>
      </c>
      <c r="N138" s="5">
        <v>1.0933333333333335E-3</v>
      </c>
      <c r="O138" s="5">
        <v>3.2333333333333335E-4</v>
      </c>
      <c r="P138" s="5">
        <v>1.5433333333333334E-3</v>
      </c>
      <c r="Q138" s="5">
        <v>0.151</v>
      </c>
      <c r="R138">
        <f t="shared" si="12"/>
        <v>467.01030927835046</v>
      </c>
      <c r="S138">
        <f t="shared" si="13"/>
        <v>0.20950323974082075</v>
      </c>
      <c r="T138">
        <f t="shared" si="14"/>
        <v>40.9</v>
      </c>
      <c r="U138">
        <f t="shared" si="15"/>
        <v>0.10666666666666667</v>
      </c>
      <c r="V138">
        <f t="shared" si="16"/>
        <v>1.359E-3</v>
      </c>
      <c r="W138">
        <f t="shared" si="17"/>
        <v>0.23792003924454258</v>
      </c>
    </row>
    <row r="139" spans="1:23" x14ac:dyDescent="0.25">
      <c r="B139" s="7" t="s">
        <v>103</v>
      </c>
      <c r="C139" s="7">
        <v>9.5</v>
      </c>
      <c r="D139" s="7">
        <v>6</v>
      </c>
      <c r="E139" s="7">
        <v>10.5</v>
      </c>
      <c r="F139" s="7">
        <v>7</v>
      </c>
      <c r="G139" s="7">
        <v>1.1200000000000001</v>
      </c>
      <c r="H139" s="7">
        <v>15.3</v>
      </c>
      <c r="I139" s="7">
        <v>24.8</v>
      </c>
      <c r="J139" s="7">
        <v>28.9</v>
      </c>
      <c r="K139" s="7">
        <v>0.14000000000000001</v>
      </c>
      <c r="L139" s="7">
        <v>0.19</v>
      </c>
      <c r="M139" s="7">
        <v>0.16</v>
      </c>
      <c r="N139" s="7">
        <v>2.2620689655172416E-3</v>
      </c>
      <c r="O139" s="7">
        <v>4.3448275862068968E-4</v>
      </c>
      <c r="P139" s="7">
        <v>4.0017241379310346E-3</v>
      </c>
      <c r="Q139" s="7">
        <v>0.17655172413793102</v>
      </c>
      <c r="R139">
        <f t="shared" si="12"/>
        <v>406.34920634920627</v>
      </c>
      <c r="S139">
        <f t="shared" si="13"/>
        <v>0.1085738905644119</v>
      </c>
      <c r="T139">
        <f t="shared" si="14"/>
        <v>23</v>
      </c>
      <c r="U139">
        <f t="shared" si="15"/>
        <v>0.16333333333333333</v>
      </c>
      <c r="V139">
        <f t="shared" si="16"/>
        <v>2.8248275862068966E-3</v>
      </c>
      <c r="W139">
        <f t="shared" si="17"/>
        <v>0.15380859375</v>
      </c>
    </row>
    <row r="140" spans="1:23" x14ac:dyDescent="0.25">
      <c r="B140" s="8" t="s">
        <v>70</v>
      </c>
      <c r="C140" s="8">
        <v>33</v>
      </c>
      <c r="D140" s="8">
        <v>35</v>
      </c>
      <c r="E140" s="8">
        <v>42</v>
      </c>
      <c r="F140" s="8">
        <v>8</v>
      </c>
      <c r="G140" s="8">
        <v>32.96</v>
      </c>
      <c r="H140" s="8">
        <v>44.1</v>
      </c>
      <c r="I140" s="8">
        <v>54.5</v>
      </c>
      <c r="J140" s="8">
        <v>53.8</v>
      </c>
      <c r="K140" s="8">
        <v>0.22</v>
      </c>
      <c r="L140" s="8">
        <v>0.21</v>
      </c>
      <c r="M140" s="8">
        <v>0.25</v>
      </c>
      <c r="N140" s="8">
        <v>0.17374000000000001</v>
      </c>
      <c r="O140" s="8">
        <v>6.6140000000000004E-2</v>
      </c>
      <c r="P140" s="8">
        <v>0.26604</v>
      </c>
      <c r="Q140" s="8">
        <v>2.2960113319999999E-2</v>
      </c>
      <c r="R140">
        <f t="shared" si="12"/>
        <v>0.34714413849410336</v>
      </c>
      <c r="S140">
        <f t="shared" si="13"/>
        <v>0.24860923169448204</v>
      </c>
      <c r="T140">
        <f t="shared" si="14"/>
        <v>50.79999999999999</v>
      </c>
      <c r="U140">
        <f t="shared" si="15"/>
        <v>0.22666666666666666</v>
      </c>
      <c r="V140">
        <f t="shared" si="16"/>
        <v>5.7400283300000003E-4</v>
      </c>
      <c r="W140">
        <f t="shared" si="17"/>
        <v>115.22591213413052</v>
      </c>
    </row>
    <row r="141" spans="1:23" x14ac:dyDescent="0.25">
      <c r="B141" s="6" t="s">
        <v>27</v>
      </c>
      <c r="C141" s="6">
        <v>17</v>
      </c>
      <c r="D141" s="6">
        <v>19</v>
      </c>
      <c r="E141" s="6">
        <v>34</v>
      </c>
      <c r="F141" s="6">
        <v>6</v>
      </c>
      <c r="G141" s="6">
        <v>4.42</v>
      </c>
      <c r="H141" s="6">
        <v>15.2</v>
      </c>
      <c r="I141" s="6">
        <v>15.6</v>
      </c>
      <c r="J141" s="6">
        <v>10</v>
      </c>
      <c r="K141" s="6">
        <v>0.15</v>
      </c>
      <c r="L141" s="6">
        <v>0.12</v>
      </c>
      <c r="M141" s="6">
        <v>0.15</v>
      </c>
      <c r="N141" s="6">
        <v>1.021E-2</v>
      </c>
      <c r="O141" s="6">
        <v>3.3799999999999998E-3</v>
      </c>
      <c r="P141" s="6">
        <v>1.6719999999999999E-2</v>
      </c>
      <c r="Q141" s="6">
        <v>0.66400000000000003</v>
      </c>
      <c r="R141">
        <f t="shared" si="12"/>
        <v>196.44970414201185</v>
      </c>
      <c r="S141">
        <f t="shared" si="13"/>
        <v>0.20215311004784689</v>
      </c>
      <c r="T141">
        <f t="shared" si="14"/>
        <v>13.6</v>
      </c>
      <c r="U141">
        <f t="shared" si="15"/>
        <v>0.14000000000000001</v>
      </c>
      <c r="V141">
        <f t="shared" si="16"/>
        <v>9.9600000000000001E-3</v>
      </c>
      <c r="W141">
        <f t="shared" si="17"/>
        <v>0.33935742971887545</v>
      </c>
    </row>
    <row r="142" spans="1:23" x14ac:dyDescent="0.25">
      <c r="B142" s="5" t="s">
        <v>16</v>
      </c>
      <c r="C142" s="5">
        <v>20</v>
      </c>
      <c r="D142" s="5">
        <v>18</v>
      </c>
      <c r="E142" s="5"/>
      <c r="F142" s="5">
        <v>2</v>
      </c>
      <c r="G142" s="5">
        <v>1.96</v>
      </c>
      <c r="H142" s="5">
        <v>28.8</v>
      </c>
      <c r="I142" s="5">
        <v>63.3</v>
      </c>
      <c r="J142" s="5">
        <v>30.7</v>
      </c>
      <c r="K142" s="5">
        <v>0.16</v>
      </c>
      <c r="L142" s="5">
        <v>0.14000000000000001</v>
      </c>
      <c r="M142" s="5">
        <v>0.14000000000000001</v>
      </c>
      <c r="N142" s="5">
        <v>1.822E-2</v>
      </c>
      <c r="O142" s="5">
        <v>1.094E-2</v>
      </c>
      <c r="P142" s="5">
        <v>2.9659999999999999E-2</v>
      </c>
      <c r="Q142" s="5">
        <v>1.0792399799999998E-3</v>
      </c>
      <c r="R142">
        <f t="shared" si="12"/>
        <v>9.8650820840950629E-2</v>
      </c>
      <c r="S142">
        <f t="shared" si="13"/>
        <v>0.36884693189480783</v>
      </c>
      <c r="T142">
        <f t="shared" si="14"/>
        <v>40.93333333333333</v>
      </c>
      <c r="U142">
        <f t="shared" si="15"/>
        <v>0.1466666666666667</v>
      </c>
      <c r="V142">
        <f t="shared" si="16"/>
        <v>1.510935972E-5</v>
      </c>
      <c r="W142">
        <f t="shared" si="17"/>
        <v>724.05450679150283</v>
      </c>
    </row>
    <row r="143" spans="1:23" x14ac:dyDescent="0.25">
      <c r="B143" s="9" t="s">
        <v>167</v>
      </c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>
        <v>0.80774000000000012</v>
      </c>
      <c r="O143" s="9">
        <v>0.43681999999999999</v>
      </c>
      <c r="P143" s="9">
        <v>1.23908</v>
      </c>
      <c r="Q143" s="9">
        <v>8.0678205439999998E-2</v>
      </c>
      <c r="R143">
        <f t="shared" si="12"/>
        <v>0.1846943945790028</v>
      </c>
      <c r="S143">
        <f t="shared" si="13"/>
        <v>0.35253575233237561</v>
      </c>
      <c r="T143" s="22" t="e">
        <f t="shared" si="14"/>
        <v>#DIV/0!</v>
      </c>
      <c r="U143" s="22" t="e">
        <f t="shared" si="15"/>
        <v>#DIV/0!</v>
      </c>
      <c r="V143">
        <f t="shared" si="16"/>
        <v>0</v>
      </c>
      <c r="W143" t="e">
        <f t="shared" si="17"/>
        <v>#DIV/0!</v>
      </c>
    </row>
    <row r="144" spans="1:23" x14ac:dyDescent="0.25">
      <c r="B144" s="9" t="s">
        <v>102</v>
      </c>
      <c r="C144" s="9">
        <v>60</v>
      </c>
      <c r="D144" s="9"/>
      <c r="E144" s="9"/>
      <c r="F144" s="9">
        <v>1</v>
      </c>
      <c r="G144" s="9">
        <v>35.950000000000003</v>
      </c>
      <c r="H144" s="9">
        <v>26.9</v>
      </c>
      <c r="I144" s="9">
        <v>17.8</v>
      </c>
      <c r="J144" s="9">
        <v>26.8</v>
      </c>
      <c r="K144" s="9">
        <v>0.33</v>
      </c>
      <c r="L144" s="9">
        <v>0.28000000000000003</v>
      </c>
      <c r="M144" s="9">
        <v>0.16</v>
      </c>
      <c r="N144" s="9">
        <v>9.3399999999999993E-3</v>
      </c>
      <c r="O144" s="9">
        <v>2.65E-3</v>
      </c>
      <c r="P144" s="9">
        <v>1.3259999999999999E-2</v>
      </c>
      <c r="Q144" s="9">
        <v>1.1200000000000001</v>
      </c>
      <c r="R144">
        <f t="shared" si="12"/>
        <v>422.64150943396231</v>
      </c>
      <c r="S144">
        <f t="shared" si="13"/>
        <v>0.19984917043740574</v>
      </c>
      <c r="T144">
        <f t="shared" si="14"/>
        <v>23.833333333333332</v>
      </c>
      <c r="U144">
        <f t="shared" si="15"/>
        <v>0.25666666666666671</v>
      </c>
      <c r="V144">
        <f t="shared" si="16"/>
        <v>1.7920000000000002E-2</v>
      </c>
      <c r="W144">
        <f t="shared" si="17"/>
        <v>0.14787946428571427</v>
      </c>
    </row>
    <row r="145" spans="1:23" x14ac:dyDescent="0.25">
      <c r="B145" s="9" t="s">
        <v>93</v>
      </c>
      <c r="C145" s="9">
        <v>56</v>
      </c>
      <c r="D145" s="9">
        <v>45</v>
      </c>
      <c r="E145" s="9">
        <v>15</v>
      </c>
      <c r="F145" s="9">
        <v>8</v>
      </c>
      <c r="G145" s="9">
        <v>108.43</v>
      </c>
      <c r="H145" s="9">
        <v>61.2</v>
      </c>
      <c r="I145" s="9">
        <v>63</v>
      </c>
      <c r="J145" s="9">
        <v>55.6</v>
      </c>
      <c r="K145" s="9">
        <v>0.23</v>
      </c>
      <c r="L145" s="9">
        <v>0.2</v>
      </c>
      <c r="M145" s="9">
        <v>0.18</v>
      </c>
      <c r="N145" s="9">
        <v>2.6720000000000001E-2</v>
      </c>
      <c r="O145" s="9">
        <v>1.291E-2</v>
      </c>
      <c r="P145" s="9">
        <v>3.5430000000000003E-2</v>
      </c>
      <c r="Q145" s="9">
        <v>1.712</v>
      </c>
      <c r="R145">
        <f t="shared" si="12"/>
        <v>132.61037955073587</v>
      </c>
      <c r="S145">
        <f t="shared" si="13"/>
        <v>0.36438046852949474</v>
      </c>
      <c r="T145">
        <f t="shared" si="14"/>
        <v>59.933333333333337</v>
      </c>
      <c r="U145">
        <f t="shared" si="15"/>
        <v>0.20333333333333337</v>
      </c>
      <c r="V145">
        <f t="shared" si="16"/>
        <v>3.0816E-2</v>
      </c>
      <c r="W145">
        <f t="shared" si="17"/>
        <v>0.41893821391484942</v>
      </c>
    </row>
    <row r="146" spans="1:23" x14ac:dyDescent="0.25">
      <c r="A146" s="2" t="s">
        <v>104</v>
      </c>
      <c r="B146" s="5" t="s">
        <v>32</v>
      </c>
      <c r="C146" s="5">
        <v>21</v>
      </c>
      <c r="D146" s="5">
        <v>27</v>
      </c>
      <c r="E146" s="5"/>
      <c r="F146" s="5">
        <v>2</v>
      </c>
      <c r="G146" s="5">
        <v>3.08</v>
      </c>
      <c r="H146" s="5">
        <v>25.2</v>
      </c>
      <c r="I146" s="5">
        <v>16.100000000000001</v>
      </c>
      <c r="J146" s="5">
        <v>13.7</v>
      </c>
      <c r="K146" s="5">
        <v>0.53</v>
      </c>
      <c r="L146" s="5">
        <v>0.49</v>
      </c>
      <c r="M146" s="5">
        <v>0.55000000000000004</v>
      </c>
      <c r="N146" s="5">
        <v>5.7750000000000006E-3</v>
      </c>
      <c r="O146" s="5">
        <v>4.95E-4</v>
      </c>
      <c r="P146" s="5">
        <v>5.96E-3</v>
      </c>
      <c r="Q146" s="5">
        <v>2.1721248299999996E-2</v>
      </c>
      <c r="R146">
        <f t="shared" si="12"/>
        <v>43.881309696969687</v>
      </c>
      <c r="S146">
        <f t="shared" si="13"/>
        <v>8.305369127516779E-2</v>
      </c>
      <c r="T146">
        <f t="shared" si="14"/>
        <v>18.333333333333332</v>
      </c>
      <c r="U146">
        <f t="shared" si="15"/>
        <v>0.52333333333333332</v>
      </c>
      <c r="V146">
        <f t="shared" si="16"/>
        <v>1.1946686564999998E-3</v>
      </c>
      <c r="W146">
        <f t="shared" si="17"/>
        <v>0.41434082773226255</v>
      </c>
    </row>
    <row r="147" spans="1:23" x14ac:dyDescent="0.25">
      <c r="B147" s="7" t="s">
        <v>93</v>
      </c>
      <c r="C147" s="7">
        <v>58</v>
      </c>
      <c r="D147" s="7">
        <v>37</v>
      </c>
      <c r="E147" s="7">
        <v>32</v>
      </c>
      <c r="F147" s="7">
        <v>3</v>
      </c>
      <c r="G147" s="7">
        <v>13.52</v>
      </c>
      <c r="H147" s="7">
        <v>55.1</v>
      </c>
      <c r="I147" s="7">
        <v>55.4</v>
      </c>
      <c r="J147" s="7">
        <v>55.7</v>
      </c>
      <c r="K147" s="7">
        <v>0.27</v>
      </c>
      <c r="L147" s="7">
        <v>0.26</v>
      </c>
      <c r="M147" s="7">
        <v>0.23</v>
      </c>
      <c r="N147" s="7">
        <v>2.293333333333333E-2</v>
      </c>
      <c r="O147" s="7">
        <v>1.0206666666666668E-2</v>
      </c>
      <c r="P147" s="7">
        <v>3.0273333333333333E-2</v>
      </c>
      <c r="Q147" s="7">
        <v>1.2433333333333332</v>
      </c>
      <c r="R147">
        <f t="shared" si="12"/>
        <v>121.81580666231218</v>
      </c>
      <c r="S147">
        <f t="shared" si="13"/>
        <v>0.33715040739925128</v>
      </c>
      <c r="T147">
        <f t="shared" si="14"/>
        <v>55.4</v>
      </c>
      <c r="U147">
        <f t="shared" si="15"/>
        <v>0.25333333333333335</v>
      </c>
      <c r="V147">
        <f t="shared" si="16"/>
        <v>2.8596666666666666E-2</v>
      </c>
      <c r="W147">
        <f t="shared" si="17"/>
        <v>0.35691805571744961</v>
      </c>
    </row>
    <row r="148" spans="1:23" x14ac:dyDescent="0.25">
      <c r="B148" s="8" t="s">
        <v>35</v>
      </c>
      <c r="C148" s="8">
        <v>40</v>
      </c>
      <c r="D148" s="8">
        <v>38</v>
      </c>
      <c r="E148" s="8">
        <v>37</v>
      </c>
      <c r="F148" s="8">
        <v>44</v>
      </c>
      <c r="G148" s="8">
        <v>144.91999999999999</v>
      </c>
      <c r="H148" s="8">
        <v>64.8</v>
      </c>
      <c r="I148" s="8">
        <v>69.3</v>
      </c>
      <c r="J148" s="8">
        <v>64.900000000000006</v>
      </c>
      <c r="K148" s="8">
        <v>0.14000000000000001</v>
      </c>
      <c r="L148" s="8">
        <v>0.16</v>
      </c>
      <c r="M148" s="8">
        <v>0.17</v>
      </c>
      <c r="N148" s="8">
        <v>2.1479999999999999E-2</v>
      </c>
      <c r="O148" s="8">
        <v>8.0099999999999998E-3</v>
      </c>
      <c r="P148" s="8">
        <v>5.4779999999999995E-2</v>
      </c>
      <c r="Q148" s="8">
        <v>1.123</v>
      </c>
      <c r="R148">
        <f t="shared" si="12"/>
        <v>140.19975031210987</v>
      </c>
      <c r="S148">
        <f t="shared" si="13"/>
        <v>0.1462212486308872</v>
      </c>
      <c r="T148">
        <f t="shared" si="14"/>
        <v>66.333333333333329</v>
      </c>
      <c r="U148">
        <f t="shared" si="15"/>
        <v>0.1566666666666667</v>
      </c>
      <c r="V148">
        <f t="shared" si="16"/>
        <v>1.9091000000000004E-2</v>
      </c>
      <c r="W148">
        <f t="shared" si="17"/>
        <v>0.41956943062175883</v>
      </c>
    </row>
    <row r="149" spans="1:23" x14ac:dyDescent="0.25">
      <c r="A149" s="2" t="s">
        <v>105</v>
      </c>
      <c r="B149" s="5" t="s">
        <v>39</v>
      </c>
      <c r="C149" s="5">
        <v>40</v>
      </c>
      <c r="D149" s="5">
        <v>24</v>
      </c>
      <c r="E149" s="5">
        <v>35</v>
      </c>
      <c r="F149" s="5">
        <v>15</v>
      </c>
      <c r="G149" s="5">
        <v>22.41</v>
      </c>
      <c r="H149" s="5">
        <v>48</v>
      </c>
      <c r="I149" s="5">
        <v>21.9</v>
      </c>
      <c r="J149" s="5">
        <v>45.9</v>
      </c>
      <c r="K149" s="5">
        <v>0.21</v>
      </c>
      <c r="L149" s="5">
        <v>0.24</v>
      </c>
      <c r="M149" s="5">
        <v>0.18</v>
      </c>
      <c r="N149" s="5">
        <v>2.1800000000000001E-3</v>
      </c>
      <c r="O149" s="5">
        <v>1.0549999999999999E-3</v>
      </c>
      <c r="P149" s="5">
        <v>4.15E-3</v>
      </c>
      <c r="Q149" s="5">
        <v>0.19600000000000001</v>
      </c>
      <c r="R149">
        <f t="shared" si="12"/>
        <v>185.78199052132703</v>
      </c>
      <c r="S149">
        <f t="shared" si="13"/>
        <v>0.25421686746987948</v>
      </c>
      <c r="T149">
        <f t="shared" si="14"/>
        <v>38.6</v>
      </c>
      <c r="U149">
        <f t="shared" si="15"/>
        <v>0.20999999999999996</v>
      </c>
      <c r="V149">
        <f t="shared" si="16"/>
        <v>3.5279999999999999E-3</v>
      </c>
      <c r="W149">
        <f t="shared" si="17"/>
        <v>0.29903628117913833</v>
      </c>
    </row>
    <row r="150" spans="1:23" x14ac:dyDescent="0.25">
      <c r="B150" s="14" t="s">
        <v>168</v>
      </c>
      <c r="C150" s="14">
        <v>88</v>
      </c>
      <c r="D150" s="14"/>
      <c r="E150" s="14"/>
      <c r="F150" s="14">
        <v>1</v>
      </c>
      <c r="G150" s="14">
        <v>40.1</v>
      </c>
      <c r="H150" s="14">
        <v>5.3</v>
      </c>
      <c r="I150" s="14">
        <v>4.8</v>
      </c>
      <c r="J150" s="14">
        <v>5.6</v>
      </c>
      <c r="K150" s="14">
        <v>0.17</v>
      </c>
      <c r="L150" s="14">
        <v>0.2</v>
      </c>
      <c r="M150" s="14">
        <v>0.25</v>
      </c>
      <c r="N150" s="14">
        <v>3.6333333333333335E-3</v>
      </c>
      <c r="O150" s="14">
        <v>1.3666666666666666E-3</v>
      </c>
      <c r="P150" s="14">
        <v>5.5733333333333329E-3</v>
      </c>
      <c r="Q150" s="14">
        <v>0.29533333333333334</v>
      </c>
      <c r="R150">
        <f t="shared" si="12"/>
        <v>216.09756097560975</v>
      </c>
      <c r="S150">
        <f t="shared" si="13"/>
        <v>0.24521531100478469</v>
      </c>
      <c r="T150">
        <f t="shared" si="14"/>
        <v>5.2333333333333334</v>
      </c>
      <c r="U150">
        <f t="shared" si="15"/>
        <v>0.20666666666666667</v>
      </c>
      <c r="V150">
        <f t="shared" si="16"/>
        <v>7.3833333333333338E-3</v>
      </c>
      <c r="W150">
        <f t="shared" si="17"/>
        <v>0.18510158013544017</v>
      </c>
    </row>
    <row r="151" spans="1:23" x14ac:dyDescent="0.25">
      <c r="B151" s="6" t="s">
        <v>169</v>
      </c>
      <c r="C151" s="6">
        <v>30</v>
      </c>
      <c r="D151" s="6">
        <v>23</v>
      </c>
      <c r="E151" s="6">
        <v>19</v>
      </c>
      <c r="F151" s="6">
        <v>3</v>
      </c>
      <c r="G151" s="6">
        <v>8.23</v>
      </c>
      <c r="H151" s="6">
        <v>59.9</v>
      </c>
      <c r="I151" s="6">
        <v>50.1</v>
      </c>
      <c r="J151" s="6">
        <v>61.1</v>
      </c>
      <c r="K151" s="6">
        <v>0.25</v>
      </c>
      <c r="L151" s="6">
        <v>0.2</v>
      </c>
      <c r="M151" s="6">
        <v>0.28999999999999998</v>
      </c>
      <c r="N151" s="6">
        <v>5.4810000000000005E-2</v>
      </c>
      <c r="O151" s="6">
        <v>2.4759999999999997E-2</v>
      </c>
      <c r="P151" s="6">
        <v>7.1930000000000008E-2</v>
      </c>
      <c r="Q151" s="6">
        <v>2.6189999999999998</v>
      </c>
      <c r="R151">
        <f t="shared" si="12"/>
        <v>105.77544426494346</v>
      </c>
      <c r="S151">
        <f t="shared" si="13"/>
        <v>0.34422355067426658</v>
      </c>
      <c r="T151">
        <f t="shared" si="14"/>
        <v>57.033333333333331</v>
      </c>
      <c r="U151">
        <f t="shared" si="15"/>
        <v>0.24666666666666667</v>
      </c>
      <c r="V151">
        <f t="shared" si="16"/>
        <v>7.5950999999999991E-2</v>
      </c>
      <c r="W151">
        <f t="shared" si="17"/>
        <v>0.32599965767402667</v>
      </c>
    </row>
    <row r="152" spans="1:23" x14ac:dyDescent="0.25">
      <c r="B152" s="7" t="s">
        <v>106</v>
      </c>
      <c r="C152" s="7">
        <v>47</v>
      </c>
      <c r="D152" s="7"/>
      <c r="E152" s="7"/>
      <c r="F152" s="7">
        <v>1</v>
      </c>
      <c r="G152" s="7">
        <v>31.37</v>
      </c>
      <c r="H152" s="7">
        <v>62.3</v>
      </c>
      <c r="I152" s="7">
        <v>78.5</v>
      </c>
      <c r="J152" s="7">
        <v>54.3</v>
      </c>
      <c r="K152" s="7">
        <v>0.37</v>
      </c>
      <c r="L152" s="7">
        <v>0.32</v>
      </c>
      <c r="M152" s="7">
        <v>0.34</v>
      </c>
      <c r="N152" s="7">
        <v>0.12696000000000002</v>
      </c>
      <c r="O152" s="7">
        <v>4.7539999999999999E-2</v>
      </c>
      <c r="P152" s="7">
        <v>0.18848000000000001</v>
      </c>
      <c r="Q152" s="7">
        <v>4.0439999999999996</v>
      </c>
      <c r="R152">
        <f t="shared" si="12"/>
        <v>85.065208245687842</v>
      </c>
      <c r="S152">
        <f t="shared" si="13"/>
        <v>0.25222835314091679</v>
      </c>
      <c r="T152">
        <f t="shared" si="14"/>
        <v>65.033333333333346</v>
      </c>
      <c r="U152">
        <f t="shared" si="15"/>
        <v>0.34333333333333332</v>
      </c>
      <c r="V152">
        <f t="shared" si="16"/>
        <v>0.13749600000000001</v>
      </c>
      <c r="W152">
        <f t="shared" si="17"/>
        <v>0.34575551288764761</v>
      </c>
    </row>
    <row r="153" spans="1:23" x14ac:dyDescent="0.25">
      <c r="B153" s="8" t="s">
        <v>107</v>
      </c>
      <c r="C153" s="8">
        <v>39</v>
      </c>
      <c r="D153" s="8">
        <v>31</v>
      </c>
      <c r="E153" s="8">
        <v>33</v>
      </c>
      <c r="F153" s="8">
        <v>7</v>
      </c>
      <c r="G153" s="8">
        <v>6.43</v>
      </c>
      <c r="H153" s="8">
        <v>8.1</v>
      </c>
      <c r="I153" s="8">
        <v>6</v>
      </c>
      <c r="J153" s="8">
        <v>13.5</v>
      </c>
      <c r="K153" s="8">
        <v>7.0000000000000007E-2</v>
      </c>
      <c r="L153" s="8">
        <v>0.27</v>
      </c>
      <c r="M153" s="8">
        <v>0.28999999999999998</v>
      </c>
      <c r="N153" s="8">
        <v>4.7199999999999999E-2</v>
      </c>
      <c r="O153" s="8">
        <v>1.11E-2</v>
      </c>
      <c r="P153" s="8">
        <v>6.4600000000000005E-2</v>
      </c>
      <c r="Q153" s="8">
        <v>1.954964E-4</v>
      </c>
      <c r="R153">
        <f t="shared" si="12"/>
        <v>1.7612288288288286E-2</v>
      </c>
      <c r="S153">
        <f t="shared" si="13"/>
        <v>0.17182662538699689</v>
      </c>
      <c r="T153">
        <f t="shared" si="14"/>
        <v>9.2000000000000011</v>
      </c>
      <c r="U153">
        <f t="shared" si="15"/>
        <v>0.21</v>
      </c>
      <c r="V153">
        <f t="shared" si="16"/>
        <v>5.6693955999999996E-6</v>
      </c>
      <c r="W153">
        <f t="shared" si="17"/>
        <v>1957.8806601536153</v>
      </c>
    </row>
    <row r="154" spans="1:23" x14ac:dyDescent="0.25">
      <c r="B154" s="5" t="s">
        <v>16</v>
      </c>
      <c r="C154" s="5">
        <v>25</v>
      </c>
      <c r="D154" s="5">
        <v>29</v>
      </c>
      <c r="E154" s="5">
        <v>15</v>
      </c>
      <c r="F154" s="5">
        <v>12</v>
      </c>
      <c r="G154" s="5">
        <v>11.24</v>
      </c>
      <c r="H154" s="5">
        <v>27.5</v>
      </c>
      <c r="I154" s="5">
        <v>19.899999999999999</v>
      </c>
      <c r="J154" s="5">
        <v>25.3</v>
      </c>
      <c r="K154" s="5">
        <v>0.15</v>
      </c>
      <c r="L154" s="5">
        <v>0.16</v>
      </c>
      <c r="M154" s="5">
        <v>0.17</v>
      </c>
      <c r="N154" s="5">
        <v>3.066E-2</v>
      </c>
      <c r="O154" s="5">
        <v>2.0039999999999999E-2</v>
      </c>
      <c r="P154" s="5">
        <v>4.4859999999999997E-2</v>
      </c>
      <c r="Q154" s="5">
        <v>3.1857184000000003E-4</v>
      </c>
      <c r="R154">
        <f t="shared" si="12"/>
        <v>1.5896798403193614E-2</v>
      </c>
      <c r="S154">
        <f t="shared" si="13"/>
        <v>0.44672313865358892</v>
      </c>
      <c r="T154">
        <f t="shared" si="14"/>
        <v>24.233333333333334</v>
      </c>
      <c r="U154">
        <f t="shared" si="15"/>
        <v>0.16</v>
      </c>
      <c r="V154">
        <f t="shared" si="16"/>
        <v>5.4157212800000006E-6</v>
      </c>
      <c r="W154">
        <f t="shared" si="17"/>
        <v>3700.3381385239968</v>
      </c>
    </row>
    <row r="155" spans="1:23" x14ac:dyDescent="0.25">
      <c r="A155" s="2" t="s">
        <v>108</v>
      </c>
      <c r="B155" s="3" t="s">
        <v>109</v>
      </c>
      <c r="C155" s="3">
        <v>33</v>
      </c>
      <c r="D155" s="3">
        <v>16</v>
      </c>
      <c r="E155" s="3">
        <v>17</v>
      </c>
      <c r="F155" s="3">
        <v>16</v>
      </c>
      <c r="G155" s="3">
        <v>14.96</v>
      </c>
      <c r="H155" s="3">
        <v>22.1</v>
      </c>
      <c r="I155" s="3">
        <v>27.8</v>
      </c>
      <c r="J155" s="3">
        <v>25.3</v>
      </c>
      <c r="K155" s="3">
        <v>0.13</v>
      </c>
      <c r="L155" s="3">
        <v>0.08</v>
      </c>
      <c r="M155" s="3">
        <v>0.11</v>
      </c>
      <c r="N155" s="3">
        <v>7.8600000000000007E-3</v>
      </c>
      <c r="O155" s="3">
        <v>1.7466666666666668E-3</v>
      </c>
      <c r="P155" s="3">
        <v>1.0959999999999999E-2</v>
      </c>
      <c r="Q155" s="3">
        <v>1.13365932E-3</v>
      </c>
      <c r="R155">
        <f t="shared" si="12"/>
        <v>0.64904159541984729</v>
      </c>
      <c r="S155">
        <f t="shared" si="13"/>
        <v>0.15936739659367399</v>
      </c>
      <c r="T155">
        <f t="shared" si="14"/>
        <v>25.066666666666666</v>
      </c>
      <c r="U155">
        <f t="shared" si="15"/>
        <v>0.10666666666666667</v>
      </c>
      <c r="V155">
        <f t="shared" si="16"/>
        <v>1.247025252E-5</v>
      </c>
      <c r="W155">
        <f t="shared" si="17"/>
        <v>140.06666375563233</v>
      </c>
    </row>
    <row r="156" spans="1:23" x14ac:dyDescent="0.25">
      <c r="B156" s="6" t="s">
        <v>111</v>
      </c>
      <c r="C156" s="6">
        <v>15</v>
      </c>
      <c r="D156" s="6">
        <v>15</v>
      </c>
      <c r="E156" s="6">
        <v>8</v>
      </c>
      <c r="F156" s="6">
        <v>3</v>
      </c>
      <c r="G156" s="6">
        <v>2.5299999999999998</v>
      </c>
      <c r="H156" s="6">
        <v>9.1999999999999993</v>
      </c>
      <c r="I156" s="6">
        <v>14.2</v>
      </c>
      <c r="J156" s="6">
        <v>12.6</v>
      </c>
      <c r="K156" s="6">
        <v>0.14000000000000001</v>
      </c>
      <c r="L156" s="6">
        <v>0.2</v>
      </c>
      <c r="M156" s="6">
        <v>0.16</v>
      </c>
      <c r="N156" s="6">
        <v>3.2979999999999995E-2</v>
      </c>
      <c r="O156" s="6">
        <v>8.3800000000000003E-3</v>
      </c>
      <c r="P156" s="6">
        <v>5.4179999999999992E-2</v>
      </c>
      <c r="Q156" s="6">
        <v>2.16</v>
      </c>
      <c r="R156">
        <f t="shared" si="12"/>
        <v>257.75656324582337</v>
      </c>
      <c r="S156">
        <f t="shared" si="13"/>
        <v>0.15466961978589888</v>
      </c>
      <c r="T156">
        <f t="shared" si="14"/>
        <v>12</v>
      </c>
      <c r="U156">
        <f t="shared" si="15"/>
        <v>0.16666666666666666</v>
      </c>
      <c r="V156">
        <f t="shared" si="16"/>
        <v>3.456E-2</v>
      </c>
      <c r="W156">
        <f t="shared" si="17"/>
        <v>0.24247685185185186</v>
      </c>
    </row>
    <row r="157" spans="1:23" x14ac:dyDescent="0.25">
      <c r="B157" s="7" t="s">
        <v>35</v>
      </c>
      <c r="C157" s="7">
        <v>40</v>
      </c>
      <c r="D157" s="7">
        <v>32</v>
      </c>
      <c r="E157" s="7">
        <v>45</v>
      </c>
      <c r="F157" s="7">
        <v>33</v>
      </c>
      <c r="G157" s="7">
        <v>123.72</v>
      </c>
      <c r="H157" s="7">
        <v>72.2</v>
      </c>
      <c r="I157" s="7">
        <v>77.900000000000006</v>
      </c>
      <c r="J157" s="7">
        <v>54.3</v>
      </c>
      <c r="K157" s="7">
        <v>0.2</v>
      </c>
      <c r="L157" s="7">
        <v>0.48</v>
      </c>
      <c r="M157" s="7">
        <v>0.18</v>
      </c>
      <c r="N157" s="7">
        <v>3.4849999999999999E-2</v>
      </c>
      <c r="O157" s="7">
        <v>7.729999999999999E-3</v>
      </c>
      <c r="P157" s="7">
        <v>5.8799999999999998E-2</v>
      </c>
      <c r="Q157" s="7">
        <v>1.4350000000000001</v>
      </c>
      <c r="R157">
        <f t="shared" si="12"/>
        <v>185.64036222509705</v>
      </c>
      <c r="S157">
        <f t="shared" si="13"/>
        <v>0.13146258503401359</v>
      </c>
      <c r="T157">
        <f t="shared" si="14"/>
        <v>68.13333333333334</v>
      </c>
      <c r="U157">
        <f t="shared" si="15"/>
        <v>0.28666666666666663</v>
      </c>
      <c r="V157">
        <f t="shared" si="16"/>
        <v>2.5829999999999999E-2</v>
      </c>
      <c r="W157">
        <f t="shared" si="17"/>
        <v>0.29926442121564073</v>
      </c>
    </row>
    <row r="158" spans="1:23" x14ac:dyDescent="0.25">
      <c r="B158" s="8" t="s">
        <v>110</v>
      </c>
      <c r="C158" s="8">
        <v>26</v>
      </c>
      <c r="D158" s="8">
        <v>23</v>
      </c>
      <c r="E158" s="8">
        <v>30</v>
      </c>
      <c r="F158" s="8">
        <v>3</v>
      </c>
      <c r="G158" s="8">
        <v>5.18</v>
      </c>
      <c r="H158" s="8">
        <v>10.6</v>
      </c>
      <c r="I158" s="8">
        <v>21.7</v>
      </c>
      <c r="J158" s="8">
        <v>27.8</v>
      </c>
      <c r="K158" s="8">
        <v>0.21</v>
      </c>
      <c r="L158" s="8">
        <v>0.04</v>
      </c>
      <c r="M158" s="8">
        <v>0.16</v>
      </c>
      <c r="N158" s="8">
        <v>5.9499999999999996E-3</v>
      </c>
      <c r="O158" s="8">
        <v>2.6800000000000001E-3</v>
      </c>
      <c r="P158" s="8">
        <v>1.119E-2</v>
      </c>
      <c r="Q158" s="8">
        <v>0.69299999999999995</v>
      </c>
      <c r="R158">
        <f t="shared" si="12"/>
        <v>258.58208955223876</v>
      </c>
      <c r="S158">
        <f t="shared" si="13"/>
        <v>0.23949955317247543</v>
      </c>
      <c r="T158">
        <f t="shared" si="14"/>
        <v>20.033333333333331</v>
      </c>
      <c r="U158">
        <f t="shared" si="15"/>
        <v>0.13666666666666669</v>
      </c>
      <c r="V158">
        <f t="shared" si="16"/>
        <v>1.1087999999999999E-2</v>
      </c>
      <c r="W158">
        <f t="shared" si="17"/>
        <v>0.24170274170274172</v>
      </c>
    </row>
    <row r="159" spans="1:23" x14ac:dyDescent="0.25">
      <c r="B159" s="3" t="s">
        <v>27</v>
      </c>
      <c r="C159" s="3">
        <v>80</v>
      </c>
      <c r="D159" s="3"/>
      <c r="E159" s="3"/>
      <c r="F159" s="3">
        <v>1</v>
      </c>
      <c r="G159" s="3">
        <v>89.03</v>
      </c>
      <c r="H159" s="3">
        <v>28.5</v>
      </c>
      <c r="I159" s="3">
        <v>35.200000000000003</v>
      </c>
      <c r="J159" s="3">
        <v>45.1</v>
      </c>
      <c r="K159" s="3">
        <v>0.38</v>
      </c>
      <c r="L159" s="3">
        <v>0.17</v>
      </c>
      <c r="M159" s="3">
        <v>0.25</v>
      </c>
      <c r="N159" s="21" t="e">
        <v>#DIV/0!</v>
      </c>
      <c r="O159" s="21" t="e">
        <v>#DIV/0!</v>
      </c>
      <c r="P159" s="21" t="e">
        <v>#DIV/0!</v>
      </c>
      <c r="Q159" s="21">
        <v>0</v>
      </c>
      <c r="R159" s="22" t="e">
        <f t="shared" si="12"/>
        <v>#DIV/0!</v>
      </c>
      <c r="S159" s="22" t="e">
        <f t="shared" si="13"/>
        <v>#DIV/0!</v>
      </c>
      <c r="T159">
        <f t="shared" si="14"/>
        <v>36.266666666666673</v>
      </c>
      <c r="U159">
        <f t="shared" si="15"/>
        <v>0.26666666666666666</v>
      </c>
      <c r="V159">
        <f t="shared" si="16"/>
        <v>0</v>
      </c>
      <c r="W159" t="e">
        <f t="shared" si="17"/>
        <v>#DIV/0!</v>
      </c>
    </row>
    <row r="160" spans="1:23" x14ac:dyDescent="0.25">
      <c r="A160" s="2" t="s">
        <v>112</v>
      </c>
      <c r="B160" s="5" t="s">
        <v>110</v>
      </c>
      <c r="C160" s="5">
        <v>37</v>
      </c>
      <c r="D160" s="5">
        <v>22</v>
      </c>
      <c r="E160" s="5">
        <v>15</v>
      </c>
      <c r="F160" s="5">
        <v>18</v>
      </c>
      <c r="G160" s="5">
        <v>5.37</v>
      </c>
      <c r="H160" s="5">
        <v>12.9</v>
      </c>
      <c r="I160" s="5">
        <v>17.8</v>
      </c>
      <c r="J160" s="5">
        <v>21.2</v>
      </c>
      <c r="K160" s="5">
        <v>0.21</v>
      </c>
      <c r="L160" s="5">
        <v>0.16</v>
      </c>
      <c r="M160" s="5">
        <v>0.32</v>
      </c>
      <c r="N160" s="5">
        <v>4.0000000000000001E-3</v>
      </c>
      <c r="O160" s="5">
        <v>1.48E-3</v>
      </c>
      <c r="P160" s="5">
        <v>1.1140000000000001E-2</v>
      </c>
      <c r="Q160" s="5">
        <v>0.58599999999999997</v>
      </c>
      <c r="R160">
        <f t="shared" si="12"/>
        <v>395.94594594594594</v>
      </c>
      <c r="S160">
        <f t="shared" si="13"/>
        <v>0.13285457809694792</v>
      </c>
      <c r="T160">
        <f t="shared" si="14"/>
        <v>17.3</v>
      </c>
      <c r="U160">
        <f t="shared" si="15"/>
        <v>0.22999999999999998</v>
      </c>
      <c r="V160">
        <f t="shared" si="16"/>
        <v>1.8751999999999998E-2</v>
      </c>
      <c r="W160">
        <f t="shared" si="17"/>
        <v>7.8924914675767927E-2</v>
      </c>
    </row>
    <row r="161" spans="1:23" x14ac:dyDescent="0.25">
      <c r="B161" s="6" t="s">
        <v>109</v>
      </c>
      <c r="C161" s="6">
        <v>28</v>
      </c>
      <c r="D161" s="6"/>
      <c r="E161" s="6"/>
      <c r="F161" s="6">
        <v>1</v>
      </c>
      <c r="G161" s="6">
        <v>0.34</v>
      </c>
      <c r="H161" s="6">
        <v>11.7</v>
      </c>
      <c r="I161" s="6">
        <v>11</v>
      </c>
      <c r="J161" s="6">
        <v>12.8</v>
      </c>
      <c r="K161" s="6">
        <v>0.99</v>
      </c>
      <c r="L161" s="6">
        <v>0.69</v>
      </c>
      <c r="M161" s="6">
        <v>0.52</v>
      </c>
      <c r="N161" s="6">
        <v>4.0000000000000001E-3</v>
      </c>
      <c r="O161" s="6">
        <v>9.4000000000000008E-4</v>
      </c>
      <c r="P161" s="6">
        <v>6.8199999999999997E-3</v>
      </c>
      <c r="Q161" s="6">
        <v>4.1562609999999996E-3</v>
      </c>
      <c r="R161">
        <f t="shared" si="12"/>
        <v>4.4215542553191485</v>
      </c>
      <c r="S161">
        <f t="shared" si="13"/>
        <v>0.13782991202346043</v>
      </c>
      <c r="T161">
        <f t="shared" si="14"/>
        <v>11.833333333333334</v>
      </c>
      <c r="U161">
        <f t="shared" si="15"/>
        <v>0.73333333333333339</v>
      </c>
      <c r="V161">
        <f t="shared" si="16"/>
        <v>2.1612557199999997E-4</v>
      </c>
      <c r="W161">
        <f t="shared" si="17"/>
        <v>4.3493233646595053</v>
      </c>
    </row>
    <row r="162" spans="1:23" x14ac:dyDescent="0.25">
      <c r="B162" s="7" t="s">
        <v>35</v>
      </c>
      <c r="C162" s="7">
        <v>20</v>
      </c>
      <c r="D162" s="7">
        <v>17</v>
      </c>
      <c r="E162" s="7">
        <v>16</v>
      </c>
      <c r="F162" s="7">
        <v>15</v>
      </c>
      <c r="G162" s="7">
        <v>2.82</v>
      </c>
      <c r="H162" s="7">
        <v>55</v>
      </c>
      <c r="I162" s="7">
        <v>58.1</v>
      </c>
      <c r="J162" s="7">
        <v>66.3</v>
      </c>
      <c r="K162" s="7">
        <v>0.16</v>
      </c>
      <c r="L162" s="7">
        <v>0.16</v>
      </c>
      <c r="M162" s="7">
        <v>0.15</v>
      </c>
      <c r="N162" s="7">
        <v>2.4E-2</v>
      </c>
      <c r="O162" s="7">
        <v>7.9600000000000001E-3</v>
      </c>
      <c r="P162" s="7">
        <v>7.0440000000000003E-2</v>
      </c>
      <c r="Q162" s="7">
        <v>1.1279999999999999</v>
      </c>
      <c r="R162">
        <f t="shared" si="12"/>
        <v>141.70854271356782</v>
      </c>
      <c r="S162">
        <f t="shared" si="13"/>
        <v>0.11300397501419647</v>
      </c>
      <c r="T162">
        <f t="shared" si="14"/>
        <v>59.79999999999999</v>
      </c>
      <c r="U162">
        <f t="shared" si="15"/>
        <v>0.15666666666666665</v>
      </c>
      <c r="V162">
        <f t="shared" si="16"/>
        <v>1.6919999999999998E-2</v>
      </c>
      <c r="W162">
        <f t="shared" si="17"/>
        <v>0.47044917257683222</v>
      </c>
    </row>
    <row r="163" spans="1:23" x14ac:dyDescent="0.25">
      <c r="B163" s="8" t="s">
        <v>24</v>
      </c>
      <c r="C163" s="8">
        <v>14</v>
      </c>
      <c r="D163" s="8">
        <v>14</v>
      </c>
      <c r="E163" s="8">
        <v>16</v>
      </c>
      <c r="F163" s="8">
        <v>4</v>
      </c>
      <c r="G163" s="8">
        <v>0.42</v>
      </c>
      <c r="H163" s="8">
        <v>14.6</v>
      </c>
      <c r="I163" s="8">
        <v>15.9</v>
      </c>
      <c r="J163" s="8">
        <v>16.8</v>
      </c>
      <c r="K163" s="8">
        <v>0.49</v>
      </c>
      <c r="L163" s="8">
        <v>0.36</v>
      </c>
      <c r="M163" s="8">
        <v>0.61</v>
      </c>
      <c r="N163" s="8">
        <v>6.0000000000000001E-3</v>
      </c>
      <c r="O163" s="8">
        <v>1.2600000000000001E-3</v>
      </c>
      <c r="P163" s="8">
        <v>1.04E-2</v>
      </c>
      <c r="Q163" s="8">
        <v>7.0367400000000014E-3</v>
      </c>
      <c r="R163">
        <f t="shared" si="12"/>
        <v>5.5847142857142869</v>
      </c>
      <c r="S163">
        <f t="shared" si="13"/>
        <v>0.12115384615384617</v>
      </c>
      <c r="T163">
        <f t="shared" si="14"/>
        <v>15.766666666666666</v>
      </c>
      <c r="U163">
        <f t="shared" si="15"/>
        <v>0.48666666666666664</v>
      </c>
      <c r="V163">
        <f t="shared" si="16"/>
        <v>4.2924114000000006E-4</v>
      </c>
      <c r="W163">
        <f t="shared" si="17"/>
        <v>2.935412947603298</v>
      </c>
    </row>
    <row r="164" spans="1:23" x14ac:dyDescent="0.25">
      <c r="B164" s="6" t="s">
        <v>169</v>
      </c>
      <c r="C164" s="6">
        <v>40</v>
      </c>
      <c r="D164" s="6">
        <v>38</v>
      </c>
      <c r="E164" s="6">
        <v>32</v>
      </c>
      <c r="F164" s="6">
        <v>21</v>
      </c>
      <c r="G164" s="6">
        <v>58.11</v>
      </c>
      <c r="H164" s="6">
        <v>22.3</v>
      </c>
      <c r="I164" s="6">
        <v>44.1</v>
      </c>
      <c r="J164" s="6">
        <v>47.9</v>
      </c>
      <c r="K164" s="6">
        <v>0.19</v>
      </c>
      <c r="L164" s="6">
        <v>0.25</v>
      </c>
      <c r="M164" s="6">
        <v>0.21</v>
      </c>
      <c r="N164" s="6">
        <v>4.8000000000000001E-2</v>
      </c>
      <c r="O164" s="6">
        <v>1.55E-2</v>
      </c>
      <c r="P164" s="6">
        <v>6.4439999999999997E-2</v>
      </c>
      <c r="Q164" s="6">
        <v>2.2759999999999998</v>
      </c>
      <c r="R164">
        <f t="shared" si="12"/>
        <v>146.83870967741933</v>
      </c>
      <c r="S164">
        <f t="shared" si="13"/>
        <v>0.24053382991930478</v>
      </c>
      <c r="T164">
        <f t="shared" si="14"/>
        <v>38.1</v>
      </c>
      <c r="U164">
        <f t="shared" si="15"/>
        <v>0.21666666666666667</v>
      </c>
      <c r="V164">
        <f t="shared" si="16"/>
        <v>4.7795999999999991E-2</v>
      </c>
      <c r="W164">
        <f t="shared" si="17"/>
        <v>0.32429492007699395</v>
      </c>
    </row>
    <row r="165" spans="1:23" x14ac:dyDescent="0.25">
      <c r="B165" s="5" t="s">
        <v>16</v>
      </c>
      <c r="C165" s="5">
        <v>30</v>
      </c>
      <c r="D165" s="5">
        <v>22</v>
      </c>
      <c r="E165" s="5">
        <v>28</v>
      </c>
      <c r="F165" s="5">
        <v>6</v>
      </c>
      <c r="G165" s="5">
        <v>9.2100000000000009</v>
      </c>
      <c r="H165" s="5">
        <v>31.8</v>
      </c>
      <c r="I165" s="5">
        <v>36.299999999999997</v>
      </c>
      <c r="J165" s="5">
        <v>29.5</v>
      </c>
      <c r="K165" s="5">
        <v>0.27</v>
      </c>
      <c r="L165" s="5">
        <v>0.19</v>
      </c>
      <c r="M165" s="5">
        <v>0.13</v>
      </c>
      <c r="N165" s="5">
        <v>0.02</v>
      </c>
      <c r="O165" s="5">
        <v>1.3420000000000001E-2</v>
      </c>
      <c r="P165" s="5">
        <v>3.8679999999999999E-2</v>
      </c>
      <c r="Q165" s="5">
        <v>2.8875440000000009E-4</v>
      </c>
      <c r="R165">
        <f t="shared" si="12"/>
        <v>2.1516721311475414E-2</v>
      </c>
      <c r="S165">
        <f t="shared" si="13"/>
        <v>0.34694932781799381</v>
      </c>
      <c r="T165">
        <f t="shared" si="14"/>
        <v>32.533333333333331</v>
      </c>
      <c r="U165">
        <f t="shared" si="15"/>
        <v>0.19666666666666668</v>
      </c>
      <c r="V165">
        <f t="shared" si="16"/>
        <v>3.7538072000000015E-6</v>
      </c>
      <c r="W165">
        <f t="shared" si="17"/>
        <v>3575.0370983357898</v>
      </c>
    </row>
    <row r="166" spans="1:23" x14ac:dyDescent="0.25">
      <c r="B166" s="3" t="s">
        <v>170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>
        <v>3.4000000000000002E-2</v>
      </c>
      <c r="O166" s="3">
        <v>7.8799999999999999E-3</v>
      </c>
      <c r="P166" s="3">
        <v>4.3619999999999999E-2</v>
      </c>
      <c r="Q166" s="3">
        <v>1.9059999999999999</v>
      </c>
      <c r="R166">
        <f t="shared" si="12"/>
        <v>241.87817258883248</v>
      </c>
      <c r="S166">
        <f t="shared" si="13"/>
        <v>0.18065107748739109</v>
      </c>
      <c r="T166" s="22" t="e">
        <f t="shared" si="14"/>
        <v>#DIV/0!</v>
      </c>
      <c r="U166" s="22" t="e">
        <f t="shared" si="15"/>
        <v>#DIV/0!</v>
      </c>
      <c r="V166">
        <f t="shared" si="16"/>
        <v>0</v>
      </c>
      <c r="W166" t="e">
        <f t="shared" si="17"/>
        <v>#DIV/0!</v>
      </c>
    </row>
    <row r="167" spans="1:23" x14ac:dyDescent="0.25">
      <c r="A167" s="2" t="s">
        <v>113</v>
      </c>
      <c r="B167" s="5" t="s">
        <v>109</v>
      </c>
      <c r="C167" s="5">
        <v>26</v>
      </c>
      <c r="D167" s="5">
        <v>23</v>
      </c>
      <c r="E167" s="5"/>
      <c r="F167" s="5">
        <v>3</v>
      </c>
      <c r="G167" s="5">
        <v>2.12</v>
      </c>
      <c r="H167" s="5">
        <v>53.1</v>
      </c>
      <c r="I167" s="5">
        <v>66.2</v>
      </c>
      <c r="J167" s="5">
        <v>11.1</v>
      </c>
      <c r="K167" s="5">
        <v>0.28000000000000003</v>
      </c>
      <c r="L167" s="5">
        <v>0.16</v>
      </c>
      <c r="M167" s="5">
        <v>0.16</v>
      </c>
      <c r="N167" s="5">
        <v>1.0670000000000001E-2</v>
      </c>
      <c r="O167" s="5">
        <v>3.5499999999999998E-3</v>
      </c>
      <c r="P167" s="5">
        <v>2.3449999999999999E-2</v>
      </c>
      <c r="Q167" s="5">
        <v>0.91099999999999992</v>
      </c>
      <c r="R167">
        <f t="shared" si="12"/>
        <v>256.61971830985914</v>
      </c>
      <c r="S167">
        <f t="shared" si="13"/>
        <v>0.1513859275053305</v>
      </c>
      <c r="T167">
        <f t="shared" si="14"/>
        <v>43.466666666666669</v>
      </c>
      <c r="U167">
        <f t="shared" si="15"/>
        <v>0.20000000000000004</v>
      </c>
      <c r="V167">
        <f t="shared" si="16"/>
        <v>1.4576E-2</v>
      </c>
      <c r="W167">
        <f t="shared" si="17"/>
        <v>0.24355104281009876</v>
      </c>
    </row>
    <row r="168" spans="1:23" x14ac:dyDescent="0.25">
      <c r="B168" s="14" t="s">
        <v>73</v>
      </c>
      <c r="C168" s="14">
        <v>29</v>
      </c>
      <c r="D168" s="14">
        <v>11</v>
      </c>
      <c r="E168" s="14">
        <v>13</v>
      </c>
      <c r="F168" s="14">
        <v>2</v>
      </c>
      <c r="G168" s="14">
        <v>2.88</v>
      </c>
      <c r="H168" s="14">
        <v>38</v>
      </c>
      <c r="I168" s="14">
        <v>40.1</v>
      </c>
      <c r="J168" s="14">
        <v>50.6</v>
      </c>
      <c r="K168" s="14">
        <v>0.25</v>
      </c>
      <c r="L168" s="14">
        <v>0.17</v>
      </c>
      <c r="M168" s="14">
        <v>0.14000000000000001</v>
      </c>
      <c r="N168" s="14">
        <v>3.338E-2</v>
      </c>
      <c r="O168" s="14">
        <v>1.1260000000000001E-2</v>
      </c>
      <c r="P168" s="14">
        <v>5.3539999999999997E-2</v>
      </c>
      <c r="Q168" s="14">
        <v>2.9380000000000002</v>
      </c>
      <c r="R168">
        <f t="shared" si="12"/>
        <v>260.92362344582591</v>
      </c>
      <c r="S168">
        <f t="shared" si="13"/>
        <v>0.21031004856182298</v>
      </c>
      <c r="T168">
        <f t="shared" si="14"/>
        <v>42.9</v>
      </c>
      <c r="U168">
        <f t="shared" si="15"/>
        <v>0.18666666666666668</v>
      </c>
      <c r="V168">
        <f t="shared" si="16"/>
        <v>4.1132000000000009E-2</v>
      </c>
      <c r="W168">
        <f t="shared" si="17"/>
        <v>0.27375279587668966</v>
      </c>
    </row>
    <row r="169" spans="1:23" x14ac:dyDescent="0.25">
      <c r="B169" s="6" t="s">
        <v>110</v>
      </c>
      <c r="C169" s="6">
        <v>53</v>
      </c>
      <c r="D169" s="6">
        <v>54</v>
      </c>
      <c r="E169" s="6"/>
      <c r="F169" s="6">
        <v>2</v>
      </c>
      <c r="G169" s="6">
        <v>7.68</v>
      </c>
      <c r="H169" s="6">
        <v>49.2</v>
      </c>
      <c r="I169" s="6">
        <v>27.9</v>
      </c>
      <c r="J169" s="6">
        <v>30.8</v>
      </c>
      <c r="K169" s="6">
        <v>0.22</v>
      </c>
      <c r="L169" s="6">
        <v>0.24</v>
      </c>
      <c r="M169" s="6">
        <v>0.19</v>
      </c>
      <c r="N169" s="6">
        <v>6.5100000000000002E-3</v>
      </c>
      <c r="O169" s="6">
        <v>2.7899999999999999E-3</v>
      </c>
      <c r="P169" s="6">
        <v>1.3650000000000001E-2</v>
      </c>
      <c r="Q169" s="6">
        <v>0.98</v>
      </c>
      <c r="R169">
        <f t="shared" si="12"/>
        <v>351.25448028673833</v>
      </c>
      <c r="S169">
        <f t="shared" si="13"/>
        <v>0.20439560439560439</v>
      </c>
      <c r="T169">
        <f t="shared" si="14"/>
        <v>35.966666666666661</v>
      </c>
      <c r="U169">
        <f t="shared" si="15"/>
        <v>0.21666666666666665</v>
      </c>
      <c r="V169">
        <f t="shared" si="16"/>
        <v>1.8620000000000001E-2</v>
      </c>
      <c r="W169">
        <f t="shared" si="17"/>
        <v>0.14983888292158967</v>
      </c>
    </row>
    <row r="170" spans="1:23" x14ac:dyDescent="0.25">
      <c r="B170" s="7" t="s">
        <v>114</v>
      </c>
      <c r="C170" s="7">
        <v>30</v>
      </c>
      <c r="D170" s="7">
        <v>36</v>
      </c>
      <c r="E170" s="7">
        <v>21</v>
      </c>
      <c r="F170" s="7">
        <v>15</v>
      </c>
      <c r="G170" s="7">
        <v>19.989999999999998</v>
      </c>
      <c r="H170" s="7">
        <v>14.4</v>
      </c>
      <c r="I170" s="7">
        <v>53.4</v>
      </c>
      <c r="J170" s="7">
        <v>10.7</v>
      </c>
      <c r="K170" s="7">
        <v>0.16</v>
      </c>
      <c r="L170" s="7">
        <v>0.17</v>
      </c>
      <c r="M170" s="7">
        <v>0.2</v>
      </c>
      <c r="N170" s="7">
        <v>9.7466666666666656E-3</v>
      </c>
      <c r="O170" s="7">
        <v>2.5733333333333333E-3</v>
      </c>
      <c r="P170" s="7">
        <v>1.6726666666666667E-2</v>
      </c>
      <c r="Q170" s="7">
        <v>0.54133333333333333</v>
      </c>
      <c r="R170">
        <f t="shared" si="12"/>
        <v>210.36269430051814</v>
      </c>
      <c r="S170">
        <f t="shared" si="13"/>
        <v>0.15384615384615383</v>
      </c>
      <c r="T170">
        <f t="shared" si="14"/>
        <v>26.166666666666668</v>
      </c>
      <c r="U170">
        <f t="shared" si="15"/>
        <v>0.17666666666666667</v>
      </c>
      <c r="V170">
        <f t="shared" si="16"/>
        <v>1.0826666666666668E-2</v>
      </c>
      <c r="W170">
        <f t="shared" si="17"/>
        <v>0.23768472906403937</v>
      </c>
    </row>
    <row r="171" spans="1:23" x14ac:dyDescent="0.25">
      <c r="B171" s="8" t="s">
        <v>23</v>
      </c>
      <c r="C171" s="8">
        <v>67</v>
      </c>
      <c r="D171" s="8"/>
      <c r="E171" s="8"/>
      <c r="F171" s="8">
        <v>1</v>
      </c>
      <c r="G171" s="8">
        <v>3.88</v>
      </c>
      <c r="H171" s="8">
        <v>47.4</v>
      </c>
      <c r="I171" s="8">
        <v>49.4</v>
      </c>
      <c r="J171" s="8">
        <v>51.5</v>
      </c>
      <c r="K171" s="8">
        <v>0.13</v>
      </c>
      <c r="L171" s="8">
        <v>0.12</v>
      </c>
      <c r="M171" s="8">
        <v>0.16</v>
      </c>
      <c r="N171" s="8">
        <v>0.13596</v>
      </c>
      <c r="O171" s="8">
        <v>2.9060000000000002E-2</v>
      </c>
      <c r="P171" s="8">
        <v>0.22604000000000002</v>
      </c>
      <c r="Q171" s="8">
        <v>5.5720000000000001</v>
      </c>
      <c r="R171">
        <f t="shared" si="12"/>
        <v>191.74122505161733</v>
      </c>
      <c r="S171">
        <f t="shared" si="13"/>
        <v>0.12856131658113609</v>
      </c>
      <c r="T171">
        <f t="shared" si="14"/>
        <v>49.433333333333337</v>
      </c>
      <c r="U171">
        <f t="shared" si="15"/>
        <v>0.13666666666666669</v>
      </c>
      <c r="V171">
        <f t="shared" si="16"/>
        <v>8.9151999999999995E-2</v>
      </c>
      <c r="W171">
        <f t="shared" si="17"/>
        <v>0.32596015793251981</v>
      </c>
    </row>
    <row r="172" spans="1:23" x14ac:dyDescent="0.25">
      <c r="B172" s="5" t="s">
        <v>111</v>
      </c>
      <c r="C172" s="5">
        <v>31</v>
      </c>
      <c r="D172" s="5">
        <v>21</v>
      </c>
      <c r="E172" s="5">
        <v>8</v>
      </c>
      <c r="F172" s="5">
        <v>5</v>
      </c>
      <c r="G172" s="5">
        <v>3.9</v>
      </c>
      <c r="H172" s="5">
        <v>6</v>
      </c>
      <c r="I172" s="5">
        <v>17.399999999999999</v>
      </c>
      <c r="J172" s="5">
        <v>15.3</v>
      </c>
      <c r="K172" s="5">
        <v>0.2</v>
      </c>
      <c r="L172" s="5">
        <v>0.17</v>
      </c>
      <c r="M172" s="5">
        <v>0.12</v>
      </c>
      <c r="N172" s="5">
        <v>2.5380000000000003E-2</v>
      </c>
      <c r="O172" s="5">
        <v>7.2199999999999999E-3</v>
      </c>
      <c r="P172" s="5">
        <v>3.8900000000000004E-2</v>
      </c>
      <c r="Q172" s="5">
        <v>2.214</v>
      </c>
      <c r="R172">
        <f t="shared" si="12"/>
        <v>306.64819944598338</v>
      </c>
      <c r="S172">
        <f t="shared" si="13"/>
        <v>0.18560411311053981</v>
      </c>
      <c r="T172">
        <f t="shared" si="14"/>
        <v>12.9</v>
      </c>
      <c r="U172">
        <f t="shared" si="15"/>
        <v>0.16333333333333333</v>
      </c>
      <c r="V172">
        <f t="shared" si="16"/>
        <v>2.6567999999999998E-2</v>
      </c>
      <c r="W172">
        <f t="shared" si="17"/>
        <v>0.27175549533273113</v>
      </c>
    </row>
    <row r="173" spans="1:23" x14ac:dyDescent="0.25">
      <c r="B173" s="7" t="s">
        <v>115</v>
      </c>
      <c r="C173" s="7">
        <v>32</v>
      </c>
      <c r="D173" s="7">
        <v>30</v>
      </c>
      <c r="E173" s="7">
        <v>21</v>
      </c>
      <c r="F173" s="7">
        <v>3</v>
      </c>
      <c r="G173" s="7">
        <v>3.41</v>
      </c>
      <c r="H173" s="7">
        <v>19.8</v>
      </c>
      <c r="I173" s="7">
        <v>7.5</v>
      </c>
      <c r="J173" s="7">
        <v>32.700000000000003</v>
      </c>
      <c r="K173" s="7">
        <v>0.28999999999999998</v>
      </c>
      <c r="L173" s="7">
        <v>0.26</v>
      </c>
      <c r="M173" s="7">
        <v>0.2</v>
      </c>
      <c r="N173" s="7">
        <v>3.2119999999999996E-2</v>
      </c>
      <c r="O173" s="7">
        <v>5.4600000000000004E-3</v>
      </c>
      <c r="P173" s="7">
        <v>3.0759999999999999E-2</v>
      </c>
      <c r="Q173" s="7">
        <v>1.0880000000000001</v>
      </c>
      <c r="R173">
        <f t="shared" si="12"/>
        <v>199.26739926739927</v>
      </c>
      <c r="S173">
        <f t="shared" si="13"/>
        <v>0.1775032509752926</v>
      </c>
      <c r="T173">
        <f t="shared" si="14"/>
        <v>20</v>
      </c>
      <c r="U173">
        <f t="shared" si="15"/>
        <v>0.25</v>
      </c>
      <c r="V173">
        <f t="shared" si="16"/>
        <v>2.1760000000000002E-2</v>
      </c>
      <c r="W173">
        <f t="shared" si="17"/>
        <v>0.25091911764705882</v>
      </c>
    </row>
    <row r="174" spans="1:23" x14ac:dyDescent="0.25">
      <c r="B174" s="8" t="s">
        <v>169</v>
      </c>
      <c r="C174" s="8">
        <v>32</v>
      </c>
      <c r="D174" s="8">
        <v>27</v>
      </c>
      <c r="E174" s="8">
        <v>36</v>
      </c>
      <c r="F174" s="8">
        <v>11</v>
      </c>
      <c r="G174" s="8">
        <v>25.01</v>
      </c>
      <c r="H174" s="8">
        <v>40.799999999999997</v>
      </c>
      <c r="I174" s="8">
        <v>52.7</v>
      </c>
      <c r="J174" s="8">
        <v>50.3</v>
      </c>
      <c r="K174" s="8">
        <v>0.21</v>
      </c>
      <c r="L174" s="8">
        <v>0.18</v>
      </c>
      <c r="M174" s="8">
        <v>0.19</v>
      </c>
      <c r="N174" s="8">
        <v>4.5090000000000005E-2</v>
      </c>
      <c r="O174" s="8">
        <v>1.3739999999999999E-2</v>
      </c>
      <c r="P174" s="8">
        <v>6.3780000000000003E-2</v>
      </c>
      <c r="Q174" s="8">
        <v>2.3740000000000001</v>
      </c>
      <c r="R174">
        <f t="shared" si="12"/>
        <v>172.78020378457063</v>
      </c>
      <c r="S174">
        <f t="shared" si="13"/>
        <v>0.21542803386641576</v>
      </c>
      <c r="T174">
        <f t="shared" si="14"/>
        <v>47.933333333333337</v>
      </c>
      <c r="U174">
        <f t="shared" si="15"/>
        <v>0.19333333333333336</v>
      </c>
      <c r="V174">
        <f t="shared" si="16"/>
        <v>4.5106E-2</v>
      </c>
      <c r="W174">
        <f t="shared" si="17"/>
        <v>0.30461579390768412</v>
      </c>
    </row>
    <row r="175" spans="1:23" x14ac:dyDescent="0.25">
      <c r="A175" s="2" t="s">
        <v>116</v>
      </c>
      <c r="B175" s="5" t="s">
        <v>117</v>
      </c>
      <c r="C175" s="5">
        <v>20</v>
      </c>
      <c r="D175" s="5">
        <v>15</v>
      </c>
      <c r="E175" s="5">
        <v>8</v>
      </c>
      <c r="F175" s="5">
        <v>10</v>
      </c>
      <c r="G175" s="5">
        <v>1.68</v>
      </c>
      <c r="H175" s="5">
        <v>13.7</v>
      </c>
      <c r="I175" s="5">
        <v>16.600000000000001</v>
      </c>
      <c r="J175" s="5">
        <v>14.4</v>
      </c>
      <c r="K175" s="5">
        <v>0.5</v>
      </c>
      <c r="L175" s="5">
        <v>0.33</v>
      </c>
      <c r="M175" s="5">
        <v>0.43</v>
      </c>
      <c r="N175" s="5">
        <v>3.0000000000000001E-3</v>
      </c>
      <c r="O175" s="5">
        <v>9.5E-4</v>
      </c>
      <c r="P175" s="5">
        <v>7.0550000000000005E-3</v>
      </c>
      <c r="Q175" s="5">
        <v>1.1475654379999999E-2</v>
      </c>
      <c r="R175">
        <f t="shared" si="12"/>
        <v>12.079636189473682</v>
      </c>
      <c r="S175">
        <f t="shared" si="13"/>
        <v>0.13465627214741316</v>
      </c>
      <c r="T175">
        <f t="shared" si="14"/>
        <v>14.9</v>
      </c>
      <c r="U175">
        <f t="shared" si="15"/>
        <v>0.42</v>
      </c>
      <c r="V175">
        <f t="shared" si="16"/>
        <v>4.9345313833999986E-4</v>
      </c>
      <c r="W175">
        <f t="shared" si="17"/>
        <v>1.9252081427546408</v>
      </c>
    </row>
    <row r="176" spans="1:23" x14ac:dyDescent="0.25">
      <c r="B176" s="6" t="s">
        <v>35</v>
      </c>
      <c r="C176" s="6">
        <v>7.5</v>
      </c>
      <c r="D176" s="6">
        <v>18.5</v>
      </c>
      <c r="E176" s="6">
        <v>13</v>
      </c>
      <c r="F176" s="6">
        <v>7</v>
      </c>
      <c r="G176" s="6"/>
      <c r="H176" s="6">
        <v>25.5</v>
      </c>
      <c r="I176" s="6">
        <v>13.9</v>
      </c>
      <c r="J176" s="6">
        <v>41.3</v>
      </c>
      <c r="K176" s="6">
        <v>0.42</v>
      </c>
      <c r="L176" s="6">
        <v>0.32</v>
      </c>
      <c r="M176" s="6">
        <v>0.4</v>
      </c>
      <c r="N176" s="6">
        <v>8.5000000000000006E-3</v>
      </c>
      <c r="O176" s="6">
        <v>3.0000000000000001E-3</v>
      </c>
      <c r="P176" s="6">
        <v>1.7835E-2</v>
      </c>
      <c r="Q176" s="6">
        <v>0.41200000000000003</v>
      </c>
      <c r="R176">
        <f t="shared" si="12"/>
        <v>137.33333333333334</v>
      </c>
      <c r="S176">
        <f t="shared" si="13"/>
        <v>0.16820857863751051</v>
      </c>
      <c r="T176">
        <f t="shared" si="14"/>
        <v>26.899999999999995</v>
      </c>
      <c r="U176">
        <f t="shared" si="15"/>
        <v>0.38000000000000006</v>
      </c>
      <c r="V176">
        <f t="shared" si="16"/>
        <v>1.6480000000000002E-2</v>
      </c>
      <c r="W176">
        <f t="shared" si="17"/>
        <v>0.18203883495145629</v>
      </c>
    </row>
    <row r="177" spans="1:23" x14ac:dyDescent="0.25">
      <c r="B177" s="7" t="s">
        <v>109</v>
      </c>
      <c r="C177" s="7">
        <v>33</v>
      </c>
      <c r="D177" s="7">
        <v>49</v>
      </c>
      <c r="E177" s="7">
        <v>50</v>
      </c>
      <c r="F177" s="7">
        <v>12</v>
      </c>
      <c r="G177" s="7">
        <v>19.02</v>
      </c>
      <c r="H177" s="7">
        <v>49.8</v>
      </c>
      <c r="I177" s="7">
        <v>44.4</v>
      </c>
      <c r="J177" s="7">
        <v>46.8</v>
      </c>
      <c r="K177" s="7">
        <v>0.36</v>
      </c>
      <c r="L177" s="7">
        <v>0.27</v>
      </c>
      <c r="M177" s="7">
        <v>0.35</v>
      </c>
      <c r="N177" s="7">
        <v>6.0000000000000001E-3</v>
      </c>
      <c r="O177" s="7">
        <v>1.31E-3</v>
      </c>
      <c r="P177" s="7">
        <v>9.1450000000000004E-3</v>
      </c>
      <c r="Q177" s="7">
        <v>1.0705450060000002E-2</v>
      </c>
      <c r="R177">
        <f t="shared" si="12"/>
        <v>8.1720992824427494</v>
      </c>
      <c r="S177">
        <f t="shared" si="13"/>
        <v>0.14324767632586111</v>
      </c>
      <c r="T177">
        <f t="shared" si="14"/>
        <v>47</v>
      </c>
      <c r="U177">
        <f t="shared" si="15"/>
        <v>0.32666666666666666</v>
      </c>
      <c r="V177">
        <f t="shared" si="16"/>
        <v>3.7469075210000001E-4</v>
      </c>
      <c r="W177">
        <f t="shared" si="17"/>
        <v>3.4962165269837731</v>
      </c>
    </row>
    <row r="178" spans="1:23" x14ac:dyDescent="0.25">
      <c r="B178" s="8" t="s">
        <v>110</v>
      </c>
      <c r="C178" s="8">
        <v>46</v>
      </c>
      <c r="D178" s="8">
        <v>46</v>
      </c>
      <c r="E178" s="8">
        <v>37</v>
      </c>
      <c r="F178" s="8">
        <v>7</v>
      </c>
      <c r="G178" s="8">
        <v>5.9</v>
      </c>
      <c r="H178" s="8">
        <v>11.7</v>
      </c>
      <c r="I178" s="8">
        <v>11.9</v>
      </c>
      <c r="J178" s="8">
        <v>8.8000000000000007</v>
      </c>
      <c r="K178" s="8">
        <v>0.27</v>
      </c>
      <c r="L178" s="8">
        <v>0.26</v>
      </c>
      <c r="M178" s="8">
        <v>0.28000000000000003</v>
      </c>
      <c r="N178" s="8">
        <v>8.9999999999999998E-4</v>
      </c>
      <c r="O178" s="8">
        <v>4.4299999999999998E-4</v>
      </c>
      <c r="P178" s="8">
        <v>2.4979999999999998E-3</v>
      </c>
      <c r="Q178" s="8">
        <v>1.0395943400000001E-2</v>
      </c>
      <c r="R178">
        <f t="shared" si="12"/>
        <v>23.467140857787815</v>
      </c>
      <c r="S178">
        <f t="shared" si="13"/>
        <v>0.17734187349879904</v>
      </c>
      <c r="T178">
        <f t="shared" si="14"/>
        <v>10.800000000000002</v>
      </c>
      <c r="U178">
        <f t="shared" si="15"/>
        <v>0.27</v>
      </c>
      <c r="V178">
        <f t="shared" si="16"/>
        <v>2.9108641520000006E-4</v>
      </c>
      <c r="W178">
        <f t="shared" si="17"/>
        <v>1.5218848316766103</v>
      </c>
    </row>
    <row r="179" spans="1:23" x14ac:dyDescent="0.25">
      <c r="B179" s="3" t="s">
        <v>114</v>
      </c>
      <c r="C179" s="3">
        <v>20</v>
      </c>
      <c r="D179" s="3">
        <v>32</v>
      </c>
      <c r="E179" s="3">
        <v>16</v>
      </c>
      <c r="F179" s="3">
        <v>105</v>
      </c>
      <c r="G179" s="3">
        <v>30.77</v>
      </c>
      <c r="H179" s="3">
        <v>10.4</v>
      </c>
      <c r="I179" s="3">
        <v>7.7</v>
      </c>
      <c r="J179" s="3">
        <v>6.5</v>
      </c>
      <c r="K179" s="3">
        <v>0.24</v>
      </c>
      <c r="L179" s="3">
        <v>0.21</v>
      </c>
      <c r="M179" s="3">
        <v>0.2</v>
      </c>
      <c r="N179" s="3">
        <v>0.01</v>
      </c>
      <c r="O179" s="3">
        <v>2.8799999999999997E-3</v>
      </c>
      <c r="P179" s="3">
        <v>1.5288E-2</v>
      </c>
      <c r="Q179" s="3">
        <v>0.43959999999999999</v>
      </c>
      <c r="R179">
        <f t="shared" si="12"/>
        <v>152.63888888888889</v>
      </c>
      <c r="S179">
        <f t="shared" si="13"/>
        <v>0.18838304552590265</v>
      </c>
      <c r="T179">
        <f t="shared" si="14"/>
        <v>8.2000000000000011</v>
      </c>
      <c r="U179">
        <f t="shared" si="15"/>
        <v>0.21666666666666665</v>
      </c>
      <c r="V179">
        <f t="shared" si="16"/>
        <v>8.7919999999999995E-3</v>
      </c>
      <c r="W179">
        <f t="shared" si="17"/>
        <v>0.32757051865332121</v>
      </c>
    </row>
    <row r="180" spans="1:23" x14ac:dyDescent="0.25">
      <c r="A180" s="2" t="s">
        <v>118</v>
      </c>
      <c r="B180" s="5" t="s">
        <v>27</v>
      </c>
      <c r="C180" s="5">
        <v>28</v>
      </c>
      <c r="D180" s="5">
        <v>30</v>
      </c>
      <c r="E180" s="5">
        <v>24</v>
      </c>
      <c r="F180" s="5">
        <v>7</v>
      </c>
      <c r="G180" s="5">
        <v>4.72</v>
      </c>
      <c r="H180" s="5">
        <v>33.5</v>
      </c>
      <c r="I180" s="5">
        <v>19.5</v>
      </c>
      <c r="J180" s="5">
        <v>25.5</v>
      </c>
      <c r="K180" s="5">
        <v>0.2</v>
      </c>
      <c r="L180" s="5">
        <v>0.23</v>
      </c>
      <c r="M180" s="5">
        <v>0.15</v>
      </c>
      <c r="N180" s="5">
        <v>3.4000000000000002E-3</v>
      </c>
      <c r="O180" s="5">
        <v>1.2999999999999999E-3</v>
      </c>
      <c r="P180" s="5">
        <v>6.1500000000000001E-3</v>
      </c>
      <c r="Q180" s="5">
        <v>0.23899999999999999</v>
      </c>
      <c r="R180">
        <f t="shared" si="12"/>
        <v>183.84615384615384</v>
      </c>
      <c r="S180">
        <f t="shared" si="13"/>
        <v>0.2113821138211382</v>
      </c>
      <c r="T180">
        <f t="shared" si="14"/>
        <v>26.166666666666668</v>
      </c>
      <c r="U180">
        <f t="shared" si="15"/>
        <v>0.19333333333333336</v>
      </c>
      <c r="V180">
        <f t="shared" si="16"/>
        <v>3.5850000000000001E-3</v>
      </c>
      <c r="W180">
        <f t="shared" si="17"/>
        <v>0.36262203626220363</v>
      </c>
    </row>
    <row r="181" spans="1:23" x14ac:dyDescent="0.25">
      <c r="B181" s="6" t="s">
        <v>35</v>
      </c>
      <c r="C181" s="6">
        <v>20</v>
      </c>
      <c r="D181" s="6">
        <v>16</v>
      </c>
      <c r="E181" s="6">
        <v>19</v>
      </c>
      <c r="F181" s="6">
        <v>9</v>
      </c>
      <c r="G181" s="6">
        <v>5.36</v>
      </c>
      <c r="H181" s="6">
        <v>58.1</v>
      </c>
      <c r="I181" s="6">
        <v>52</v>
      </c>
      <c r="J181" s="6">
        <v>51.5</v>
      </c>
      <c r="K181" s="6">
        <v>0.46</v>
      </c>
      <c r="L181" s="6">
        <v>0.4</v>
      </c>
      <c r="M181" s="6">
        <v>0.52</v>
      </c>
      <c r="N181" s="6">
        <v>3.619E-2</v>
      </c>
      <c r="O181" s="6">
        <v>6.4199999999999995E-3</v>
      </c>
      <c r="P181" s="6">
        <v>8.09E-2</v>
      </c>
      <c r="Q181" s="6">
        <v>1.0840000000000001</v>
      </c>
      <c r="R181">
        <f t="shared" si="12"/>
        <v>168.84735202492215</v>
      </c>
      <c r="S181">
        <f t="shared" si="13"/>
        <v>7.9357231149567359E-2</v>
      </c>
      <c r="T181">
        <f t="shared" si="14"/>
        <v>53.866666666666667</v>
      </c>
      <c r="U181">
        <f t="shared" si="15"/>
        <v>0.46</v>
      </c>
      <c r="V181">
        <f t="shared" si="16"/>
        <v>5.6368000000000008E-2</v>
      </c>
      <c r="W181">
        <f t="shared" si="17"/>
        <v>0.11389440817485096</v>
      </c>
    </row>
    <row r="182" spans="1:23" x14ac:dyDescent="0.25">
      <c r="B182" s="7" t="s">
        <v>109</v>
      </c>
      <c r="C182" s="7">
        <v>26</v>
      </c>
      <c r="D182" s="7">
        <v>40</v>
      </c>
      <c r="E182" s="7">
        <v>25</v>
      </c>
      <c r="F182" s="7">
        <v>10</v>
      </c>
      <c r="G182" s="7">
        <v>15.23</v>
      </c>
      <c r="H182" s="7">
        <v>27.2</v>
      </c>
      <c r="I182" s="7">
        <v>33</v>
      </c>
      <c r="J182" s="7">
        <v>32.4</v>
      </c>
      <c r="K182" s="7">
        <v>0.75</v>
      </c>
      <c r="L182" s="7">
        <v>0.14000000000000001</v>
      </c>
      <c r="M182" s="7">
        <v>0.13</v>
      </c>
      <c r="N182" s="7">
        <v>4.1466666666666666E-3</v>
      </c>
      <c r="O182" s="7">
        <v>8.8000000000000003E-4</v>
      </c>
      <c r="P182" s="7">
        <v>3.5333333333333332E-3</v>
      </c>
      <c r="Q182" s="7">
        <v>1.71530036E-3</v>
      </c>
      <c r="R182">
        <f t="shared" si="12"/>
        <v>1.9492049545454544</v>
      </c>
      <c r="S182">
        <f t="shared" si="13"/>
        <v>0.24905660377358493</v>
      </c>
      <c r="T182">
        <f t="shared" si="14"/>
        <v>30.866666666666664</v>
      </c>
      <c r="U182">
        <f t="shared" si="15"/>
        <v>0.34</v>
      </c>
      <c r="V182">
        <f t="shared" si="16"/>
        <v>2.229890468E-5</v>
      </c>
      <c r="W182">
        <f t="shared" si="17"/>
        <v>39.463821771895212</v>
      </c>
    </row>
    <row r="183" spans="1:23" x14ac:dyDescent="0.25">
      <c r="B183" s="8" t="s">
        <v>167</v>
      </c>
      <c r="C183" s="8">
        <v>37</v>
      </c>
      <c r="D183" s="8"/>
      <c r="E183" s="8"/>
      <c r="F183" s="8">
        <v>1</v>
      </c>
      <c r="G183" s="8">
        <v>17.95</v>
      </c>
      <c r="H183" s="8">
        <v>17</v>
      </c>
      <c r="I183" s="8">
        <v>16.8</v>
      </c>
      <c r="J183" s="8">
        <v>18.899999999999999</v>
      </c>
      <c r="K183" s="8">
        <v>0.13</v>
      </c>
      <c r="L183" s="8">
        <v>0.14000000000000001</v>
      </c>
      <c r="M183" s="8">
        <v>0.15</v>
      </c>
      <c r="N183" s="8">
        <v>6.1999999999999998E-3</v>
      </c>
      <c r="O183" s="8">
        <v>1.34E-3</v>
      </c>
      <c r="P183" s="8">
        <v>5.1466666666666666E-3</v>
      </c>
      <c r="Q183" s="8">
        <v>1.4878387600000004E-3</v>
      </c>
      <c r="R183">
        <f t="shared" si="12"/>
        <v>1.1103274328358212</v>
      </c>
      <c r="S183">
        <f t="shared" si="13"/>
        <v>0.26036269430051817</v>
      </c>
      <c r="T183">
        <f t="shared" si="14"/>
        <v>17.566666666666666</v>
      </c>
      <c r="U183">
        <f t="shared" si="15"/>
        <v>0.14000000000000001</v>
      </c>
      <c r="V183">
        <f t="shared" si="16"/>
        <v>2.2317581400000006E-5</v>
      </c>
      <c r="W183">
        <f t="shared" si="17"/>
        <v>60.042348495702122</v>
      </c>
    </row>
    <row r="184" spans="1:23" x14ac:dyDescent="0.25">
      <c r="B184" s="3" t="s">
        <v>70</v>
      </c>
      <c r="C184" s="3">
        <v>36</v>
      </c>
      <c r="D184" s="3">
        <v>29</v>
      </c>
      <c r="E184" s="3">
        <v>40</v>
      </c>
      <c r="F184" s="3">
        <v>3</v>
      </c>
      <c r="G184" s="3">
        <v>3.33</v>
      </c>
      <c r="H184" s="3">
        <v>41.9</v>
      </c>
      <c r="I184" s="3">
        <v>31.2</v>
      </c>
      <c r="J184" s="3">
        <v>38.700000000000003</v>
      </c>
      <c r="K184" s="3">
        <v>0.32</v>
      </c>
      <c r="L184" s="3">
        <v>0.2</v>
      </c>
      <c r="M184" s="3">
        <v>0.22</v>
      </c>
      <c r="N184" s="3">
        <v>0.21084</v>
      </c>
      <c r="O184" s="3">
        <v>0.11446000000000001</v>
      </c>
      <c r="P184" s="3">
        <v>0.33398</v>
      </c>
      <c r="Q184" s="3">
        <v>1.3027699860000002E-2</v>
      </c>
      <c r="R184">
        <f t="shared" si="12"/>
        <v>0.11381880010484013</v>
      </c>
      <c r="S184">
        <f t="shared" si="13"/>
        <v>0.34271513264267323</v>
      </c>
      <c r="T184">
        <f t="shared" si="14"/>
        <v>37.266666666666666</v>
      </c>
      <c r="U184">
        <f t="shared" si="15"/>
        <v>0.24666666666666667</v>
      </c>
      <c r="V184">
        <f t="shared" si="16"/>
        <v>2.8660939692000002E-4</v>
      </c>
      <c r="W184">
        <f t="shared" si="17"/>
        <v>399.35885295466676</v>
      </c>
    </row>
    <row r="185" spans="1:23" x14ac:dyDescent="0.25">
      <c r="A185" s="2" t="s">
        <v>119</v>
      </c>
      <c r="B185" s="5" t="s">
        <v>35</v>
      </c>
      <c r="C185" s="5">
        <v>15</v>
      </c>
      <c r="D185" s="5">
        <v>8.5</v>
      </c>
      <c r="E185" s="5">
        <v>11</v>
      </c>
      <c r="F185" s="5">
        <v>20</v>
      </c>
      <c r="G185" s="5">
        <v>7.1</v>
      </c>
      <c r="H185" s="5">
        <v>45.1</v>
      </c>
      <c r="I185" s="5">
        <v>32.6</v>
      </c>
      <c r="J185" s="5">
        <v>47.3</v>
      </c>
      <c r="K185" s="5">
        <v>0.46</v>
      </c>
      <c r="L185" s="5">
        <v>0.31</v>
      </c>
      <c r="M185" s="5">
        <v>0.32</v>
      </c>
      <c r="N185" s="5">
        <v>3.2000000000000001E-2</v>
      </c>
      <c r="O185" s="5">
        <v>7.9600000000000001E-3</v>
      </c>
      <c r="P185" s="5">
        <v>6.8420000000000009E-2</v>
      </c>
      <c r="Q185" s="20">
        <v>0</v>
      </c>
      <c r="R185" s="22">
        <f t="shared" si="12"/>
        <v>0</v>
      </c>
      <c r="S185">
        <f t="shared" si="13"/>
        <v>0.11634025138848289</v>
      </c>
      <c r="T185">
        <f t="shared" si="14"/>
        <v>41.666666666666664</v>
      </c>
      <c r="U185">
        <f t="shared" si="15"/>
        <v>0.36333333333333334</v>
      </c>
      <c r="V185">
        <f t="shared" si="16"/>
        <v>0</v>
      </c>
      <c r="W185" t="e">
        <f t="shared" si="17"/>
        <v>#DIV/0!</v>
      </c>
    </row>
    <row r="186" spans="1:23" x14ac:dyDescent="0.25">
      <c r="B186" s="6" t="s">
        <v>111</v>
      </c>
      <c r="C186" s="6">
        <v>4</v>
      </c>
      <c r="D186" s="6">
        <v>25</v>
      </c>
      <c r="E186" s="6">
        <v>20</v>
      </c>
      <c r="F186" s="6">
        <v>8</v>
      </c>
      <c r="G186" s="6">
        <v>5</v>
      </c>
      <c r="H186" s="6">
        <v>5.4</v>
      </c>
      <c r="I186" s="6">
        <v>22.8</v>
      </c>
      <c r="J186" s="6">
        <v>11.1</v>
      </c>
      <c r="K186" s="6">
        <v>0.16</v>
      </c>
      <c r="L186" s="6">
        <v>0.21</v>
      </c>
      <c r="M186" s="6">
        <v>0.18</v>
      </c>
      <c r="N186" s="6">
        <v>2.8000000000000004E-2</v>
      </c>
      <c r="O186" s="6">
        <v>5.8599999999999998E-3</v>
      </c>
      <c r="P186" s="6">
        <v>3.1660000000000001E-2</v>
      </c>
      <c r="Q186" s="23">
        <v>0</v>
      </c>
      <c r="R186" s="22">
        <f t="shared" si="12"/>
        <v>0</v>
      </c>
      <c r="S186">
        <f t="shared" si="13"/>
        <v>0.18509159823120655</v>
      </c>
      <c r="T186">
        <f t="shared" si="14"/>
        <v>13.100000000000001</v>
      </c>
      <c r="U186">
        <f t="shared" si="15"/>
        <v>0.18333333333333335</v>
      </c>
      <c r="V186">
        <f t="shared" si="16"/>
        <v>0</v>
      </c>
      <c r="W186" t="e">
        <f t="shared" si="17"/>
        <v>#DIV/0!</v>
      </c>
    </row>
    <row r="187" spans="1:23" x14ac:dyDescent="0.25">
      <c r="B187" s="7" t="s">
        <v>109</v>
      </c>
      <c r="C187" s="7">
        <v>39</v>
      </c>
      <c r="D187" s="7">
        <v>46</v>
      </c>
      <c r="E187" s="7">
        <v>33</v>
      </c>
      <c r="F187" s="7">
        <v>16</v>
      </c>
      <c r="G187" s="7">
        <v>22.83</v>
      </c>
      <c r="H187" s="7">
        <v>51.7</v>
      </c>
      <c r="I187" s="7">
        <v>43.7</v>
      </c>
      <c r="J187" s="7">
        <v>76.2</v>
      </c>
      <c r="K187" s="7">
        <v>0.22</v>
      </c>
      <c r="L187" s="7">
        <v>0.25</v>
      </c>
      <c r="M187" s="7">
        <v>0.24</v>
      </c>
      <c r="N187" s="7">
        <v>6.0000000000000001E-3</v>
      </c>
      <c r="O187" s="7">
        <v>1.4666666666666667E-3</v>
      </c>
      <c r="P187" s="7">
        <v>9.913333333333333E-3</v>
      </c>
      <c r="Q187" s="7">
        <v>1.4626810800000001E-3</v>
      </c>
      <c r="R187">
        <f t="shared" si="12"/>
        <v>0.99728255454545456</v>
      </c>
      <c r="S187">
        <f t="shared" si="13"/>
        <v>0.14794889038332212</v>
      </c>
      <c r="T187">
        <f t="shared" si="14"/>
        <v>57.20000000000001</v>
      </c>
      <c r="U187">
        <f t="shared" si="15"/>
        <v>0.23666666666666666</v>
      </c>
      <c r="V187">
        <f t="shared" si="16"/>
        <v>3.5104345920000003E-5</v>
      </c>
      <c r="W187">
        <f t="shared" si="17"/>
        <v>41.780202086917747</v>
      </c>
    </row>
    <row r="188" spans="1:23" x14ac:dyDescent="0.25">
      <c r="B188" s="8" t="s">
        <v>114</v>
      </c>
      <c r="C188" s="8">
        <v>40</v>
      </c>
      <c r="D188" s="8">
        <v>25</v>
      </c>
      <c r="E188" s="8">
        <v>23</v>
      </c>
      <c r="F188" s="8">
        <v>17</v>
      </c>
      <c r="G188" s="8">
        <v>13.1</v>
      </c>
      <c r="H188" s="8">
        <v>54.8</v>
      </c>
      <c r="I188" s="8">
        <v>52.2</v>
      </c>
      <c r="J188" s="8">
        <v>36.700000000000003</v>
      </c>
      <c r="K188" s="8">
        <v>0.35</v>
      </c>
      <c r="L188" s="8">
        <v>0.28999999999999998</v>
      </c>
      <c r="M188" s="8">
        <v>0.55000000000000004</v>
      </c>
      <c r="N188" s="8">
        <v>3.594E-2</v>
      </c>
      <c r="O188" s="8">
        <v>6.6699999999999997E-3</v>
      </c>
      <c r="P188" s="8">
        <v>4.5920000000000002E-2</v>
      </c>
      <c r="Q188" s="8">
        <v>1.329</v>
      </c>
      <c r="R188">
        <f t="shared" si="12"/>
        <v>199.25037481259372</v>
      </c>
      <c r="S188">
        <f t="shared" si="13"/>
        <v>0.1452526132404181</v>
      </c>
      <c r="T188">
        <f t="shared" si="14"/>
        <v>47.9</v>
      </c>
      <c r="U188">
        <f t="shared" si="15"/>
        <v>0.39666666666666667</v>
      </c>
      <c r="V188">
        <f t="shared" si="16"/>
        <v>7.3094999999999993E-2</v>
      </c>
      <c r="W188">
        <f t="shared" si="17"/>
        <v>9.1251111567138665E-2</v>
      </c>
    </row>
    <row r="189" spans="1:23" x14ac:dyDescent="0.25">
      <c r="A189" s="2" t="s">
        <v>120</v>
      </c>
      <c r="B189" s="5" t="s">
        <v>114</v>
      </c>
      <c r="C189" s="5">
        <v>20</v>
      </c>
      <c r="D189" s="5">
        <v>9</v>
      </c>
      <c r="E189" s="5">
        <v>6</v>
      </c>
      <c r="F189" s="5">
        <v>7</v>
      </c>
      <c r="G189" s="5">
        <v>2.92</v>
      </c>
      <c r="H189" s="5">
        <v>13.8</v>
      </c>
      <c r="I189" s="5">
        <v>13.1</v>
      </c>
      <c r="J189" s="5">
        <v>2.7</v>
      </c>
      <c r="K189" s="5">
        <v>0.21</v>
      </c>
      <c r="L189" s="5">
        <v>0.16</v>
      </c>
      <c r="M189" s="5">
        <v>0.18</v>
      </c>
      <c r="N189" s="5">
        <v>5.9800000000000001E-3</v>
      </c>
      <c r="O189" s="5">
        <v>1.4E-3</v>
      </c>
      <c r="P189" s="5">
        <v>8.9800000000000001E-3</v>
      </c>
      <c r="Q189" s="5">
        <v>0.253</v>
      </c>
      <c r="R189">
        <f t="shared" si="12"/>
        <v>180.71428571428572</v>
      </c>
      <c r="S189">
        <f t="shared" si="13"/>
        <v>0.15590200445434299</v>
      </c>
      <c r="T189">
        <f t="shared" si="14"/>
        <v>9.8666666666666654</v>
      </c>
      <c r="U189">
        <f t="shared" si="15"/>
        <v>0.18333333333333335</v>
      </c>
      <c r="V189">
        <f t="shared" si="16"/>
        <v>4.5539999999999999E-3</v>
      </c>
      <c r="W189">
        <f t="shared" si="17"/>
        <v>0.30742204655248134</v>
      </c>
    </row>
    <row r="190" spans="1:23" x14ac:dyDescent="0.25">
      <c r="B190" s="6" t="s">
        <v>110</v>
      </c>
      <c r="C190" s="6">
        <v>42</v>
      </c>
      <c r="D190" s="6">
        <v>32</v>
      </c>
      <c r="E190" s="6">
        <v>30</v>
      </c>
      <c r="F190" s="6">
        <v>14</v>
      </c>
      <c r="G190" s="6">
        <v>46.96</v>
      </c>
      <c r="H190" s="6">
        <v>14.5</v>
      </c>
      <c r="I190" s="6">
        <v>20.2</v>
      </c>
      <c r="J190" s="6">
        <v>15.5</v>
      </c>
      <c r="K190" s="6">
        <v>0.14000000000000001</v>
      </c>
      <c r="L190" s="6">
        <v>0.13</v>
      </c>
      <c r="M190" s="6">
        <v>0.16</v>
      </c>
      <c r="N190" s="6">
        <v>4.3733333333333341E-3</v>
      </c>
      <c r="O190" s="6">
        <v>1.5466666666666665E-3</v>
      </c>
      <c r="P190" s="6">
        <v>8.6533333333333341E-3</v>
      </c>
      <c r="Q190" s="6">
        <v>0.34533333333333333</v>
      </c>
      <c r="R190">
        <f t="shared" si="12"/>
        <v>223.27586206896555</v>
      </c>
      <c r="S190">
        <f t="shared" si="13"/>
        <v>0.17873651771956853</v>
      </c>
      <c r="T190">
        <f t="shared" si="14"/>
        <v>16.733333333333334</v>
      </c>
      <c r="U190">
        <f t="shared" si="15"/>
        <v>0.14333333333333334</v>
      </c>
      <c r="V190">
        <f t="shared" si="16"/>
        <v>5.5253333333333335E-3</v>
      </c>
      <c r="W190">
        <f t="shared" si="17"/>
        <v>0.27992277992277986</v>
      </c>
    </row>
    <row r="191" spans="1:23" x14ac:dyDescent="0.25">
      <c r="B191" s="7" t="s">
        <v>70</v>
      </c>
      <c r="C191" s="7">
        <v>29</v>
      </c>
      <c r="D191" s="7">
        <v>20</v>
      </c>
      <c r="E191" s="7">
        <v>12</v>
      </c>
      <c r="F191" s="7">
        <v>9</v>
      </c>
      <c r="G191" s="7">
        <v>0.86</v>
      </c>
      <c r="H191" s="7">
        <v>57.1</v>
      </c>
      <c r="I191" s="7">
        <v>59.3</v>
      </c>
      <c r="J191" s="7">
        <v>59.1</v>
      </c>
      <c r="K191" s="7">
        <v>0.15</v>
      </c>
      <c r="L191" s="7">
        <v>0.11</v>
      </c>
      <c r="M191" s="7">
        <v>0.13</v>
      </c>
      <c r="N191" s="7">
        <v>3.2979999999999995E-2</v>
      </c>
      <c r="O191" s="7">
        <v>7.7999999999999996E-3</v>
      </c>
      <c r="P191" s="7">
        <v>5.4519999999999999E-2</v>
      </c>
      <c r="Q191" s="7">
        <v>2.3119999999999998</v>
      </c>
      <c r="R191">
        <f t="shared" si="12"/>
        <v>296.41025641025641</v>
      </c>
      <c r="S191">
        <f t="shared" si="13"/>
        <v>0.14306676449009537</v>
      </c>
      <c r="T191">
        <f t="shared" si="14"/>
        <v>58.5</v>
      </c>
      <c r="U191">
        <f t="shared" si="15"/>
        <v>0.13</v>
      </c>
      <c r="V191">
        <f t="shared" si="16"/>
        <v>3.0055999999999999E-2</v>
      </c>
      <c r="W191">
        <f t="shared" si="17"/>
        <v>0.25951557093425603</v>
      </c>
    </row>
    <row r="192" spans="1:23" x14ac:dyDescent="0.25">
      <c r="B192" s="8" t="s">
        <v>109</v>
      </c>
      <c r="C192" s="8">
        <v>50</v>
      </c>
      <c r="D192" s="8">
        <v>44</v>
      </c>
      <c r="E192" s="8">
        <v>32</v>
      </c>
      <c r="F192" s="8">
        <v>74</v>
      </c>
      <c r="G192" s="8">
        <v>69.5</v>
      </c>
      <c r="H192" s="8">
        <v>25.8</v>
      </c>
      <c r="I192" s="8">
        <v>29.6</v>
      </c>
      <c r="J192" s="8">
        <v>31.1</v>
      </c>
      <c r="K192" s="8">
        <v>0.28000000000000003</v>
      </c>
      <c r="L192" s="8">
        <v>0.51</v>
      </c>
      <c r="M192" s="8">
        <v>0.25</v>
      </c>
      <c r="N192" s="8">
        <v>1.1940000000000001E-2</v>
      </c>
      <c r="O192" s="8">
        <v>3.1099999999999999E-3</v>
      </c>
      <c r="P192" s="8">
        <v>1.7989999999999999E-2</v>
      </c>
      <c r="Q192" s="8">
        <v>5.7358819600000013E-3</v>
      </c>
      <c r="R192">
        <f t="shared" si="12"/>
        <v>1.8443350353697754</v>
      </c>
      <c r="S192">
        <f t="shared" si="13"/>
        <v>0.17287381878821567</v>
      </c>
      <c r="T192">
        <f t="shared" si="14"/>
        <v>28.833333333333332</v>
      </c>
      <c r="U192">
        <f t="shared" si="15"/>
        <v>0.34666666666666668</v>
      </c>
      <c r="V192">
        <f t="shared" si="16"/>
        <v>1.4339704900000004E-4</v>
      </c>
      <c r="W192">
        <f t="shared" si="17"/>
        <v>21.688033482474239</v>
      </c>
    </row>
    <row r="193" spans="1:23" x14ac:dyDescent="0.25">
      <c r="B193" s="3" t="s">
        <v>24</v>
      </c>
      <c r="C193" s="3">
        <v>22.4</v>
      </c>
      <c r="D193" s="3">
        <v>24.3</v>
      </c>
      <c r="E193" s="3">
        <v>18</v>
      </c>
      <c r="F193" s="3">
        <v>4</v>
      </c>
      <c r="G193" s="3">
        <v>2.08</v>
      </c>
      <c r="H193" s="3">
        <v>28.6</v>
      </c>
      <c r="I193" s="3">
        <v>22.4</v>
      </c>
      <c r="J193" s="3">
        <v>24.7</v>
      </c>
      <c r="K193" s="3">
        <v>0.67</v>
      </c>
      <c r="L193" s="3">
        <v>0.99</v>
      </c>
      <c r="M193" s="3">
        <v>0.69</v>
      </c>
      <c r="N193" s="3">
        <v>1.248E-2</v>
      </c>
      <c r="O193" s="3">
        <v>1.0500000000000002E-3</v>
      </c>
      <c r="P193" s="3">
        <v>1.141E-2</v>
      </c>
      <c r="Q193" s="3">
        <v>3.5145574119999995E-2</v>
      </c>
      <c r="R193">
        <f t="shared" si="12"/>
        <v>33.471975352380944</v>
      </c>
      <c r="S193">
        <f t="shared" si="13"/>
        <v>9.2024539877300623E-2</v>
      </c>
      <c r="T193">
        <f t="shared" si="14"/>
        <v>25.233333333333334</v>
      </c>
      <c r="U193">
        <f t="shared" si="15"/>
        <v>0.78333333333333333</v>
      </c>
      <c r="V193">
        <f t="shared" si="16"/>
        <v>2.4250446142799996E-3</v>
      </c>
      <c r="W193">
        <f t="shared" si="17"/>
        <v>0.43298172487921305</v>
      </c>
    </row>
    <row r="194" spans="1:23" x14ac:dyDescent="0.25">
      <c r="A194" s="2" t="s">
        <v>121</v>
      </c>
      <c r="B194" s="5" t="s">
        <v>35</v>
      </c>
      <c r="C194" s="5">
        <v>33</v>
      </c>
      <c r="D194" s="5">
        <v>25</v>
      </c>
      <c r="E194" s="5">
        <v>15</v>
      </c>
      <c r="F194" s="5">
        <v>3</v>
      </c>
      <c r="G194" s="5">
        <v>22.47</v>
      </c>
      <c r="H194" s="5">
        <v>52.7</v>
      </c>
      <c r="I194" s="5">
        <v>60.9</v>
      </c>
      <c r="J194" s="5">
        <v>62.4</v>
      </c>
      <c r="K194" s="5">
        <v>0.33</v>
      </c>
      <c r="L194" s="5">
        <v>0.25</v>
      </c>
      <c r="M194" s="5">
        <v>0.34</v>
      </c>
      <c r="N194" s="5">
        <v>2.2553333333333331E-2</v>
      </c>
      <c r="O194" s="5">
        <v>4.8866666666666668E-3</v>
      </c>
      <c r="P194" s="5">
        <v>4.58E-2</v>
      </c>
      <c r="Q194" s="5">
        <v>0.83400000000000007</v>
      </c>
      <c r="R194">
        <f t="shared" si="12"/>
        <v>170.66848567530698</v>
      </c>
      <c r="S194">
        <f t="shared" si="13"/>
        <v>0.10669577874818049</v>
      </c>
      <c r="T194">
        <f t="shared" si="14"/>
        <v>58.666666666666664</v>
      </c>
      <c r="U194">
        <f t="shared" si="15"/>
        <v>0.3066666666666667</v>
      </c>
      <c r="V194">
        <f t="shared" si="16"/>
        <v>2.8356000000000003E-2</v>
      </c>
      <c r="W194">
        <f t="shared" si="17"/>
        <v>0.17233272205764799</v>
      </c>
    </row>
    <row r="195" spans="1:23" x14ac:dyDescent="0.25">
      <c r="B195" s="6" t="s">
        <v>115</v>
      </c>
      <c r="C195" s="6">
        <v>36</v>
      </c>
      <c r="D195" s="6">
        <v>26</v>
      </c>
      <c r="E195" s="6"/>
      <c r="F195" s="6">
        <v>2</v>
      </c>
      <c r="G195" s="6">
        <v>9.4700000000000006</v>
      </c>
      <c r="H195" s="6">
        <v>35</v>
      </c>
      <c r="I195" s="6">
        <v>23.3</v>
      </c>
      <c r="J195" s="6">
        <v>69.8</v>
      </c>
      <c r="K195" s="6">
        <v>0.3</v>
      </c>
      <c r="L195" s="6">
        <v>0.23</v>
      </c>
      <c r="M195" s="6">
        <v>0.26</v>
      </c>
      <c r="N195" s="6">
        <v>1.3100000000000001E-2</v>
      </c>
      <c r="O195" s="6">
        <v>3.2099999999999997E-3</v>
      </c>
      <c r="P195" s="6">
        <v>1.5910000000000001E-2</v>
      </c>
      <c r="Q195" s="6">
        <v>0.54100000000000004</v>
      </c>
      <c r="R195">
        <f t="shared" ref="R195:R215" si="18">Q195/O195</f>
        <v>168.53582554517138</v>
      </c>
      <c r="S195">
        <f t="shared" ref="S195:S215" si="19">O195/P195</f>
        <v>0.20175989943431802</v>
      </c>
      <c r="T195">
        <f t="shared" ref="T195:T215" si="20">AVERAGEA(H195:J195)</f>
        <v>42.699999999999996</v>
      </c>
      <c r="U195">
        <f t="shared" ref="U195:U215" si="21">AVERAGEA(K195:M195)</f>
        <v>0.26333333333333336</v>
      </c>
      <c r="V195">
        <f t="shared" ref="V195:V215" si="22">Q195*M195/10</f>
        <v>1.4066E-2</v>
      </c>
      <c r="W195">
        <f t="shared" ref="W195:W215" si="23">O195/V195</f>
        <v>0.22820986776624483</v>
      </c>
    </row>
    <row r="196" spans="1:23" x14ac:dyDescent="0.25">
      <c r="B196" s="7" t="s">
        <v>114</v>
      </c>
      <c r="C196" s="7">
        <v>33</v>
      </c>
      <c r="D196" s="7">
        <v>18</v>
      </c>
      <c r="E196" s="7">
        <v>12.5</v>
      </c>
      <c r="F196" s="7">
        <v>3</v>
      </c>
      <c r="G196" s="7">
        <v>14.02</v>
      </c>
      <c r="H196" s="7">
        <v>20.9</v>
      </c>
      <c r="I196" s="7">
        <v>30.6</v>
      </c>
      <c r="J196" s="7">
        <v>21.9</v>
      </c>
      <c r="K196" s="7">
        <v>0.16</v>
      </c>
      <c r="L196" s="7">
        <v>0.17</v>
      </c>
      <c r="M196" s="7">
        <v>0.21</v>
      </c>
      <c r="N196" s="7">
        <v>6.0999999999999995E-3</v>
      </c>
      <c r="O196" s="7">
        <v>1.0149999999999998E-3</v>
      </c>
      <c r="P196" s="7">
        <v>9.75E-3</v>
      </c>
      <c r="Q196" s="7">
        <v>6.0612016599999995E-3</v>
      </c>
      <c r="R196">
        <f t="shared" si="18"/>
        <v>5.9716272512315278</v>
      </c>
      <c r="S196">
        <f t="shared" si="19"/>
        <v>0.10410256410256409</v>
      </c>
      <c r="T196">
        <f t="shared" si="20"/>
        <v>24.466666666666669</v>
      </c>
      <c r="U196">
        <f t="shared" si="21"/>
        <v>0.18000000000000002</v>
      </c>
      <c r="V196">
        <f t="shared" si="22"/>
        <v>1.2728523485999998E-4</v>
      </c>
      <c r="W196">
        <f t="shared" si="23"/>
        <v>7.9742163426605632</v>
      </c>
    </row>
    <row r="197" spans="1:23" x14ac:dyDescent="0.25">
      <c r="B197" s="8" t="s">
        <v>110</v>
      </c>
      <c r="C197" s="8">
        <v>28</v>
      </c>
      <c r="D197" s="8">
        <v>26</v>
      </c>
      <c r="E197" s="8">
        <v>30</v>
      </c>
      <c r="F197" s="8">
        <v>15</v>
      </c>
      <c r="G197" s="8">
        <v>19.36</v>
      </c>
      <c r="H197" s="8">
        <v>21.8</v>
      </c>
      <c r="I197" s="8">
        <v>20.7</v>
      </c>
      <c r="J197" s="8">
        <v>23.1</v>
      </c>
      <c r="K197" s="8">
        <v>7.0000000000000007E-2</v>
      </c>
      <c r="L197" s="8">
        <v>0.23</v>
      </c>
      <c r="M197" s="8">
        <v>0.26</v>
      </c>
      <c r="N197" s="8">
        <v>6.9650000000000007E-3</v>
      </c>
      <c r="O197" s="8">
        <v>1.0449999999999999E-3</v>
      </c>
      <c r="P197" s="8">
        <v>9.9500000000000005E-3</v>
      </c>
      <c r="Q197" s="8">
        <v>2.6029554379999997E-2</v>
      </c>
      <c r="R197">
        <f t="shared" si="18"/>
        <v>24.908664478468896</v>
      </c>
      <c r="S197">
        <f t="shared" si="19"/>
        <v>0.10502512562814069</v>
      </c>
      <c r="T197">
        <f t="shared" si="20"/>
        <v>21.866666666666664</v>
      </c>
      <c r="U197">
        <f t="shared" si="21"/>
        <v>0.18666666666666668</v>
      </c>
      <c r="V197">
        <f t="shared" si="22"/>
        <v>6.7676841387999994E-4</v>
      </c>
      <c r="W197">
        <f t="shared" si="23"/>
        <v>1.5441027958277207</v>
      </c>
    </row>
    <row r="198" spans="1:23" x14ac:dyDescent="0.25">
      <c r="B198" s="3" t="s">
        <v>109</v>
      </c>
      <c r="C198" s="3">
        <v>53</v>
      </c>
      <c r="D198" s="3">
        <v>63</v>
      </c>
      <c r="E198" s="3">
        <v>65</v>
      </c>
      <c r="F198" s="3">
        <v>4</v>
      </c>
      <c r="G198" s="3">
        <v>25.32</v>
      </c>
      <c r="H198" s="3">
        <v>41.9</v>
      </c>
      <c r="I198" s="3">
        <v>45.2</v>
      </c>
      <c r="J198" s="3">
        <v>78.2</v>
      </c>
      <c r="K198" s="3">
        <v>0.12</v>
      </c>
      <c r="L198" s="3">
        <v>0.26</v>
      </c>
      <c r="M198" s="3">
        <v>0.1</v>
      </c>
      <c r="N198" s="3">
        <v>6.0133333333333332E-3</v>
      </c>
      <c r="O198" s="3">
        <v>1.0733333333333333E-3</v>
      </c>
      <c r="P198" s="3">
        <v>7.966666666666667E-3</v>
      </c>
      <c r="Q198" s="3">
        <v>4.0437453799999998E-3</v>
      </c>
      <c r="R198">
        <f t="shared" si="18"/>
        <v>3.767464639751553</v>
      </c>
      <c r="S198">
        <f t="shared" si="19"/>
        <v>0.13472803347280332</v>
      </c>
      <c r="T198">
        <f t="shared" si="20"/>
        <v>55.1</v>
      </c>
      <c r="U198">
        <f t="shared" si="21"/>
        <v>0.16</v>
      </c>
      <c r="V198">
        <f t="shared" si="22"/>
        <v>4.0437453799999998E-5</v>
      </c>
      <c r="W198">
        <f t="shared" si="23"/>
        <v>26.543049387875488</v>
      </c>
    </row>
    <row r="199" spans="1:23" x14ac:dyDescent="0.25">
      <c r="A199" s="2" t="s">
        <v>122</v>
      </c>
      <c r="B199" s="5" t="s">
        <v>114</v>
      </c>
      <c r="C199" s="5">
        <v>16</v>
      </c>
      <c r="D199" s="5">
        <v>26</v>
      </c>
      <c r="E199" s="5">
        <v>27</v>
      </c>
      <c r="F199" s="5">
        <v>19</v>
      </c>
      <c r="G199" s="5">
        <v>10.51</v>
      </c>
      <c r="H199" s="5">
        <v>29.4</v>
      </c>
      <c r="I199" s="5">
        <v>20.2</v>
      </c>
      <c r="J199" s="5">
        <v>17.399999999999999</v>
      </c>
      <c r="K199" s="5">
        <v>0.18</v>
      </c>
      <c r="L199" s="5">
        <v>0.27</v>
      </c>
      <c r="M199" s="5">
        <v>0.21</v>
      </c>
      <c r="N199" s="5">
        <v>7.0299999999999998E-3</v>
      </c>
      <c r="O199" s="5">
        <v>1.4350000000000001E-3</v>
      </c>
      <c r="P199" s="5">
        <v>9.9349999999999994E-3</v>
      </c>
      <c r="Q199" s="5">
        <v>0.28550000000000003</v>
      </c>
      <c r="R199">
        <f t="shared" si="18"/>
        <v>198.95470383275261</v>
      </c>
      <c r="S199">
        <f t="shared" si="19"/>
        <v>0.14443885254151989</v>
      </c>
      <c r="T199">
        <f t="shared" si="20"/>
        <v>22.333333333333332</v>
      </c>
      <c r="U199">
        <f t="shared" si="21"/>
        <v>0.22</v>
      </c>
      <c r="V199">
        <f t="shared" si="22"/>
        <v>5.9955E-3</v>
      </c>
      <c r="W199">
        <f t="shared" si="23"/>
        <v>0.23934617629889085</v>
      </c>
    </row>
    <row r="200" spans="1:23" x14ac:dyDescent="0.25">
      <c r="B200" s="6" t="s">
        <v>124</v>
      </c>
      <c r="C200" s="6">
        <v>58</v>
      </c>
      <c r="D200" s="6">
        <v>27</v>
      </c>
      <c r="E200" s="6"/>
      <c r="F200" s="6">
        <v>2</v>
      </c>
      <c r="G200" s="6">
        <v>18.84</v>
      </c>
      <c r="H200" s="6">
        <v>7.1</v>
      </c>
      <c r="I200" s="6">
        <v>3.8</v>
      </c>
      <c r="J200" s="6">
        <v>3.3</v>
      </c>
      <c r="K200" s="6">
        <v>0.21</v>
      </c>
      <c r="L200" s="6">
        <v>0.38</v>
      </c>
      <c r="M200" s="6">
        <v>0.22</v>
      </c>
      <c r="N200" s="6">
        <v>4.6800000000000001E-3</v>
      </c>
      <c r="O200" s="6">
        <v>1.0950000000000001E-3</v>
      </c>
      <c r="P200" s="6">
        <v>8.0099999999999998E-3</v>
      </c>
      <c r="Q200" s="6">
        <v>7.8275489999999996E-3</v>
      </c>
      <c r="R200">
        <f t="shared" si="18"/>
        <v>7.1484465753424651</v>
      </c>
      <c r="S200">
        <f t="shared" si="19"/>
        <v>0.13670411985018727</v>
      </c>
      <c r="T200">
        <f t="shared" si="20"/>
        <v>4.7333333333333334</v>
      </c>
      <c r="U200">
        <f t="shared" si="21"/>
        <v>0.26999999999999996</v>
      </c>
      <c r="V200">
        <f t="shared" si="22"/>
        <v>1.7220607800000001E-4</v>
      </c>
      <c r="W200">
        <f t="shared" si="23"/>
        <v>6.3586605810742638</v>
      </c>
    </row>
    <row r="201" spans="1:23" x14ac:dyDescent="0.25">
      <c r="B201" s="7" t="s">
        <v>27</v>
      </c>
      <c r="C201" s="7">
        <v>52</v>
      </c>
      <c r="D201" s="7"/>
      <c r="E201" s="7"/>
      <c r="F201" s="7">
        <v>1</v>
      </c>
      <c r="G201" s="7">
        <v>7.49</v>
      </c>
      <c r="H201" s="7">
        <v>66.099999999999994</v>
      </c>
      <c r="I201" s="7">
        <v>39.6</v>
      </c>
      <c r="J201" s="7">
        <v>42.5</v>
      </c>
      <c r="K201" s="7">
        <v>0.1</v>
      </c>
      <c r="L201" s="7">
        <v>0.09</v>
      </c>
      <c r="M201" s="7">
        <v>0.06</v>
      </c>
      <c r="N201" s="7">
        <v>4.0500000000000001E-2</v>
      </c>
      <c r="O201" s="7">
        <v>9.5399999999999999E-3</v>
      </c>
      <c r="P201" s="7">
        <v>4.5700000000000005E-2</v>
      </c>
      <c r="Q201" s="7">
        <v>2.246</v>
      </c>
      <c r="R201">
        <f t="shared" si="18"/>
        <v>235.42976939203353</v>
      </c>
      <c r="S201">
        <f t="shared" si="19"/>
        <v>0.20875273522975929</v>
      </c>
      <c r="T201">
        <f t="shared" si="20"/>
        <v>49.4</v>
      </c>
      <c r="U201">
        <f t="shared" si="21"/>
        <v>8.3333333333333329E-2</v>
      </c>
      <c r="V201">
        <f t="shared" si="22"/>
        <v>1.3475999999999998E-2</v>
      </c>
      <c r="W201">
        <f t="shared" si="23"/>
        <v>0.70792520035618889</v>
      </c>
    </row>
    <row r="202" spans="1:23" x14ac:dyDescent="0.25">
      <c r="B202" s="8" t="s">
        <v>93</v>
      </c>
      <c r="C202" s="8">
        <v>43</v>
      </c>
      <c r="D202" s="8"/>
      <c r="E202" s="8"/>
      <c r="F202" s="8">
        <v>1</v>
      </c>
      <c r="G202" s="8">
        <v>4.7699999999999996</v>
      </c>
      <c r="H202" s="8">
        <v>52</v>
      </c>
      <c r="I202" s="8">
        <v>53.9</v>
      </c>
      <c r="J202" s="8">
        <v>21.4</v>
      </c>
      <c r="K202" s="8">
        <v>0.18</v>
      </c>
      <c r="L202" s="8">
        <v>0.22</v>
      </c>
      <c r="M202" s="8">
        <v>0.23</v>
      </c>
      <c r="N202" s="8">
        <v>2.5340000000000001E-2</v>
      </c>
      <c r="O202" s="8">
        <v>9.2499999999999995E-3</v>
      </c>
      <c r="P202" s="8">
        <v>3.0709999999999998E-2</v>
      </c>
      <c r="Q202" s="8">
        <v>1.2229999999999999</v>
      </c>
      <c r="R202">
        <f t="shared" si="18"/>
        <v>132.2162162162162</v>
      </c>
      <c r="S202">
        <f t="shared" si="19"/>
        <v>0.30120481927710846</v>
      </c>
      <c r="T202">
        <f t="shared" si="20"/>
        <v>42.433333333333337</v>
      </c>
      <c r="U202">
        <f t="shared" si="21"/>
        <v>0.21</v>
      </c>
      <c r="V202">
        <f t="shared" si="22"/>
        <v>2.8128999999999998E-2</v>
      </c>
      <c r="W202">
        <f t="shared" si="23"/>
        <v>0.32884212023178927</v>
      </c>
    </row>
    <row r="203" spans="1:23" x14ac:dyDescent="0.25">
      <c r="B203" s="5" t="s">
        <v>123</v>
      </c>
      <c r="C203" s="5">
        <v>19</v>
      </c>
      <c r="D203" s="5">
        <v>23</v>
      </c>
      <c r="E203" s="5">
        <v>13</v>
      </c>
      <c r="F203" s="5">
        <v>3</v>
      </c>
      <c r="G203" s="5">
        <v>4.0999999999999996</v>
      </c>
      <c r="H203" s="5">
        <v>58.4</v>
      </c>
      <c r="I203" s="5">
        <v>35.200000000000003</v>
      </c>
      <c r="J203" s="5">
        <v>28.2</v>
      </c>
      <c r="K203" s="5">
        <v>0.23</v>
      </c>
      <c r="L203" s="5">
        <v>0.25</v>
      </c>
      <c r="M203" s="5">
        <v>0.22</v>
      </c>
      <c r="N203" s="5">
        <v>1.4033333333333333E-2</v>
      </c>
      <c r="O203" s="5">
        <v>5.0400000000000002E-3</v>
      </c>
      <c r="P203" s="5">
        <v>2.9793333333333335E-2</v>
      </c>
      <c r="Q203" s="5">
        <v>0.752</v>
      </c>
      <c r="R203">
        <f t="shared" si="18"/>
        <v>149.20634920634919</v>
      </c>
      <c r="S203">
        <f t="shared" si="19"/>
        <v>0.16916536137838442</v>
      </c>
      <c r="T203">
        <f t="shared" si="20"/>
        <v>40.6</v>
      </c>
      <c r="U203">
        <f t="shared" si="21"/>
        <v>0.23333333333333331</v>
      </c>
      <c r="V203">
        <f t="shared" si="22"/>
        <v>1.6544E-2</v>
      </c>
      <c r="W203">
        <f t="shared" si="23"/>
        <v>0.30464216634429403</v>
      </c>
    </row>
    <row r="204" spans="1:23" x14ac:dyDescent="0.25">
      <c r="B204" s="6" t="s">
        <v>110</v>
      </c>
      <c r="C204" s="6">
        <v>24</v>
      </c>
      <c r="D204" s="6">
        <v>28</v>
      </c>
      <c r="E204" s="6">
        <v>14</v>
      </c>
      <c r="F204" s="6">
        <v>11</v>
      </c>
      <c r="G204" s="6">
        <v>11.14</v>
      </c>
      <c r="H204" s="6">
        <v>35.700000000000003</v>
      </c>
      <c r="I204" s="6">
        <v>30.9</v>
      </c>
      <c r="J204" s="6">
        <v>24.9</v>
      </c>
      <c r="K204" s="6">
        <v>0.1</v>
      </c>
      <c r="L204" s="6">
        <v>0.05</v>
      </c>
      <c r="M204" s="6">
        <v>0.04</v>
      </c>
      <c r="N204" s="6">
        <v>4.8600000000000006E-3</v>
      </c>
      <c r="O204" s="6">
        <v>1.3333333333333333E-3</v>
      </c>
      <c r="P204" s="6">
        <v>1.022E-2</v>
      </c>
      <c r="Q204" s="6">
        <v>0.30399999999999999</v>
      </c>
      <c r="R204">
        <f t="shared" si="18"/>
        <v>228</v>
      </c>
      <c r="S204">
        <f t="shared" si="19"/>
        <v>0.13046314416177429</v>
      </c>
      <c r="T204">
        <f t="shared" si="20"/>
        <v>30.5</v>
      </c>
      <c r="U204">
        <f t="shared" si="21"/>
        <v>6.3333333333333339E-2</v>
      </c>
      <c r="V204">
        <f t="shared" si="22"/>
        <v>1.2160000000000001E-3</v>
      </c>
      <c r="W204">
        <f t="shared" si="23"/>
        <v>1.0964912280701753</v>
      </c>
    </row>
    <row r="205" spans="1:23" x14ac:dyDescent="0.25">
      <c r="B205" s="7" t="s">
        <v>109</v>
      </c>
      <c r="C205" s="7">
        <v>43</v>
      </c>
      <c r="D205" s="7">
        <v>45</v>
      </c>
      <c r="E205" s="7">
        <v>40</v>
      </c>
      <c r="F205" s="7">
        <v>4</v>
      </c>
      <c r="G205" s="7">
        <v>28.47</v>
      </c>
      <c r="H205" s="7">
        <v>20.5</v>
      </c>
      <c r="I205" s="7">
        <v>41.6</v>
      </c>
      <c r="J205" s="7">
        <v>44.4</v>
      </c>
      <c r="K205" s="7">
        <v>0.06</v>
      </c>
      <c r="L205" s="7">
        <v>0.15</v>
      </c>
      <c r="M205" s="7">
        <v>0.08</v>
      </c>
      <c r="N205" s="7">
        <v>8.8699999999999994E-3</v>
      </c>
      <c r="O205" s="7">
        <v>2.1999999999999997E-3</v>
      </c>
      <c r="P205" s="7">
        <v>1.321E-2</v>
      </c>
      <c r="Q205" s="7">
        <v>2.7848157599999999E-3</v>
      </c>
      <c r="R205">
        <f t="shared" si="18"/>
        <v>1.2658253454545456</v>
      </c>
      <c r="S205">
        <f t="shared" si="19"/>
        <v>0.16654049962149886</v>
      </c>
      <c r="T205">
        <f t="shared" si="20"/>
        <v>35.5</v>
      </c>
      <c r="U205">
        <f t="shared" si="21"/>
        <v>9.6666666666666665E-2</v>
      </c>
      <c r="V205">
        <f t="shared" si="22"/>
        <v>2.227852608E-5</v>
      </c>
      <c r="W205">
        <f t="shared" si="23"/>
        <v>98.749800238131357</v>
      </c>
    </row>
    <row r="206" spans="1:23" x14ac:dyDescent="0.25">
      <c r="A206" s="2" t="s">
        <v>125</v>
      </c>
      <c r="B206" s="5" t="s">
        <v>110</v>
      </c>
      <c r="C206" s="5">
        <v>24</v>
      </c>
      <c r="D206" s="5">
        <v>28</v>
      </c>
      <c r="E206" s="5">
        <v>14</v>
      </c>
      <c r="F206" s="5">
        <v>11</v>
      </c>
      <c r="G206" s="5">
        <v>11.14</v>
      </c>
      <c r="H206" s="5">
        <v>35.700000000000003</v>
      </c>
      <c r="I206" s="5">
        <v>30.9</v>
      </c>
      <c r="J206" s="5">
        <v>24.9</v>
      </c>
      <c r="K206" s="5">
        <v>0.1</v>
      </c>
      <c r="L206" s="5">
        <v>0.05</v>
      </c>
      <c r="M206" s="5">
        <v>0.04</v>
      </c>
      <c r="N206" s="5">
        <v>2.164E-2</v>
      </c>
      <c r="O206" s="5">
        <v>7.2999999999999992E-3</v>
      </c>
      <c r="P206" s="5">
        <v>3.9699999999999999E-2</v>
      </c>
      <c r="Q206" s="5">
        <v>1.286</v>
      </c>
      <c r="R206">
        <f t="shared" si="18"/>
        <v>176.16438356164386</v>
      </c>
      <c r="S206">
        <f t="shared" si="19"/>
        <v>0.18387909319899243</v>
      </c>
      <c r="T206">
        <f t="shared" si="20"/>
        <v>30.5</v>
      </c>
      <c r="U206">
        <f t="shared" si="21"/>
        <v>6.3333333333333339E-2</v>
      </c>
      <c r="V206">
        <f t="shared" si="22"/>
        <v>5.1440000000000001E-3</v>
      </c>
      <c r="W206">
        <f t="shared" si="23"/>
        <v>1.4191290824261273</v>
      </c>
    </row>
    <row r="207" spans="1:23" x14ac:dyDescent="0.25">
      <c r="B207" s="6" t="s">
        <v>35</v>
      </c>
      <c r="C207" s="6">
        <v>32</v>
      </c>
      <c r="D207" s="6">
        <v>30</v>
      </c>
      <c r="E207" s="6">
        <v>43</v>
      </c>
      <c r="F207" s="6">
        <v>17</v>
      </c>
      <c r="G207" s="6">
        <v>110.9</v>
      </c>
      <c r="H207" s="6">
        <v>41.4</v>
      </c>
      <c r="I207" s="6">
        <v>34.200000000000003</v>
      </c>
      <c r="J207" s="6">
        <v>36.9</v>
      </c>
      <c r="K207" s="6">
        <v>0.28999999999999998</v>
      </c>
      <c r="L207" s="6">
        <v>0.27</v>
      </c>
      <c r="M207" s="6">
        <v>0.26</v>
      </c>
      <c r="N207" s="6">
        <v>4.41E-2</v>
      </c>
      <c r="O207" s="6">
        <v>1.154E-2</v>
      </c>
      <c r="P207" s="6">
        <v>8.9539999999999995E-2</v>
      </c>
      <c r="Q207" s="6">
        <v>2.0880000000000001</v>
      </c>
      <c r="R207">
        <f t="shared" si="18"/>
        <v>180.93587521663778</v>
      </c>
      <c r="S207">
        <f t="shared" si="19"/>
        <v>0.12888094706276526</v>
      </c>
      <c r="T207">
        <f t="shared" si="20"/>
        <v>37.5</v>
      </c>
      <c r="U207">
        <f t="shared" si="21"/>
        <v>0.27333333333333337</v>
      </c>
      <c r="V207">
        <f t="shared" si="22"/>
        <v>5.4288000000000003E-2</v>
      </c>
      <c r="W207">
        <f t="shared" si="23"/>
        <v>0.21256999705275567</v>
      </c>
    </row>
    <row r="208" spans="1:23" x14ac:dyDescent="0.25">
      <c r="B208" s="3" t="s">
        <v>109</v>
      </c>
      <c r="C208" s="3">
        <v>42</v>
      </c>
      <c r="D208" s="3">
        <v>20</v>
      </c>
      <c r="E208" s="3">
        <v>41</v>
      </c>
      <c r="F208" s="3">
        <v>22</v>
      </c>
      <c r="G208" s="3">
        <v>29.61</v>
      </c>
      <c r="H208" s="3">
        <v>58</v>
      </c>
      <c r="I208" s="3">
        <v>38.1</v>
      </c>
      <c r="J208" s="3">
        <v>45.9</v>
      </c>
      <c r="K208" s="3">
        <v>0.13</v>
      </c>
      <c r="L208" s="3">
        <v>0.21</v>
      </c>
      <c r="M208" s="3">
        <v>0.19</v>
      </c>
      <c r="N208" s="3">
        <v>3.7949999999999998E-3</v>
      </c>
      <c r="O208" s="3">
        <v>8.5000000000000006E-4</v>
      </c>
      <c r="P208" s="3">
        <v>4.8599999999999997E-3</v>
      </c>
      <c r="Q208" s="3">
        <v>2.3205479200000003E-3</v>
      </c>
      <c r="R208">
        <f t="shared" si="18"/>
        <v>2.7300563764705883</v>
      </c>
      <c r="S208">
        <f t="shared" si="19"/>
        <v>0.17489711934156379</v>
      </c>
      <c r="T208">
        <f t="shared" si="20"/>
        <v>47.333333333333336</v>
      </c>
      <c r="U208">
        <f t="shared" si="21"/>
        <v>0.17666666666666667</v>
      </c>
      <c r="V208">
        <f t="shared" si="22"/>
        <v>4.4090410480000006E-5</v>
      </c>
      <c r="W208">
        <f t="shared" si="23"/>
        <v>19.278568531031738</v>
      </c>
    </row>
    <row r="209" spans="1:23" x14ac:dyDescent="0.25">
      <c r="A209" s="2" t="s">
        <v>36</v>
      </c>
      <c r="B209" s="7" t="s">
        <v>35</v>
      </c>
      <c r="C209" s="7">
        <v>17.2</v>
      </c>
      <c r="D209" s="7">
        <v>20.5</v>
      </c>
      <c r="E209" s="7">
        <v>20</v>
      </c>
      <c r="F209" s="7">
        <v>32</v>
      </c>
      <c r="G209" s="7">
        <v>48.42</v>
      </c>
      <c r="H209" s="7">
        <v>65.599999999999994</v>
      </c>
      <c r="I209" s="7">
        <v>61.1</v>
      </c>
      <c r="J209" s="7">
        <v>56.2</v>
      </c>
      <c r="K209" s="7">
        <v>0.23</v>
      </c>
      <c r="L209" s="7">
        <v>0.25</v>
      </c>
      <c r="M209" s="7">
        <v>0.35</v>
      </c>
      <c r="N209" s="7">
        <v>1.9446666666666668E-2</v>
      </c>
      <c r="O209" s="7">
        <v>4.9066666666666668E-3</v>
      </c>
      <c r="P209" s="7">
        <v>4.175333333333333E-2</v>
      </c>
      <c r="Q209" s="7">
        <v>0.95533333333333337</v>
      </c>
      <c r="R209">
        <f t="shared" si="18"/>
        <v>194.70108695652175</v>
      </c>
      <c r="S209">
        <f t="shared" si="19"/>
        <v>0.11751556761935177</v>
      </c>
      <c r="T209">
        <f t="shared" si="20"/>
        <v>60.966666666666661</v>
      </c>
      <c r="U209">
        <f t="shared" si="21"/>
        <v>0.27666666666666667</v>
      </c>
      <c r="V209">
        <f t="shared" si="22"/>
        <v>3.3436666666666663E-2</v>
      </c>
      <c r="W209">
        <f t="shared" si="23"/>
        <v>0.14674509022031704</v>
      </c>
    </row>
    <row r="210" spans="1:23" x14ac:dyDescent="0.25">
      <c r="B210" s="8" t="s">
        <v>24</v>
      </c>
      <c r="C210" s="8">
        <v>28</v>
      </c>
      <c r="D210" s="8">
        <v>36</v>
      </c>
      <c r="E210" s="8">
        <v>34</v>
      </c>
      <c r="F210" s="8">
        <v>13</v>
      </c>
      <c r="G210" s="8">
        <v>20.66</v>
      </c>
      <c r="H210" s="8">
        <v>22.9</v>
      </c>
      <c r="I210" s="8">
        <v>17.899999999999999</v>
      </c>
      <c r="J210" s="8">
        <v>21.5</v>
      </c>
      <c r="K210" s="8">
        <v>0.14000000000000001</v>
      </c>
      <c r="L210" s="8">
        <v>0.16</v>
      </c>
      <c r="M210" s="8">
        <v>0.21</v>
      </c>
      <c r="N210" s="8">
        <v>6.6E-3</v>
      </c>
      <c r="O210" s="8">
        <v>1.3733333333333334E-3</v>
      </c>
      <c r="P210" s="8">
        <v>1.0339999999999998E-2</v>
      </c>
      <c r="Q210" s="8">
        <v>8.1043556999999995E-3</v>
      </c>
      <c r="R210">
        <f t="shared" si="18"/>
        <v>5.901229878640776</v>
      </c>
      <c r="S210">
        <f t="shared" si="19"/>
        <v>0.13281753707285623</v>
      </c>
      <c r="T210">
        <f t="shared" si="20"/>
        <v>20.766666666666666</v>
      </c>
      <c r="U210">
        <f t="shared" si="21"/>
        <v>0.17</v>
      </c>
      <c r="V210">
        <f t="shared" si="22"/>
        <v>1.7019146969999999E-4</v>
      </c>
      <c r="W210">
        <f t="shared" si="23"/>
        <v>8.069342933309974</v>
      </c>
    </row>
    <row r="211" spans="1:23" x14ac:dyDescent="0.25">
      <c r="B211" s="3" t="s">
        <v>32</v>
      </c>
      <c r="C211" s="3">
        <v>12.5</v>
      </c>
      <c r="D211" s="3">
        <v>28</v>
      </c>
      <c r="E211" s="3">
        <v>22</v>
      </c>
      <c r="F211" s="3">
        <v>6</v>
      </c>
      <c r="G211" s="3">
        <v>5.01</v>
      </c>
      <c r="H211" s="3">
        <v>23</v>
      </c>
      <c r="I211" s="3">
        <v>14.2</v>
      </c>
      <c r="J211" s="3">
        <v>17.8</v>
      </c>
      <c r="K211" s="3">
        <v>0.32</v>
      </c>
      <c r="L211" s="3">
        <v>0.31</v>
      </c>
      <c r="M211" s="3">
        <v>0.57999999999999996</v>
      </c>
      <c r="N211" s="3">
        <v>8.699999999999999E-4</v>
      </c>
      <c r="O211" s="3">
        <v>6.7500000000000004E-4</v>
      </c>
      <c r="P211" s="3">
        <v>7.555000000000001E-3</v>
      </c>
      <c r="Q211" s="3">
        <v>0.78829825600000003</v>
      </c>
      <c r="R211">
        <f t="shared" si="18"/>
        <v>1167.8492681481482</v>
      </c>
      <c r="S211">
        <f t="shared" si="19"/>
        <v>8.9344804765056254E-2</v>
      </c>
      <c r="T211">
        <f t="shared" si="20"/>
        <v>18.333333333333332</v>
      </c>
      <c r="U211">
        <f t="shared" si="21"/>
        <v>0.40333333333333332</v>
      </c>
      <c r="V211">
        <f t="shared" si="22"/>
        <v>4.5721298847999997E-2</v>
      </c>
      <c r="W211">
        <f t="shared" si="23"/>
        <v>1.4763360118968423E-2</v>
      </c>
    </row>
    <row r="212" spans="1:23" x14ac:dyDescent="0.25">
      <c r="A212" s="2" t="s">
        <v>126</v>
      </c>
      <c r="B212" s="5" t="s">
        <v>23</v>
      </c>
      <c r="C212" s="5">
        <v>40</v>
      </c>
      <c r="D212" s="5">
        <v>43</v>
      </c>
      <c r="E212" s="5">
        <v>62</v>
      </c>
      <c r="F212" s="5">
        <v>7</v>
      </c>
      <c r="G212" s="5">
        <v>21.96</v>
      </c>
      <c r="H212" s="5">
        <v>45.5</v>
      </c>
      <c r="I212" s="5">
        <v>53.3</v>
      </c>
      <c r="J212" s="5">
        <v>62.3</v>
      </c>
      <c r="K212" s="5">
        <v>0.18</v>
      </c>
      <c r="L212" s="5">
        <v>10.23</v>
      </c>
      <c r="M212" s="5">
        <v>0.28000000000000003</v>
      </c>
      <c r="N212" s="5">
        <v>0.20539999999999997</v>
      </c>
      <c r="O212" s="5">
        <v>4.7699999999999999E-2</v>
      </c>
      <c r="P212" s="5">
        <v>0.33776</v>
      </c>
      <c r="Q212" s="5">
        <v>7.59</v>
      </c>
      <c r="R212">
        <f t="shared" si="18"/>
        <v>159.11949685534591</v>
      </c>
      <c r="S212">
        <f t="shared" si="19"/>
        <v>0.14122453813358599</v>
      </c>
      <c r="T212">
        <f t="shared" si="20"/>
        <v>53.699999999999996</v>
      </c>
      <c r="U212">
        <f t="shared" si="21"/>
        <v>3.563333333333333</v>
      </c>
      <c r="V212">
        <f t="shared" si="22"/>
        <v>0.21251999999999999</v>
      </c>
      <c r="W212">
        <f t="shared" si="23"/>
        <v>0.22444946357989837</v>
      </c>
    </row>
    <row r="213" spans="1:23" x14ac:dyDescent="0.25">
      <c r="B213" s="6" t="s">
        <v>35</v>
      </c>
      <c r="C213" s="6">
        <v>26</v>
      </c>
      <c r="D213" s="6">
        <v>18</v>
      </c>
      <c r="E213" s="6">
        <v>14</v>
      </c>
      <c r="F213" s="6">
        <v>3</v>
      </c>
      <c r="G213" s="6">
        <v>9.16</v>
      </c>
      <c r="H213" s="6">
        <v>58.3</v>
      </c>
      <c r="I213" s="6">
        <v>57.1</v>
      </c>
      <c r="J213" s="6">
        <v>47.7</v>
      </c>
      <c r="K213" s="6">
        <v>0.28000000000000003</v>
      </c>
      <c r="L213" s="6">
        <v>0.34</v>
      </c>
      <c r="M213" s="6">
        <v>0.26</v>
      </c>
      <c r="N213" s="6">
        <v>5.1849999999999993E-2</v>
      </c>
      <c r="O213" s="6">
        <v>4.7499999999999999E-3</v>
      </c>
      <c r="P213" s="6">
        <v>5.3879999999999997E-2</v>
      </c>
      <c r="Q213" s="6">
        <v>1.514</v>
      </c>
      <c r="R213">
        <f t="shared" si="18"/>
        <v>318.73684210526318</v>
      </c>
      <c r="S213">
        <f t="shared" si="19"/>
        <v>8.8158871566443947E-2</v>
      </c>
      <c r="T213">
        <f t="shared" si="20"/>
        <v>54.366666666666674</v>
      </c>
      <c r="U213">
        <f t="shared" si="21"/>
        <v>0.29333333333333339</v>
      </c>
      <c r="V213">
        <f t="shared" si="22"/>
        <v>3.9363999999999996E-2</v>
      </c>
      <c r="W213">
        <f t="shared" si="23"/>
        <v>0.12066863123666295</v>
      </c>
    </row>
    <row r="214" spans="1:23" x14ac:dyDescent="0.25">
      <c r="B214" s="7" t="s">
        <v>109</v>
      </c>
      <c r="C214" s="7">
        <v>22</v>
      </c>
      <c r="D214" s="7">
        <v>16</v>
      </c>
      <c r="E214" s="7">
        <v>30</v>
      </c>
      <c r="F214" s="7">
        <v>24</v>
      </c>
      <c r="G214" s="7"/>
      <c r="H214" s="7">
        <v>15.1</v>
      </c>
      <c r="I214" s="7">
        <v>18.899999999999999</v>
      </c>
      <c r="J214" s="7">
        <v>31.3</v>
      </c>
      <c r="K214" s="7">
        <v>7.0000000000000007E-2</v>
      </c>
      <c r="L214" s="7">
        <v>0.06</v>
      </c>
      <c r="M214" s="7">
        <v>0.14000000000000001</v>
      </c>
      <c r="N214" s="7">
        <v>4.4799999999999996E-3</v>
      </c>
      <c r="O214" s="7">
        <v>7.6499999999999995E-4</v>
      </c>
      <c r="P214" s="7">
        <v>4.8050000000000002E-3</v>
      </c>
      <c r="Q214" s="7">
        <v>1.65061636E-3</v>
      </c>
      <c r="R214">
        <f t="shared" si="18"/>
        <v>2.1576684444444445</v>
      </c>
      <c r="S214">
        <f t="shared" si="19"/>
        <v>0.15920915712799166</v>
      </c>
      <c r="T214">
        <f t="shared" si="20"/>
        <v>21.766666666666666</v>
      </c>
      <c r="U214">
        <f t="shared" si="21"/>
        <v>9.0000000000000011E-2</v>
      </c>
      <c r="V214">
        <f t="shared" si="22"/>
        <v>2.3108629040000003E-5</v>
      </c>
      <c r="W214">
        <f t="shared" si="23"/>
        <v>33.104516874446304</v>
      </c>
    </row>
    <row r="215" spans="1:23" x14ac:dyDescent="0.25">
      <c r="B215" s="8" t="s">
        <v>114</v>
      </c>
      <c r="C215" s="8">
        <v>29</v>
      </c>
      <c r="D215" s="8">
        <v>27</v>
      </c>
      <c r="E215" s="8">
        <v>26</v>
      </c>
      <c r="F215" s="8">
        <v>10</v>
      </c>
      <c r="G215" s="8">
        <v>30.46</v>
      </c>
      <c r="H215" s="8">
        <v>10.1</v>
      </c>
      <c r="I215" s="8">
        <v>23.7</v>
      </c>
      <c r="J215" s="8">
        <v>14.6</v>
      </c>
      <c r="K215" s="8">
        <v>0.12</v>
      </c>
      <c r="L215" s="8">
        <v>0.18</v>
      </c>
      <c r="M215" s="8">
        <v>0.15</v>
      </c>
      <c r="N215" s="8">
        <v>3.47E-3</v>
      </c>
      <c r="O215" s="8">
        <v>8.8999999999999995E-4</v>
      </c>
      <c r="P215" s="8">
        <v>6.4749999999999999E-3</v>
      </c>
      <c r="Q215" s="8">
        <v>5.3319712000000005E-3</v>
      </c>
      <c r="R215">
        <f t="shared" si="18"/>
        <v>5.9909788764044949</v>
      </c>
      <c r="S215">
        <f t="shared" si="19"/>
        <v>0.13745173745173744</v>
      </c>
      <c r="T215">
        <f t="shared" si="20"/>
        <v>16.133333333333333</v>
      </c>
      <c r="U215">
        <f t="shared" si="21"/>
        <v>0.15</v>
      </c>
      <c r="V215">
        <f t="shared" si="22"/>
        <v>7.9979568000000008E-5</v>
      </c>
      <c r="W215">
        <f t="shared" si="23"/>
        <v>11.127842050859789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E93CD-8B85-47E5-9721-16B0E530E045}">
  <dimension ref="A1:Q218"/>
  <sheetViews>
    <sheetView workbookViewId="0">
      <selection activeCell="E20" sqref="E20"/>
    </sheetView>
  </sheetViews>
  <sheetFormatPr defaultRowHeight="13.95" x14ac:dyDescent="0.25"/>
  <cols>
    <col min="3" max="3" width="17.44140625" style="24" bestFit="1" customWidth="1"/>
    <col min="4" max="4" width="19.6640625" style="24" bestFit="1" customWidth="1"/>
    <col min="5" max="5" width="13.33203125" style="24" bestFit="1" customWidth="1"/>
    <col min="6" max="6" width="8.88671875" style="24"/>
    <col min="7" max="7" width="13.109375" style="24" bestFit="1" customWidth="1"/>
    <col min="8" max="8" width="13.33203125" style="24" bestFit="1" customWidth="1"/>
    <col min="9" max="9" width="17.21875" style="24" bestFit="1" customWidth="1"/>
    <col min="10" max="10" width="15" style="24" bestFit="1" customWidth="1"/>
    <col min="11" max="11" width="19" style="24" bestFit="1" customWidth="1"/>
    <col min="12" max="12" width="19" style="24" customWidth="1"/>
    <col min="13" max="13" width="17.21875" style="24" bestFit="1" customWidth="1"/>
    <col min="14" max="14" width="15" style="24" bestFit="1" customWidth="1"/>
    <col min="15" max="15" width="19" style="24" bestFit="1" customWidth="1"/>
    <col min="16" max="16" width="13.109375" style="24" bestFit="1" customWidth="1"/>
    <col min="17" max="17" width="13.33203125" style="24" bestFit="1" customWidth="1"/>
  </cols>
  <sheetData>
    <row r="1" spans="1:15" x14ac:dyDescent="0.25">
      <c r="A1" t="s">
        <v>175</v>
      </c>
      <c r="B1" t="s">
        <v>42</v>
      </c>
      <c r="C1" s="24" t="s">
        <v>223</v>
      </c>
      <c r="D1" s="24" t="s">
        <v>224</v>
      </c>
      <c r="E1" s="24" t="s">
        <v>225</v>
      </c>
      <c r="F1" s="24" t="s">
        <v>226</v>
      </c>
      <c r="G1" s="24" t="s">
        <v>229</v>
      </c>
      <c r="H1" s="24" t="s">
        <v>231</v>
      </c>
      <c r="I1" s="24" t="s">
        <v>221</v>
      </c>
      <c r="J1" s="24" t="s">
        <v>222</v>
      </c>
      <c r="K1" s="24" t="s">
        <v>228</v>
      </c>
      <c r="M1" s="24" t="s">
        <v>219</v>
      </c>
      <c r="N1" s="24" t="s">
        <v>220</v>
      </c>
      <c r="O1" s="24" t="s">
        <v>227</v>
      </c>
    </row>
    <row r="2" spans="1:15" x14ac:dyDescent="0.25">
      <c r="A2" t="s">
        <v>132</v>
      </c>
      <c r="B2" t="s">
        <v>177</v>
      </c>
      <c r="C2" s="24">
        <v>344.4444444444444</v>
      </c>
      <c r="D2" s="24">
        <v>8.1366840330983764E-2</v>
      </c>
      <c r="E2" s="24">
        <v>36.133333333333333</v>
      </c>
      <c r="F2" s="24">
        <v>0.16333333333333333</v>
      </c>
      <c r="G2" s="24">
        <v>5.1212000000000001E-2</v>
      </c>
      <c r="H2" s="24">
        <v>0.20737327188940094</v>
      </c>
      <c r="I2" s="24">
        <v>318.15789473684208</v>
      </c>
      <c r="J2" s="24">
        <v>26.211015262110152</v>
      </c>
      <c r="K2" s="24">
        <v>4.2335766423357661</v>
      </c>
      <c r="M2" s="24">
        <v>340.63897763578279</v>
      </c>
      <c r="N2" s="24">
        <v>21.970705725699066</v>
      </c>
      <c r="O2" s="24">
        <v>4.6404793608521961</v>
      </c>
    </row>
    <row r="3" spans="1:15" x14ac:dyDescent="0.25">
      <c r="B3" t="s">
        <v>176</v>
      </c>
      <c r="C3" s="24">
        <v>0.21772640685820208</v>
      </c>
      <c r="D3" s="24">
        <v>0.27364950545270095</v>
      </c>
      <c r="E3" s="24">
        <v>38.466666666666661</v>
      </c>
      <c r="F3" s="24">
        <v>0.11666666666666668</v>
      </c>
      <c r="G3" s="24">
        <v>6.5779502040000008E-5</v>
      </c>
      <c r="H3" s="24">
        <v>328.06572459118598</v>
      </c>
      <c r="I3" s="24">
        <v>379.48051948051943</v>
      </c>
      <c r="J3" s="24">
        <v>22.218670076726337</v>
      </c>
      <c r="K3" s="24">
        <v>2.5895140664961636</v>
      </c>
      <c r="M3" s="24">
        <v>372.91390728476836</v>
      </c>
      <c r="N3" s="24">
        <v>19.409422694094228</v>
      </c>
      <c r="O3" s="24">
        <v>2.7140013271400134</v>
      </c>
    </row>
    <row r="4" spans="1:15" x14ac:dyDescent="0.25">
      <c r="B4" t="s">
        <v>46</v>
      </c>
      <c r="C4" s="24">
        <v>203.02702702702706</v>
      </c>
      <c r="D4" s="24">
        <v>0.34866189219751226</v>
      </c>
      <c r="E4" s="24">
        <v>29.733333333333331</v>
      </c>
      <c r="F4" s="24">
        <v>3.0000000000000002E-2</v>
      </c>
      <c r="G4" s="24">
        <v>3.7560000000000002E-3</v>
      </c>
      <c r="H4" s="24">
        <v>2.4627263045793395</v>
      </c>
      <c r="I4" s="24">
        <v>351.94520547945206</v>
      </c>
      <c r="J4" s="24">
        <v>23.105053191489354</v>
      </c>
      <c r="K4" s="24">
        <v>2.3005319148936163</v>
      </c>
      <c r="M4" s="24">
        <v>372.81733746130044</v>
      </c>
      <c r="N4" s="24">
        <v>12.062128222075348</v>
      </c>
      <c r="O4" s="24">
        <v>1.6259087904824854</v>
      </c>
    </row>
    <row r="5" spans="1:15" x14ac:dyDescent="0.25">
      <c r="B5" t="s">
        <v>44</v>
      </c>
      <c r="C5" s="24">
        <v>10.137723875862068</v>
      </c>
      <c r="D5" s="24">
        <v>6.9913211186113794E-2</v>
      </c>
      <c r="E5" s="24">
        <v>10.333333333333334</v>
      </c>
      <c r="F5" s="24">
        <v>0.81333333333333335</v>
      </c>
      <c r="G5" s="24">
        <v>9.8487987454000002E-4</v>
      </c>
      <c r="H5" s="24">
        <v>1.4722607675146575</v>
      </c>
      <c r="I5" s="24">
        <v>279.8910081743868</v>
      </c>
      <c r="J5" s="24">
        <v>18.944300518134714</v>
      </c>
      <c r="K5" s="24">
        <v>3.2383419689119171</v>
      </c>
      <c r="M5" s="24">
        <v>312.27722772277241</v>
      </c>
      <c r="N5" s="24">
        <v>13.87054161162483</v>
      </c>
      <c r="O5" s="24">
        <v>2.9260237780713338</v>
      </c>
    </row>
    <row r="6" spans="1:15" x14ac:dyDescent="0.25">
      <c r="A6" t="s">
        <v>133</v>
      </c>
      <c r="B6" t="s">
        <v>51</v>
      </c>
      <c r="C6" s="24">
        <v>455.33980582524265</v>
      </c>
      <c r="D6" s="24">
        <v>7.9414032382420979E-2</v>
      </c>
      <c r="E6" s="24">
        <v>30.733333333333334</v>
      </c>
      <c r="F6" s="24">
        <v>0.17333333333333334</v>
      </c>
      <c r="G6" s="24">
        <v>1.5945999999999998E-2</v>
      </c>
      <c r="H6" s="24">
        <v>0.12918600275931272</v>
      </c>
      <c r="I6" s="25">
        <f>AVERAGEA(I43,I58,I67)</f>
        <v>337.89081915682573</v>
      </c>
      <c r="J6" s="25">
        <f t="shared" ref="J6:K6" si="0">AVERAGEA(J43,J58,J67)</f>
        <v>21.692181916058733</v>
      </c>
      <c r="K6" s="25">
        <f t="shared" si="0"/>
        <v>3.7736197517770198</v>
      </c>
      <c r="L6" s="25"/>
      <c r="M6" s="25">
        <v>0</v>
      </c>
      <c r="N6" s="24">
        <v>13.019116677653262</v>
      </c>
      <c r="O6" s="24">
        <v>2.6170072511535918</v>
      </c>
    </row>
    <row r="7" spans="1:15" x14ac:dyDescent="0.25">
      <c r="B7" t="s">
        <v>181</v>
      </c>
      <c r="C7" s="24">
        <v>389.55431754874644</v>
      </c>
      <c r="D7" s="24">
        <v>0.1007719298245614</v>
      </c>
      <c r="E7" s="24">
        <v>49.300000000000004</v>
      </c>
      <c r="F7" s="24">
        <v>0.27666666666666667</v>
      </c>
      <c r="G7" s="24">
        <v>0.13984999999999997</v>
      </c>
      <c r="H7" s="24">
        <v>0.10268144440471937</v>
      </c>
      <c r="I7" s="24">
        <v>343.06306306306294</v>
      </c>
      <c r="J7" s="24">
        <v>28.877352368591826</v>
      </c>
      <c r="K7" s="24">
        <v>5.290071382219339</v>
      </c>
      <c r="M7" s="24">
        <v>351.42857142857156</v>
      </c>
      <c r="N7" s="24">
        <v>29.5</v>
      </c>
      <c r="O7" s="24">
        <v>5.5733333333333333</v>
      </c>
    </row>
    <row r="8" spans="1:15" x14ac:dyDescent="0.25">
      <c r="B8" t="s">
        <v>179</v>
      </c>
      <c r="C8" s="24">
        <v>217.08796764408493</v>
      </c>
      <c r="D8" s="24">
        <v>0.11041643407390865</v>
      </c>
      <c r="E8" s="24">
        <v>47.433333333333337</v>
      </c>
      <c r="F8" s="24">
        <v>0.26</v>
      </c>
      <c r="G8" s="24">
        <v>9.017399999999999E-2</v>
      </c>
      <c r="H8" s="24">
        <v>0.21935369396943688</v>
      </c>
      <c r="I8" s="25">
        <v>317.63578274760391</v>
      </c>
      <c r="J8" s="25">
        <v>19.754316069057097</v>
      </c>
      <c r="K8" s="25">
        <v>3.7383798140770255</v>
      </c>
      <c r="L8" s="25"/>
      <c r="M8" s="24">
        <v>317.63578274760391</v>
      </c>
      <c r="N8" s="24">
        <v>19.754316069057097</v>
      </c>
      <c r="O8" s="24">
        <v>3.7383798140770255</v>
      </c>
    </row>
    <row r="9" spans="1:15" x14ac:dyDescent="0.25">
      <c r="B9" t="s">
        <v>177</v>
      </c>
      <c r="C9" s="24">
        <v>391.78743961352654</v>
      </c>
      <c r="D9" s="24">
        <v>8.891752577319588E-2</v>
      </c>
      <c r="E9" s="24">
        <v>49.466666666666669</v>
      </c>
      <c r="F9" s="24">
        <v>0.38000000000000006</v>
      </c>
      <c r="G9" s="24">
        <v>0.32439999999999997</v>
      </c>
      <c r="H9" s="24">
        <v>6.3810110974106049E-2</v>
      </c>
      <c r="I9" s="24">
        <v>321.57099697885201</v>
      </c>
      <c r="J9" s="24">
        <v>26.472534745201852</v>
      </c>
      <c r="K9" s="24">
        <v>4.3560555923229654</v>
      </c>
      <c r="M9" s="24">
        <v>353.40000000000009</v>
      </c>
      <c r="N9" s="24">
        <v>26.280771789753828</v>
      </c>
      <c r="O9" s="24">
        <v>6.0545575515635397</v>
      </c>
    </row>
    <row r="10" spans="1:15" x14ac:dyDescent="0.25">
      <c r="B10" t="s">
        <v>44</v>
      </c>
      <c r="C10" s="24">
        <v>5.2859580068728524</v>
      </c>
      <c r="D10" s="24">
        <v>7.6337880377754463E-2</v>
      </c>
      <c r="E10" s="24">
        <v>7.6000000000000005</v>
      </c>
      <c r="F10" s="24">
        <v>0.49</v>
      </c>
      <c r="G10" s="24">
        <v>3.8455344500000005E-4</v>
      </c>
      <c r="H10" s="24">
        <v>3.7836093237963317</v>
      </c>
      <c r="I10" s="24">
        <v>296.11764705882354</v>
      </c>
      <c r="J10" s="24">
        <v>19.503546099290784</v>
      </c>
      <c r="K10" s="24">
        <v>3.1528046421663447</v>
      </c>
      <c r="M10" s="24">
        <v>337.64331210191085</v>
      </c>
      <c r="N10" s="24">
        <v>12.706270627062706</v>
      </c>
      <c r="O10" s="24">
        <v>2.778877887788779</v>
      </c>
    </row>
    <row r="11" spans="1:15" x14ac:dyDescent="0.25">
      <c r="B11" t="s">
        <v>178</v>
      </c>
      <c r="C11" s="24">
        <v>420.93023255813961</v>
      </c>
      <c r="D11" s="24">
        <v>0.17595907928388746</v>
      </c>
      <c r="E11" s="24">
        <v>36.233333333333341</v>
      </c>
      <c r="F11" s="24">
        <v>0.08</v>
      </c>
      <c r="G11" s="24">
        <v>1.7376000000000003E-2</v>
      </c>
      <c r="H11" s="24">
        <v>0.3959484346224677</v>
      </c>
      <c r="I11" s="24">
        <v>352.03883495145624</v>
      </c>
      <c r="J11" s="24">
        <v>22.697368421052634</v>
      </c>
      <c r="K11" s="24">
        <v>5.2236842105263159</v>
      </c>
      <c r="M11" s="24">
        <v>368.79478827361567</v>
      </c>
      <c r="N11" s="24">
        <v>19.370860927152322</v>
      </c>
      <c r="O11" s="24">
        <v>6.7284768211920536</v>
      </c>
    </row>
    <row r="12" spans="1:15" x14ac:dyDescent="0.25">
      <c r="B12" t="s">
        <v>213</v>
      </c>
      <c r="C12" s="24">
        <v>308.55263157894734</v>
      </c>
      <c r="D12" s="24">
        <v>0.19895287958115188</v>
      </c>
      <c r="E12" s="24">
        <v>6.2333333333333334</v>
      </c>
      <c r="F12" s="24">
        <v>0.17666666666666667</v>
      </c>
      <c r="G12" s="24">
        <v>3.7519999999999997E-3</v>
      </c>
      <c r="H12" s="24">
        <v>0.20255863539445632</v>
      </c>
      <c r="I12" s="24">
        <v>369.34426229508188</v>
      </c>
      <c r="J12" s="24">
        <v>14.191419141914192</v>
      </c>
      <c r="K12" s="24">
        <v>3.2290429042904285</v>
      </c>
      <c r="M12" s="24">
        <v>37.867924528301899</v>
      </c>
      <c r="N12" s="24">
        <v>7.6361221779548449</v>
      </c>
      <c r="O12" s="24">
        <v>1.5139442231075695</v>
      </c>
    </row>
    <row r="13" spans="1:15" x14ac:dyDescent="0.25">
      <c r="B13" t="s">
        <v>45</v>
      </c>
      <c r="C13" s="24">
        <v>4.2911546341463422E-2</v>
      </c>
      <c r="D13" s="24">
        <v>0.25689223057644112</v>
      </c>
      <c r="E13" s="24">
        <v>11.766666666666666</v>
      </c>
      <c r="F13" s="24">
        <v>0.10999999999999999</v>
      </c>
      <c r="G13" s="24">
        <v>1.7593734000000001E-7</v>
      </c>
      <c r="H13" s="24">
        <v>7767.9170701720659</v>
      </c>
      <c r="I13" s="25">
        <f>AVERAGEA(I54,I73,I78)</f>
        <v>320.76890278437742</v>
      </c>
      <c r="J13" s="25">
        <f t="shared" ref="J13:K13" si="1">AVERAGEA(J54,J73,J78)</f>
        <v>16.060178913896838</v>
      </c>
      <c r="K13" s="25">
        <f t="shared" si="1"/>
        <v>2.0580952724113852</v>
      </c>
      <c r="L13" s="25"/>
      <c r="M13" s="24">
        <v>395.66037735849068</v>
      </c>
      <c r="N13" s="24">
        <v>14.754641909814325</v>
      </c>
      <c r="O13" s="24">
        <v>2.3474801061007962</v>
      </c>
    </row>
    <row r="14" spans="1:15" x14ac:dyDescent="0.25">
      <c r="B14" t="s">
        <v>182</v>
      </c>
      <c r="C14" s="24">
        <v>206.9327731092437</v>
      </c>
      <c r="D14" s="24">
        <v>0.10071942446043165</v>
      </c>
      <c r="E14" s="24">
        <v>22.8</v>
      </c>
      <c r="F14" s="24">
        <v>0.56666666666666676</v>
      </c>
      <c r="G14" s="24">
        <v>4.0713333333333337E-2</v>
      </c>
      <c r="H14" s="24">
        <v>7.7943343703946288E-2</v>
      </c>
      <c r="I14" s="24">
        <v>324.95412844036701</v>
      </c>
      <c r="J14" s="24">
        <v>17.479153303399613</v>
      </c>
      <c r="K14" s="24">
        <v>2.9198203976908275</v>
      </c>
      <c r="M14" s="24">
        <v>353.96103896103904</v>
      </c>
      <c r="N14" s="25">
        <v>0</v>
      </c>
      <c r="O14" s="25">
        <v>0</v>
      </c>
    </row>
    <row r="15" spans="1:15" x14ac:dyDescent="0.25">
      <c r="B15" t="s">
        <v>46</v>
      </c>
      <c r="C15" s="24">
        <v>199.3431855500821</v>
      </c>
      <c r="D15" s="24">
        <v>0.36035502958579879</v>
      </c>
      <c r="E15" s="24">
        <v>57.300000000000004</v>
      </c>
      <c r="F15" s="24">
        <v>7.6666666666666661E-2</v>
      </c>
      <c r="G15" s="24">
        <v>6.0700000000000007E-3</v>
      </c>
      <c r="H15" s="24">
        <v>1.0032948929159802</v>
      </c>
      <c r="I15" s="24">
        <v>377.58957654723122</v>
      </c>
      <c r="J15" s="24">
        <v>26.756401838476695</v>
      </c>
      <c r="K15" s="24">
        <v>2.3322390019697967</v>
      </c>
      <c r="M15" s="24">
        <v>395.49019607843144</v>
      </c>
      <c r="N15" s="24">
        <v>17.019167217448778</v>
      </c>
      <c r="O15" s="24">
        <v>1.9167217448777261</v>
      </c>
    </row>
    <row r="16" spans="1:15" x14ac:dyDescent="0.25">
      <c r="B16" t="s">
        <v>176</v>
      </c>
      <c r="C16" s="24">
        <v>1.9536164309031559E-2</v>
      </c>
      <c r="D16" s="24">
        <v>0.26159977227440934</v>
      </c>
      <c r="E16" s="24">
        <v>49.5</v>
      </c>
      <c r="F16" s="24">
        <v>7.0000000000000007E-2</v>
      </c>
      <c r="G16" s="24">
        <v>3.9498217000000011E-6</v>
      </c>
      <c r="H16" s="24">
        <v>4653.3746067575648</v>
      </c>
      <c r="I16" s="25">
        <f>AVERAGEA(I17,I3,I27,I33)</f>
        <v>368.53986498209969</v>
      </c>
      <c r="J16" s="25">
        <f t="shared" ref="J16:K16" si="2">AVERAGEA(J17,J3,J27,J33)</f>
        <v>21.677306095884283</v>
      </c>
      <c r="K16" s="25">
        <f t="shared" si="2"/>
        <v>3.0117390224607687</v>
      </c>
      <c r="L16" s="25"/>
      <c r="M16" s="24">
        <v>377.98107255520512</v>
      </c>
      <c r="N16" s="24">
        <v>22.622192866578594</v>
      </c>
      <c r="O16" s="24">
        <v>4.2272126816380453</v>
      </c>
    </row>
    <row r="17" spans="1:17" x14ac:dyDescent="0.25">
      <c r="A17" t="s">
        <v>134</v>
      </c>
      <c r="B17" t="s">
        <v>176</v>
      </c>
      <c r="C17" s="24">
        <v>2.8633885628742518E-2</v>
      </c>
      <c r="D17" s="24">
        <v>0.27603305785123966</v>
      </c>
      <c r="E17" s="24">
        <v>47</v>
      </c>
      <c r="F17" s="24">
        <v>0.27333333333333337</v>
      </c>
      <c r="G17" s="24">
        <v>2.0083807379999998E-5</v>
      </c>
      <c r="H17" s="24">
        <v>1663.0312852562322</v>
      </c>
      <c r="I17" s="24">
        <v>389.14826498422707</v>
      </c>
      <c r="J17" s="24">
        <v>25.063856960408689</v>
      </c>
      <c r="K17" s="24">
        <v>3.1111111111111112</v>
      </c>
      <c r="M17" s="24">
        <v>378.97763578274771</v>
      </c>
      <c r="N17" s="24">
        <v>23.105053191489354</v>
      </c>
      <c r="O17" s="24">
        <v>2.9055851063829792</v>
      </c>
    </row>
    <row r="18" spans="1:17" x14ac:dyDescent="0.25">
      <c r="B18" t="s">
        <v>181</v>
      </c>
      <c r="C18" s="24">
        <v>342.339373970346</v>
      </c>
      <c r="D18" s="24">
        <v>0.10870343839541546</v>
      </c>
      <c r="E18" s="24">
        <v>54.466666666666661</v>
      </c>
      <c r="F18" s="24">
        <v>0.11666666666666665</v>
      </c>
      <c r="G18" s="24">
        <v>3.7404000000000007E-2</v>
      </c>
      <c r="H18" s="24">
        <v>0.32456421773072391</v>
      </c>
      <c r="I18" s="24">
        <v>343.40425531914889</v>
      </c>
      <c r="J18" s="24">
        <v>24.426229508196716</v>
      </c>
      <c r="K18" s="24">
        <v>3.5554098360655741</v>
      </c>
      <c r="M18" s="25">
        <v>0</v>
      </c>
      <c r="N18" s="25">
        <v>0</v>
      </c>
      <c r="O18" s="25">
        <v>0</v>
      </c>
    </row>
    <row r="19" spans="1:17" x14ac:dyDescent="0.25">
      <c r="B19" t="s">
        <v>45</v>
      </c>
      <c r="C19" s="24">
        <v>0.24198555670103095</v>
      </c>
      <c r="D19" s="24">
        <v>0.2704460966542751</v>
      </c>
      <c r="E19" s="24">
        <v>36.9</v>
      </c>
      <c r="F19" s="24">
        <v>0.40666666666666668</v>
      </c>
      <c r="G19" s="24">
        <v>1.3144655440000002E-5</v>
      </c>
      <c r="H19" s="24">
        <v>147.58850156668692</v>
      </c>
      <c r="I19" s="25">
        <v>403.82445141065836</v>
      </c>
      <c r="J19" s="25">
        <v>11.9205298013245</v>
      </c>
      <c r="K19" s="25">
        <v>2.0132450331125828</v>
      </c>
      <c r="L19" s="25"/>
      <c r="M19" s="24">
        <v>403.82445141065836</v>
      </c>
      <c r="N19" s="24">
        <v>11.9205298013245</v>
      </c>
      <c r="O19" s="24">
        <v>2.0132450331125828</v>
      </c>
    </row>
    <row r="20" spans="1:17" x14ac:dyDescent="0.25">
      <c r="B20" t="s">
        <v>177</v>
      </c>
      <c r="C20" s="24">
        <v>371.95767195767195</v>
      </c>
      <c r="D20" s="24">
        <v>0.16622691292875991</v>
      </c>
      <c r="E20" s="24">
        <v>25.166666666666668</v>
      </c>
      <c r="F20" s="24">
        <v>0.28333333333333338</v>
      </c>
      <c r="G20" s="24">
        <v>5.9755000000000003E-2</v>
      </c>
      <c r="H20" s="24">
        <v>0.15814576186093213</v>
      </c>
      <c r="I20" s="25">
        <v>355.90909090909099</v>
      </c>
      <c r="J20" s="25">
        <f>AVERAGEA(J9,J2,J34)</f>
        <v>23.650715922999108</v>
      </c>
      <c r="K20" s="25">
        <f>AVERAGEA(K9,K2,K34)</f>
        <v>4.0679507053865729</v>
      </c>
      <c r="L20" s="25"/>
      <c r="M20" s="24">
        <v>355.90909090909099</v>
      </c>
      <c r="N20" s="25">
        <v>0</v>
      </c>
      <c r="O20" s="25">
        <v>0</v>
      </c>
    </row>
    <row r="21" spans="1:17" x14ac:dyDescent="0.25">
      <c r="B21" t="s">
        <v>214</v>
      </c>
      <c r="C21" s="24">
        <v>182.41206030150752</v>
      </c>
      <c r="D21" s="24">
        <v>0.11061700944969428</v>
      </c>
      <c r="E21" s="25">
        <f>AVERAGEA(E183,E14)</f>
        <v>20.183333333333334</v>
      </c>
      <c r="F21" s="25">
        <f t="shared" ref="F21:K21" si="3">AVERAGEA(F183,F14)</f>
        <v>0.35333333333333339</v>
      </c>
      <c r="G21" s="25">
        <f t="shared" si="3"/>
        <v>2.0367825457366668E-2</v>
      </c>
      <c r="H21" s="25">
        <f t="shared" si="3"/>
        <v>30.060145919703032</v>
      </c>
      <c r="I21" s="25">
        <f t="shared" si="3"/>
        <v>343.84803196211902</v>
      </c>
      <c r="J21" s="25">
        <f t="shared" si="3"/>
        <v>22.591600540220043</v>
      </c>
      <c r="K21" s="25">
        <f t="shared" si="3"/>
        <v>2.5780256600265683</v>
      </c>
      <c r="L21" s="25"/>
      <c r="M21" s="25">
        <v>0</v>
      </c>
      <c r="N21" s="25">
        <v>0</v>
      </c>
      <c r="O21" s="25">
        <v>0</v>
      </c>
      <c r="P21" s="25"/>
      <c r="Q21" s="25"/>
    </row>
    <row r="22" spans="1:17" x14ac:dyDescent="0.25">
      <c r="B22" t="s">
        <v>46</v>
      </c>
      <c r="C22" s="24">
        <v>182.94392523364485</v>
      </c>
      <c r="D22" s="24">
        <v>0.39592969472710454</v>
      </c>
      <c r="E22" s="25">
        <f>AVERAGEA(E15,E24,E4,E26)</f>
        <v>45.033333333333331</v>
      </c>
      <c r="F22" s="25">
        <f>AVERAGEA(F15,F24,F4,F26)</f>
        <v>8.3333333333333329E-2</v>
      </c>
      <c r="G22" s="25">
        <f>AVERAGEA(G4,G15,G26,G24)</f>
        <v>1.3693749999999999E-2</v>
      </c>
      <c r="H22" s="25">
        <f>AVERAGEA(H4,H15,H26,H24)</f>
        <v>1.1409412154976046</v>
      </c>
      <c r="I22" s="24">
        <v>355.8217270194985</v>
      </c>
      <c r="J22" s="24">
        <v>24.806701030927833</v>
      </c>
      <c r="K22" s="24">
        <v>2.5206185567010309</v>
      </c>
      <c r="M22" s="24">
        <v>393.46534653465363</v>
      </c>
      <c r="N22" s="24">
        <v>16.257465162574647</v>
      </c>
      <c r="O22" s="24">
        <v>1.9110816191108162</v>
      </c>
      <c r="P22" s="25"/>
      <c r="Q22" s="25"/>
    </row>
    <row r="23" spans="1:17" x14ac:dyDescent="0.25">
      <c r="B23" t="s">
        <v>44</v>
      </c>
      <c r="C23" s="24">
        <v>8.2451089260450168</v>
      </c>
      <c r="D23" s="24">
        <v>6.9966254218222709E-2</v>
      </c>
      <c r="E23" s="25">
        <f>AVERAGEA(E5,E10,E25,E28)</f>
        <v>15.55</v>
      </c>
      <c r="F23" s="25">
        <f>AVERAGEA(F5,F10,F25,F28)</f>
        <v>0.46749999999999997</v>
      </c>
      <c r="G23" s="25">
        <f>AVERAGEA(G5,G28,G38,)</f>
        <v>4.9102971852500016E-4</v>
      </c>
      <c r="H23" s="25">
        <f>AVERAGEA(H5,H28,H38,)</f>
        <v>3.7375070944090449</v>
      </c>
      <c r="I23" s="24">
        <v>243.68983957219245</v>
      </c>
      <c r="J23" s="24">
        <v>18.009168303863785</v>
      </c>
      <c r="K23" s="24">
        <v>2.5815324165029474</v>
      </c>
      <c r="M23" s="24">
        <v>303.35526315789491</v>
      </c>
      <c r="N23" s="24">
        <v>14.423076923076922</v>
      </c>
      <c r="O23" s="24">
        <v>2.1717506631299739</v>
      </c>
      <c r="P23" s="25"/>
      <c r="Q23" s="25"/>
    </row>
    <row r="24" spans="1:17" x14ac:dyDescent="0.25">
      <c r="A24" t="s">
        <v>135</v>
      </c>
      <c r="B24" t="s">
        <v>46</v>
      </c>
      <c r="C24" s="24">
        <v>169.54492415402569</v>
      </c>
      <c r="D24" s="24">
        <v>0.32449829609996211</v>
      </c>
      <c r="E24" s="24">
        <v>46.166666666666664</v>
      </c>
      <c r="F24" s="24">
        <v>0.11333333333333333</v>
      </c>
      <c r="G24" s="24">
        <v>1.3077E-2</v>
      </c>
      <c r="H24" s="24">
        <v>0.65534908618184595</v>
      </c>
      <c r="I24" s="24">
        <v>401.45161290322585</v>
      </c>
      <c r="J24" s="24">
        <v>25.343361674296926</v>
      </c>
      <c r="K24" s="24">
        <v>2.5258338783518641</v>
      </c>
      <c r="M24" s="24">
        <v>390</v>
      </c>
      <c r="N24" s="24">
        <v>18.284574468085104</v>
      </c>
      <c r="O24" s="24">
        <v>2.3703457446808516</v>
      </c>
    </row>
    <row r="25" spans="1:17" x14ac:dyDescent="0.25">
      <c r="B25" t="s">
        <v>44</v>
      </c>
      <c r="C25" s="24">
        <v>7.3060704415584423</v>
      </c>
      <c r="D25" s="24">
        <v>6.889352818371608E-2</v>
      </c>
      <c r="E25" s="24">
        <v>24.333333333333332</v>
      </c>
      <c r="F25" s="24">
        <v>0.29666666666666669</v>
      </c>
      <c r="G25" s="24">
        <v>9.2823624960000013E-5</v>
      </c>
      <c r="H25" s="24">
        <v>12.442952971269092</v>
      </c>
      <c r="I25" s="24">
        <v>337.29729729729729</v>
      </c>
      <c r="J25" s="24">
        <v>19.851517107811492</v>
      </c>
      <c r="K25" s="24">
        <v>3.6358941252420918</v>
      </c>
      <c r="M25" s="24">
        <v>331.05431309904156</v>
      </c>
      <c r="N25" s="24">
        <v>14.442231075697208</v>
      </c>
      <c r="O25" s="24">
        <v>2.2543160690571047</v>
      </c>
    </row>
    <row r="26" spans="1:17" x14ac:dyDescent="0.25">
      <c r="A26" t="s">
        <v>136</v>
      </c>
      <c r="B26" t="s">
        <v>46</v>
      </c>
      <c r="C26" s="24">
        <v>188.36879432624116</v>
      </c>
      <c r="D26" s="24">
        <v>0.38566739606126915</v>
      </c>
      <c r="E26" s="24">
        <v>46.933333333333337</v>
      </c>
      <c r="F26" s="24">
        <v>0.11333333333333333</v>
      </c>
      <c r="G26" s="24">
        <v>3.1871999999999998E-2</v>
      </c>
      <c r="H26" s="24">
        <v>0.44239457831325296</v>
      </c>
      <c r="I26" s="24">
        <v>357.39938080495358</v>
      </c>
      <c r="J26" s="24">
        <v>24.016763378465502</v>
      </c>
      <c r="K26" s="24">
        <v>2.4061895551257253</v>
      </c>
      <c r="M26" s="24">
        <v>401.37254901960785</v>
      </c>
      <c r="N26" s="24">
        <v>14.627659574468082</v>
      </c>
      <c r="O26" s="24">
        <v>2.4301861702127665</v>
      </c>
    </row>
    <row r="27" spans="1:17" x14ac:dyDescent="0.25">
      <c r="B27" t="s">
        <v>176</v>
      </c>
      <c r="C27" s="24">
        <v>7.1364438202247193E-2</v>
      </c>
      <c r="D27" s="24">
        <v>0.3002579876959714</v>
      </c>
      <c r="E27" s="24">
        <v>59.333333333333336</v>
      </c>
      <c r="F27" s="24">
        <v>0.15666666666666665</v>
      </c>
      <c r="G27" s="24">
        <v>1.9435391100000001E-5</v>
      </c>
      <c r="H27" s="24">
        <v>1556.9534898631393</v>
      </c>
      <c r="I27" s="24">
        <v>387.97843665768198</v>
      </c>
      <c r="J27" s="24">
        <v>16.954787234042549</v>
      </c>
      <c r="K27" s="24">
        <v>2.2220744680851068</v>
      </c>
      <c r="M27" s="24">
        <v>387.5625</v>
      </c>
      <c r="N27" s="24">
        <v>14.960106382978724</v>
      </c>
      <c r="O27" s="24">
        <v>2.1974734042553195</v>
      </c>
    </row>
    <row r="28" spans="1:17" x14ac:dyDescent="0.25">
      <c r="B28" t="s">
        <v>44</v>
      </c>
      <c r="C28" s="24">
        <v>5.091449615384616</v>
      </c>
      <c r="D28" s="24">
        <v>7.8007800780078004E-2</v>
      </c>
      <c r="E28" s="24">
        <v>19.933333333333334</v>
      </c>
      <c r="F28" s="24">
        <v>0.26999999999999996</v>
      </c>
      <c r="G28" s="24">
        <v>1.0590215200000002E-4</v>
      </c>
      <c r="H28" s="24">
        <v>12.275482371689668</v>
      </c>
      <c r="I28" s="24">
        <v>303.49514563106794</v>
      </c>
      <c r="J28" s="24">
        <v>18.398967075532592</v>
      </c>
      <c r="K28" s="24">
        <v>2.9580374435119432</v>
      </c>
      <c r="M28" s="24">
        <v>339.87460815047029</v>
      </c>
      <c r="N28" s="24">
        <v>12.76525198938992</v>
      </c>
      <c r="O28" s="24">
        <v>2.4436339522546429</v>
      </c>
    </row>
    <row r="29" spans="1:17" x14ac:dyDescent="0.25">
      <c r="A29" t="s">
        <v>137</v>
      </c>
      <c r="B29" t="s">
        <v>46</v>
      </c>
      <c r="C29" s="24">
        <v>209.18253079507278</v>
      </c>
      <c r="D29" s="24">
        <v>0.32355072463768114</v>
      </c>
      <c r="E29" s="25">
        <f>AVERAGEA(E26,E24,E35,E39,E46,E4,E15)</f>
        <v>43.914285714285711</v>
      </c>
      <c r="F29" s="25">
        <f>AVERAGEA(F26,F24,F35,F39,F46,F4,F15)</f>
        <v>9.6190476190476187E-2</v>
      </c>
      <c r="G29" s="25">
        <f>AVERAGEA(G24,G26,G15,G4)</f>
        <v>1.3693749999999999E-2</v>
      </c>
      <c r="H29" s="25">
        <f>AVERAGEA(H24,H26,H15,H4)</f>
        <v>1.1409412154976046</v>
      </c>
      <c r="I29" s="24">
        <v>358.21192052980132</v>
      </c>
      <c r="J29" s="24">
        <v>30.900723208415513</v>
      </c>
      <c r="K29" s="24">
        <v>3.2084155161078236</v>
      </c>
      <c r="M29" s="24">
        <v>402.03947368421063</v>
      </c>
      <c r="N29" s="24">
        <v>15.458776595744681</v>
      </c>
      <c r="O29" s="24">
        <v>2.6030585106382977</v>
      </c>
      <c r="P29" s="25"/>
      <c r="Q29" s="25"/>
    </row>
    <row r="30" spans="1:17" x14ac:dyDescent="0.25">
      <c r="B30" t="s">
        <v>213</v>
      </c>
      <c r="C30" s="24">
        <v>357.55813953488371</v>
      </c>
      <c r="D30" s="24">
        <v>0.11227154046997388</v>
      </c>
      <c r="E30" s="24">
        <v>42.699999999999996</v>
      </c>
      <c r="F30" s="24">
        <v>0.15666666666666668</v>
      </c>
      <c r="G30" s="24">
        <v>3.9975000000000002E-3</v>
      </c>
      <c r="H30" s="24">
        <v>0.21513445903689804</v>
      </c>
      <c r="I30" s="24">
        <v>372.7899686520376</v>
      </c>
      <c r="J30" s="24">
        <v>19.329896907216494</v>
      </c>
      <c r="K30" s="24">
        <v>3.4162371134020617</v>
      </c>
      <c r="M30" s="24">
        <v>352.81553398058259</v>
      </c>
      <c r="N30" s="24">
        <v>9.0699208443271733</v>
      </c>
      <c r="O30" s="24">
        <v>2.0085751978891819</v>
      </c>
    </row>
    <row r="31" spans="1:17" x14ac:dyDescent="0.25">
      <c r="B31" t="s">
        <v>183</v>
      </c>
      <c r="C31" s="24">
        <v>305.95446584938702</v>
      </c>
      <c r="D31" s="24">
        <v>0.13676646706586829</v>
      </c>
      <c r="E31" s="24">
        <v>25.033333333333331</v>
      </c>
      <c r="F31" s="24">
        <v>0.16666666666666666</v>
      </c>
      <c r="G31" s="24">
        <v>8.7349999999999997E-2</v>
      </c>
      <c r="H31" s="24">
        <v>0.13073840870062964</v>
      </c>
      <c r="I31" s="24">
        <v>383.45276872964172</v>
      </c>
      <c r="J31" s="24">
        <v>24.785194976867153</v>
      </c>
      <c r="K31" s="24">
        <v>4.5869134170522132</v>
      </c>
      <c r="M31" s="24">
        <v>361.72523961661346</v>
      </c>
      <c r="N31" s="24">
        <v>16.545334215751158</v>
      </c>
      <c r="O31" s="24">
        <v>3.9146260754467228</v>
      </c>
    </row>
    <row r="32" spans="1:17" x14ac:dyDescent="0.25">
      <c r="B32" t="s">
        <v>178</v>
      </c>
      <c r="C32" s="24">
        <v>348.26789838337186</v>
      </c>
      <c r="D32" s="24">
        <v>0.18370810352142553</v>
      </c>
      <c r="E32" s="24">
        <v>36.4</v>
      </c>
      <c r="F32" s="24">
        <v>0.11333333333333333</v>
      </c>
      <c r="G32" s="24">
        <v>3.3175999999999997E-2</v>
      </c>
      <c r="H32" s="24">
        <v>0.26103207137689899</v>
      </c>
      <c r="I32" s="24">
        <v>351.06017191977071</v>
      </c>
      <c r="J32" s="24">
        <v>16.963109354413703</v>
      </c>
      <c r="K32" s="24">
        <v>3.6561264822134381</v>
      </c>
      <c r="M32" s="24">
        <v>373.27102803738336</v>
      </c>
      <c r="N32" s="24">
        <v>13.315579227696404</v>
      </c>
      <c r="O32" s="24">
        <v>3.2456724367509979</v>
      </c>
    </row>
    <row r="33" spans="1:15" x14ac:dyDescent="0.25">
      <c r="A33" t="s">
        <v>138</v>
      </c>
      <c r="B33" t="s">
        <v>176</v>
      </c>
      <c r="C33" s="24">
        <v>219.62025316455694</v>
      </c>
      <c r="D33" s="24">
        <v>0.24337646333949475</v>
      </c>
      <c r="E33" s="24">
        <v>41.699999999999996</v>
      </c>
      <c r="F33" s="24">
        <v>0.15</v>
      </c>
      <c r="G33" s="24">
        <v>4.5110000000000004E-2</v>
      </c>
      <c r="H33" s="24">
        <v>0.35025493238749722</v>
      </c>
      <c r="I33" s="24">
        <v>317.55223880597003</v>
      </c>
      <c r="J33" s="24">
        <v>22.471910112359552</v>
      </c>
      <c r="K33" s="24">
        <v>4.1242564441506939</v>
      </c>
      <c r="M33" s="24">
        <v>374.85714285714295</v>
      </c>
      <c r="N33" s="24">
        <v>18.308921438082557</v>
      </c>
      <c r="O33" s="24">
        <v>2.8262316910785619</v>
      </c>
    </row>
    <row r="34" spans="1:15" x14ac:dyDescent="0.25">
      <c r="B34" t="s">
        <v>177</v>
      </c>
      <c r="C34" s="24">
        <v>294.63636363636368</v>
      </c>
      <c r="D34" s="24">
        <v>1.7571884984025559</v>
      </c>
      <c r="E34" s="24">
        <v>39.866666666666667</v>
      </c>
      <c r="F34" s="24">
        <v>0.16</v>
      </c>
      <c r="G34" s="24">
        <v>0.103712</v>
      </c>
      <c r="H34" s="24">
        <v>0.21212588707189139</v>
      </c>
      <c r="I34" s="24">
        <v>303.98936170212767</v>
      </c>
      <c r="J34" s="24">
        <v>18.268597761685321</v>
      </c>
      <c r="K34" s="24">
        <v>3.6142198815009867</v>
      </c>
      <c r="M34" s="24">
        <v>312.96774193548396</v>
      </c>
      <c r="N34" s="24">
        <v>18.733421750663133</v>
      </c>
      <c r="O34" s="24">
        <v>2.9210875331564989</v>
      </c>
    </row>
    <row r="35" spans="1:15" x14ac:dyDescent="0.25">
      <c r="B35" t="s">
        <v>46</v>
      </c>
      <c r="C35" s="24">
        <v>180.59701492537312</v>
      </c>
      <c r="D35" s="24">
        <v>0.41874999999999996</v>
      </c>
      <c r="E35" s="24">
        <v>48.766666666666673</v>
      </c>
      <c r="F35" s="24">
        <v>0.11</v>
      </c>
      <c r="G35" s="24">
        <v>1.8876E-2</v>
      </c>
      <c r="H35" s="24">
        <v>0.42593769866497139</v>
      </c>
      <c r="I35" s="24">
        <v>368.80239520958077</v>
      </c>
      <c r="J35" s="24">
        <v>25.331125827814567</v>
      </c>
      <c r="K35" s="24">
        <v>2.8940397350993372</v>
      </c>
      <c r="M35" s="25">
        <v>0</v>
      </c>
      <c r="N35" s="25">
        <v>0</v>
      </c>
      <c r="O35" s="25">
        <v>0</v>
      </c>
    </row>
    <row r="36" spans="1:15" x14ac:dyDescent="0.25">
      <c r="B36" t="s">
        <v>181</v>
      </c>
      <c r="C36" s="24">
        <v>380.78602620087338</v>
      </c>
      <c r="D36" s="24">
        <v>0.21067157313707449</v>
      </c>
      <c r="E36" s="24">
        <v>51.533333333333339</v>
      </c>
      <c r="F36" s="24">
        <v>0.14333333333333334</v>
      </c>
      <c r="G36" s="24">
        <v>1.5695999999999998E-2</v>
      </c>
      <c r="H36" s="24">
        <v>0.29179408766564735</v>
      </c>
      <c r="I36" s="24">
        <v>276.23595505617976</v>
      </c>
      <c r="J36" s="24">
        <v>17.738726790450929</v>
      </c>
      <c r="K36" s="24">
        <v>3.5610079575596822</v>
      </c>
      <c r="M36" s="25">
        <v>0</v>
      </c>
      <c r="N36" s="25">
        <v>0</v>
      </c>
      <c r="O36" s="25">
        <v>0</v>
      </c>
    </row>
    <row r="37" spans="1:15" x14ac:dyDescent="0.25">
      <c r="B37" t="s">
        <v>63</v>
      </c>
      <c r="C37" s="24">
        <v>487.70053475935822</v>
      </c>
      <c r="D37" s="24">
        <v>0.13893016344725112</v>
      </c>
      <c r="E37" s="24">
        <v>42.366666666666667</v>
      </c>
      <c r="F37" s="24">
        <v>0.10999999999999999</v>
      </c>
      <c r="G37" s="24">
        <v>7.2959999999999995E-3</v>
      </c>
      <c r="H37" s="24">
        <v>0.1708698830409357</v>
      </c>
      <c r="I37" s="24">
        <v>356.28318584070792</v>
      </c>
      <c r="J37" s="24">
        <v>41.666666666666664</v>
      </c>
      <c r="K37" s="24">
        <v>3.5059760956175294</v>
      </c>
      <c r="M37" s="24">
        <v>344.22077922077926</v>
      </c>
      <c r="N37" s="24">
        <v>16.401590457256457</v>
      </c>
      <c r="O37" s="24">
        <v>1.6799204771371765</v>
      </c>
    </row>
    <row r="38" spans="1:15" x14ac:dyDescent="0.25">
      <c r="B38" t="s">
        <v>44</v>
      </c>
      <c r="C38" s="24">
        <v>21.888141542857149</v>
      </c>
      <c r="D38" s="24">
        <v>5.5321390937829298E-2</v>
      </c>
      <c r="E38" s="24">
        <v>15</v>
      </c>
      <c r="F38" s="24">
        <v>0.49333333333333335</v>
      </c>
      <c r="G38" s="24">
        <v>8.7333684756000043E-4</v>
      </c>
      <c r="H38" s="24">
        <v>1.2022852384318554</v>
      </c>
      <c r="I38" s="24">
        <v>350.44247787610618</v>
      </c>
      <c r="J38" s="24">
        <v>20.448548812664907</v>
      </c>
      <c r="K38" s="24">
        <v>3.443271767810026</v>
      </c>
      <c r="M38" s="24">
        <v>302.12903225806463</v>
      </c>
      <c r="N38" s="24">
        <v>11.936339522546417</v>
      </c>
      <c r="O38" s="24">
        <v>1.6147214854111409</v>
      </c>
    </row>
    <row r="39" spans="1:15" x14ac:dyDescent="0.25">
      <c r="A39" t="s">
        <v>139</v>
      </c>
      <c r="B39" t="s">
        <v>46</v>
      </c>
      <c r="C39" s="24">
        <v>148.67663981588029</v>
      </c>
      <c r="D39" s="24">
        <v>0.39972401103955835</v>
      </c>
      <c r="E39" s="24">
        <v>37.366666666666667</v>
      </c>
      <c r="F39" s="24">
        <v>0.12666666666666668</v>
      </c>
      <c r="G39" s="24">
        <v>1.6795999999999998E-2</v>
      </c>
      <c r="H39" s="24">
        <v>0.51738509168849733</v>
      </c>
      <c r="I39" s="24">
        <v>402.18181818181813</v>
      </c>
      <c r="J39" s="24">
        <v>24.851876234364713</v>
      </c>
      <c r="K39" s="24">
        <v>3.7985516787360103</v>
      </c>
      <c r="M39" s="24">
        <v>390.09646302250815</v>
      </c>
      <c r="N39" s="24">
        <v>22.039473684210527</v>
      </c>
      <c r="O39" s="24">
        <v>3.8059210526315788</v>
      </c>
    </row>
    <row r="40" spans="1:15" x14ac:dyDescent="0.25">
      <c r="B40" t="s">
        <v>177</v>
      </c>
      <c r="C40" s="24">
        <v>263.7837837837838</v>
      </c>
      <c r="D40" s="24">
        <v>8.964264082374318E-2</v>
      </c>
      <c r="E40" s="24">
        <v>41.699999999999996</v>
      </c>
      <c r="F40" s="24">
        <v>0.1466666666666667</v>
      </c>
      <c r="G40" s="24">
        <v>5.0751999999999999E-2</v>
      </c>
      <c r="H40" s="24">
        <v>0.2916141235813367</v>
      </c>
      <c r="I40" s="24">
        <v>370.14836795252222</v>
      </c>
      <c r="J40" s="24">
        <v>20.806028833551768</v>
      </c>
      <c r="K40" s="24">
        <v>3.0537352555701176</v>
      </c>
      <c r="M40" s="24">
        <v>370.02832861189808</v>
      </c>
      <c r="N40" s="24">
        <v>14.950166112956811</v>
      </c>
      <c r="O40" s="24">
        <v>2.3421926910299002</v>
      </c>
    </row>
    <row r="41" spans="1:15" x14ac:dyDescent="0.25">
      <c r="B41" t="s">
        <v>176</v>
      </c>
      <c r="C41" s="24">
        <v>6.3303856526429336E-2</v>
      </c>
      <c r="D41" s="24">
        <v>0.27519667507792789</v>
      </c>
      <c r="E41" s="24">
        <v>42.2</v>
      </c>
      <c r="F41" s="24">
        <v>0.16</v>
      </c>
      <c r="G41" s="24">
        <v>3.7556911999999999E-5</v>
      </c>
      <c r="H41" s="24">
        <v>987.30161840781807</v>
      </c>
      <c r="I41" s="24">
        <v>294.01869158878503</v>
      </c>
      <c r="J41" s="24">
        <v>22.682445759368836</v>
      </c>
      <c r="K41" s="24">
        <v>4.7928994082840228</v>
      </c>
      <c r="M41" s="24">
        <v>314.53608247422682</v>
      </c>
      <c r="N41" s="24">
        <v>26.045122760451228</v>
      </c>
      <c r="O41" s="24">
        <v>6.7982747179827472</v>
      </c>
    </row>
    <row r="42" spans="1:15" x14ac:dyDescent="0.25">
      <c r="B42" t="s">
        <v>44</v>
      </c>
      <c r="C42" s="24">
        <v>5.352990086956523</v>
      </c>
      <c r="D42" s="24">
        <v>7.804168686379058E-2</v>
      </c>
      <c r="E42" s="24">
        <v>17.966666666666665</v>
      </c>
      <c r="F42" s="24">
        <v>0.73333333333333339</v>
      </c>
      <c r="G42" s="24">
        <v>7.5841163552000019E-4</v>
      </c>
      <c r="H42" s="24">
        <v>2.1228577260633843</v>
      </c>
      <c r="I42" s="24">
        <v>280.3478260869565</v>
      </c>
      <c r="J42" s="24">
        <v>17.434210526315791</v>
      </c>
      <c r="K42" s="24">
        <v>3.8026315789473686</v>
      </c>
      <c r="M42" s="24">
        <v>368.38905775076</v>
      </c>
      <c r="N42" s="24">
        <v>11.643379906852958</v>
      </c>
      <c r="O42" s="24">
        <v>2.3519627411842983</v>
      </c>
    </row>
    <row r="43" spans="1:15" x14ac:dyDescent="0.25">
      <c r="A43" t="s">
        <v>140</v>
      </c>
      <c r="B43" t="s">
        <v>51</v>
      </c>
      <c r="C43" s="24">
        <v>303.13653136531366</v>
      </c>
      <c r="D43" s="24">
        <v>9.6993557623478874E-2</v>
      </c>
      <c r="E43" s="24">
        <v>34.699999999999996</v>
      </c>
      <c r="F43" s="24">
        <v>0.24</v>
      </c>
      <c r="G43" s="24">
        <v>6.0243333333333336E-2</v>
      </c>
      <c r="H43" s="24">
        <v>0.14994743540087421</v>
      </c>
      <c r="I43" s="24">
        <v>326.81198910081747</v>
      </c>
      <c r="J43" s="24">
        <v>26.91545574636724</v>
      </c>
      <c r="K43" s="24">
        <v>4.8282694848084535</v>
      </c>
      <c r="M43" s="24">
        <v>326.96202531645577</v>
      </c>
      <c r="N43" s="24">
        <v>23.920265780730894</v>
      </c>
      <c r="O43" s="24">
        <v>4.2524916943521598</v>
      </c>
    </row>
    <row r="44" spans="1:15" x14ac:dyDescent="0.25">
      <c r="B44" t="s">
        <v>176</v>
      </c>
      <c r="C44" s="24">
        <v>227.84280936454849</v>
      </c>
      <c r="D44" s="24">
        <v>0.19830873818603881</v>
      </c>
      <c r="E44" s="24">
        <v>54.733333333333327</v>
      </c>
      <c r="F44" s="24">
        <v>0.11333333333333333</v>
      </c>
      <c r="G44" s="24">
        <v>7.0849999999999996E-2</v>
      </c>
      <c r="H44" s="24">
        <v>0.33761467889908259</v>
      </c>
      <c r="I44" s="24">
        <v>354.88524590163934</v>
      </c>
      <c r="J44" s="24">
        <v>31.208499335989373</v>
      </c>
      <c r="K44" s="24">
        <v>4.9601593625498008</v>
      </c>
      <c r="M44" s="24">
        <v>388.10126582278485</v>
      </c>
      <c r="N44" s="24">
        <v>15.346534653465348</v>
      </c>
      <c r="O44" s="24">
        <v>3.8547854785478548</v>
      </c>
    </row>
    <row r="45" spans="1:15" x14ac:dyDescent="0.25">
      <c r="B45" t="s">
        <v>177</v>
      </c>
      <c r="C45" s="24">
        <v>345.50438596491233</v>
      </c>
      <c r="D45" s="24">
        <v>7.9803990199509969E-2</v>
      </c>
      <c r="E45" s="24">
        <v>40.9</v>
      </c>
      <c r="F45" s="24">
        <v>0.25666666666666665</v>
      </c>
      <c r="G45" s="24">
        <v>0.13864400000000002</v>
      </c>
      <c r="H45" s="24">
        <v>0.13155996653299096</v>
      </c>
      <c r="I45" s="24">
        <v>398.63777089783287</v>
      </c>
      <c r="J45" s="24">
        <v>17.621870882740449</v>
      </c>
      <c r="K45" s="24">
        <v>3.0237154150197632</v>
      </c>
      <c r="M45" s="24">
        <v>394.17956656346752</v>
      </c>
      <c r="N45" s="24">
        <v>15.562913907284768</v>
      </c>
      <c r="O45" s="24">
        <v>2.3443708609271523</v>
      </c>
    </row>
    <row r="46" spans="1:15" x14ac:dyDescent="0.25">
      <c r="B46" t="s">
        <v>46</v>
      </c>
      <c r="C46" s="24">
        <v>182.63736263736263</v>
      </c>
      <c r="D46" s="24">
        <v>0.25418994413407825</v>
      </c>
      <c r="E46" s="24">
        <v>41.133333333333333</v>
      </c>
      <c r="F46" s="24">
        <v>0.10333333333333333</v>
      </c>
      <c r="G46" s="24">
        <v>9.9719999999999982E-3</v>
      </c>
      <c r="H46" s="24">
        <v>0.45627757721620549</v>
      </c>
      <c r="I46" s="24">
        <v>285.30259365994237</v>
      </c>
      <c r="J46" s="24">
        <v>18.175809649702579</v>
      </c>
      <c r="K46" s="24">
        <v>2.9874421678783873</v>
      </c>
      <c r="M46" s="24">
        <v>321.95530726256993</v>
      </c>
      <c r="N46" s="24">
        <v>10.97804391217565</v>
      </c>
      <c r="O46" s="24">
        <v>1.6500332667997339</v>
      </c>
    </row>
    <row r="47" spans="1:15" x14ac:dyDescent="0.25">
      <c r="B47" t="s">
        <v>44</v>
      </c>
      <c r="C47" s="24">
        <v>28.459706907407412</v>
      </c>
      <c r="D47" s="24">
        <v>5.5455712451861365E-2</v>
      </c>
      <c r="E47" s="24">
        <v>18.266666666666669</v>
      </c>
      <c r="F47" s="24">
        <v>0.57666666666666666</v>
      </c>
      <c r="G47" s="24">
        <v>2.7662835114000005E-3</v>
      </c>
      <c r="H47" s="24">
        <v>0.39041551437127214</v>
      </c>
      <c r="I47" s="24">
        <v>386.97247706422019</v>
      </c>
      <c r="J47" s="24">
        <v>16.776315789473685</v>
      </c>
      <c r="K47" s="24">
        <v>1.5921052631578949</v>
      </c>
      <c r="M47" s="24">
        <v>382.97468354430379</v>
      </c>
      <c r="N47" s="24">
        <v>12.126245847176079</v>
      </c>
      <c r="O47" s="24">
        <v>1.5813953488372092</v>
      </c>
    </row>
    <row r="48" spans="1:15" x14ac:dyDescent="0.25">
      <c r="A48" t="s">
        <v>141</v>
      </c>
      <c r="B48" t="s">
        <v>46</v>
      </c>
      <c r="C48" s="24">
        <v>194.24280350438045</v>
      </c>
      <c r="D48" s="24">
        <v>0.36634571297569923</v>
      </c>
      <c r="E48" s="24">
        <v>36.6</v>
      </c>
      <c r="F48" s="24">
        <v>0.14333333333333334</v>
      </c>
      <c r="G48" s="24">
        <v>1.8623999999999995E-2</v>
      </c>
      <c r="H48" s="24">
        <v>0.42901632302405512</v>
      </c>
      <c r="I48" s="24">
        <v>349.46428571428578</v>
      </c>
      <c r="J48" s="24">
        <v>19.749835418038185</v>
      </c>
      <c r="K48" s="24">
        <v>2.3370638578011844</v>
      </c>
      <c r="M48" s="24">
        <v>375.78947368421052</v>
      </c>
      <c r="N48" s="24">
        <v>12.284196547144752</v>
      </c>
      <c r="O48" s="24">
        <v>1.5537848605577689</v>
      </c>
    </row>
    <row r="49" spans="1:15" x14ac:dyDescent="0.25">
      <c r="B49" t="s">
        <v>44</v>
      </c>
      <c r="C49" s="24">
        <v>74.766154591900317</v>
      </c>
      <c r="D49" s="24">
        <v>5.8931521938681841E-2</v>
      </c>
      <c r="E49" s="24">
        <v>16.966666666666665</v>
      </c>
      <c r="F49" s="24">
        <v>1.2733333333333332</v>
      </c>
      <c r="G49" s="24">
        <v>1.7279953649279998E-2</v>
      </c>
      <c r="H49" s="24">
        <v>9.2882193585448372E-2</v>
      </c>
      <c r="I49" s="24">
        <v>254.99999999999997</v>
      </c>
      <c r="J49" s="24">
        <v>12.524719841793011</v>
      </c>
      <c r="K49" s="24">
        <v>1.7468688200395515</v>
      </c>
      <c r="M49" s="24">
        <v>285.04504504504513</v>
      </c>
      <c r="N49" s="24">
        <v>10.197368421052632</v>
      </c>
      <c r="O49" s="24">
        <v>1.625</v>
      </c>
    </row>
    <row r="50" spans="1:15" x14ac:dyDescent="0.25">
      <c r="A50" t="s">
        <v>142</v>
      </c>
      <c r="B50" t="s">
        <v>44</v>
      </c>
      <c r="C50" s="24">
        <v>16.871446335025379</v>
      </c>
      <c r="D50" s="24">
        <v>7.6267905536198222E-2</v>
      </c>
      <c r="E50" s="24">
        <v>11.033333333333333</v>
      </c>
      <c r="F50" s="24">
        <v>0.35000000000000003</v>
      </c>
      <c r="G50" s="24">
        <v>6.3149823632E-4</v>
      </c>
      <c r="H50" s="24">
        <v>1.5597826618487491</v>
      </c>
      <c r="I50" s="24">
        <v>272.40997229916906</v>
      </c>
      <c r="J50" s="24">
        <v>21.433246073298434</v>
      </c>
      <c r="K50" s="24">
        <v>2.8926701570680629</v>
      </c>
      <c r="M50" s="24">
        <v>356.15853658536588</v>
      </c>
      <c r="N50" s="24">
        <v>12.837393021724818</v>
      </c>
      <c r="O50" s="24">
        <v>1.9749835418038182</v>
      </c>
    </row>
    <row r="51" spans="1:15" x14ac:dyDescent="0.25">
      <c r="B51" t="s">
        <v>46</v>
      </c>
      <c r="C51" s="24">
        <v>228.40466926070039</v>
      </c>
      <c r="D51" s="24">
        <v>0.37794117647058822</v>
      </c>
      <c r="E51" s="24">
        <v>37.166666666666664</v>
      </c>
      <c r="F51" s="24">
        <v>0.11333333333333334</v>
      </c>
      <c r="G51" s="24">
        <v>3.0524000000000006E-2</v>
      </c>
      <c r="H51" s="24">
        <v>0.33678416983357357</v>
      </c>
      <c r="I51" s="24">
        <v>260.27472527472531</v>
      </c>
      <c r="J51" s="24">
        <v>16.223231667748216</v>
      </c>
      <c r="K51" s="24">
        <v>3.5301752109020117</v>
      </c>
      <c r="M51" s="24">
        <v>300.19480519480527</v>
      </c>
      <c r="N51" s="24">
        <v>8.9880159786950742</v>
      </c>
      <c r="O51" s="24">
        <v>1.884154460719041</v>
      </c>
    </row>
    <row r="52" spans="1:15" x14ac:dyDescent="0.25">
      <c r="A52" t="s">
        <v>143</v>
      </c>
      <c r="B52" t="s">
        <v>181</v>
      </c>
      <c r="C52" s="24">
        <v>376.20137299771164</v>
      </c>
      <c r="D52" s="24">
        <v>0.10542822677925212</v>
      </c>
      <c r="E52" s="24">
        <v>43.733333333333327</v>
      </c>
      <c r="F52" s="24">
        <v>0.38999999999999996</v>
      </c>
      <c r="G52" s="24">
        <v>0.118368</v>
      </c>
      <c r="H52" s="24">
        <v>7.3837523655041912E-2</v>
      </c>
      <c r="I52" s="24">
        <v>256.50000000000006</v>
      </c>
      <c r="J52" s="24">
        <v>11.333771353482259</v>
      </c>
      <c r="K52" s="24">
        <v>2.6149802890932987</v>
      </c>
      <c r="M52" s="24">
        <v>274.66666666666674</v>
      </c>
      <c r="N52" s="24">
        <v>10.790172642762283</v>
      </c>
      <c r="O52" s="24">
        <v>1.6268260292164674</v>
      </c>
    </row>
    <row r="53" spans="1:15" x14ac:dyDescent="0.25">
      <c r="B53" t="s">
        <v>44</v>
      </c>
      <c r="C53" s="24">
        <v>59.040057342391307</v>
      </c>
      <c r="D53" s="24">
        <v>5.3333333333333337E-2</v>
      </c>
      <c r="E53" s="24">
        <v>17.900000000000002</v>
      </c>
      <c r="F53" s="24">
        <v>0.41666666666666669</v>
      </c>
      <c r="G53" s="24">
        <v>2.96932128394E-3</v>
      </c>
      <c r="H53" s="24">
        <v>0.41311348600142034</v>
      </c>
      <c r="I53" s="25">
        <v>348.57142857142867</v>
      </c>
      <c r="J53" s="25">
        <v>20.984798413747523</v>
      </c>
      <c r="K53" s="25">
        <v>3.8664904163912759</v>
      </c>
      <c r="L53" s="25"/>
      <c r="M53" s="24">
        <v>348.57142857142867</v>
      </c>
      <c r="N53" s="24">
        <v>20.984798413747523</v>
      </c>
      <c r="O53" s="24">
        <v>3.8664904163912759</v>
      </c>
    </row>
    <row r="54" spans="1:15" x14ac:dyDescent="0.25">
      <c r="B54" t="s">
        <v>45</v>
      </c>
      <c r="C54" s="24">
        <v>0.25029494117647061</v>
      </c>
      <c r="D54" s="24">
        <v>0.25079030558482618</v>
      </c>
      <c r="E54" s="24">
        <v>17.066666666666666</v>
      </c>
      <c r="F54" s="24">
        <v>0.47333333333333333</v>
      </c>
      <c r="G54" s="24">
        <v>1.4693981680000002E-5</v>
      </c>
      <c r="H54" s="24">
        <v>107.9807162701367</v>
      </c>
      <c r="I54" s="24">
        <v>359.51612903225805</v>
      </c>
      <c r="J54" s="24">
        <v>18.858800773694391</v>
      </c>
      <c r="K54" s="24">
        <v>2.8046421663442938</v>
      </c>
      <c r="M54" s="24">
        <v>365.94594594594588</v>
      </c>
      <c r="N54" s="24">
        <v>12.126245847176079</v>
      </c>
      <c r="O54" s="24">
        <v>2.0996677740863792</v>
      </c>
    </row>
    <row r="55" spans="1:15" x14ac:dyDescent="0.25">
      <c r="B55" t="s">
        <v>177</v>
      </c>
      <c r="C55" s="24">
        <v>27.956989247311832</v>
      </c>
      <c r="D55" s="24">
        <v>1.0468552131701139</v>
      </c>
      <c r="E55" s="24">
        <v>34.533333333333331</v>
      </c>
      <c r="F55" s="24">
        <v>0.40333333333333332</v>
      </c>
      <c r="G55" s="24">
        <v>0.22464000000000003</v>
      </c>
      <c r="H55" s="24">
        <v>0.66239316239316226</v>
      </c>
      <c r="I55" s="25">
        <v>347.54716981132083</v>
      </c>
      <c r="J55" s="25">
        <v>16.499999999999996</v>
      </c>
      <c r="K55" s="25">
        <v>3.2866666666666666</v>
      </c>
      <c r="L55" s="25"/>
      <c r="M55" s="24">
        <v>347.54716981132083</v>
      </c>
      <c r="N55" s="24">
        <v>16.499999999999996</v>
      </c>
      <c r="O55" s="24">
        <v>3.2866666666666666</v>
      </c>
    </row>
    <row r="56" spans="1:15" x14ac:dyDescent="0.25">
      <c r="B56" t="s">
        <v>46</v>
      </c>
      <c r="C56" s="24">
        <v>179.94428969359328</v>
      </c>
      <c r="D56" s="24">
        <v>0.3763102725366877</v>
      </c>
      <c r="E56" s="24">
        <v>36.06666666666667</v>
      </c>
      <c r="F56" s="24">
        <v>0.15666666666666665</v>
      </c>
      <c r="G56" s="24">
        <v>2.1963999999999997E-2</v>
      </c>
      <c r="H56" s="24">
        <v>0.32689856128209804</v>
      </c>
      <c r="I56" s="25">
        <v>356.57142857142867</v>
      </c>
      <c r="J56" s="25">
        <v>9.6537949400798926</v>
      </c>
      <c r="K56" s="25">
        <v>1.6844207723035951</v>
      </c>
      <c r="L56" s="25"/>
      <c r="M56" s="24">
        <v>356.57142857142867</v>
      </c>
      <c r="N56" s="24">
        <v>9.6537949400798926</v>
      </c>
      <c r="O56" s="24">
        <v>1.6844207723035951</v>
      </c>
    </row>
    <row r="57" spans="1:15" x14ac:dyDescent="0.25">
      <c r="A57" t="s">
        <v>144</v>
      </c>
      <c r="B57" t="s">
        <v>184</v>
      </c>
      <c r="C57" s="24">
        <v>253.80434782608697</v>
      </c>
      <c r="D57" s="24">
        <v>6.732528357116721E-2</v>
      </c>
      <c r="E57" s="24">
        <v>34.433333333333337</v>
      </c>
      <c r="F57" s="24">
        <v>0.14333333333333334</v>
      </c>
      <c r="G57" s="24">
        <v>1.4944000000000002E-2</v>
      </c>
      <c r="H57" s="24">
        <v>0.24625267665952888</v>
      </c>
      <c r="I57" s="24">
        <v>257.87564766839375</v>
      </c>
      <c r="J57" s="24">
        <v>14.048531289910597</v>
      </c>
      <c r="K57" s="24">
        <v>4.2081736909323118</v>
      </c>
      <c r="M57" s="24">
        <v>333.92971246006391</v>
      </c>
      <c r="N57" s="24">
        <v>8.1287325812873252</v>
      </c>
      <c r="O57" s="24">
        <v>2.6542800265427999</v>
      </c>
    </row>
    <row r="58" spans="1:15" x14ac:dyDescent="0.25">
      <c r="B58" t="s">
        <v>51</v>
      </c>
      <c r="C58" s="24">
        <v>304.48275862068965</v>
      </c>
      <c r="D58" s="24">
        <v>7.3923018098394092E-2</v>
      </c>
      <c r="E58" s="24">
        <v>34.533333333333331</v>
      </c>
      <c r="F58" s="24">
        <v>0.44999999999999996</v>
      </c>
      <c r="G58" s="24">
        <v>0.12950666666666666</v>
      </c>
      <c r="H58" s="24">
        <v>7.4642232060125616E-2</v>
      </c>
      <c r="I58" s="24">
        <v>395.79250720461096</v>
      </c>
      <c r="J58" s="24">
        <v>20.084911822338338</v>
      </c>
      <c r="K58" s="24">
        <v>3.1678641410842587</v>
      </c>
      <c r="M58" s="24">
        <v>396.9677419354839</v>
      </c>
      <c r="N58" s="24">
        <v>12.607830126078301</v>
      </c>
      <c r="O58" s="24">
        <v>1.8248175182481758</v>
      </c>
    </row>
    <row r="59" spans="1:15" x14ac:dyDescent="0.25">
      <c r="B59" t="s">
        <v>176</v>
      </c>
      <c r="C59" s="24">
        <v>0.10631870536554754</v>
      </c>
      <c r="D59" s="24">
        <v>0.31620200416708</v>
      </c>
      <c r="E59" s="24">
        <v>37.833333333333336</v>
      </c>
      <c r="F59" s="24">
        <v>0.25666666666666665</v>
      </c>
      <c r="G59" s="24">
        <v>1.5586534843999998E-4</v>
      </c>
      <c r="H59" s="24">
        <v>408.94272292046082</v>
      </c>
      <c r="I59" s="24">
        <v>409.40119760479041</v>
      </c>
      <c r="J59" s="24">
        <v>16.817593790426908</v>
      </c>
      <c r="K59" s="24">
        <v>3.260025873221216</v>
      </c>
      <c r="M59" s="24">
        <v>410.44585987261166</v>
      </c>
      <c r="N59" s="24">
        <v>13.696369636963695</v>
      </c>
      <c r="O59" s="24">
        <v>2.3168316831683162</v>
      </c>
    </row>
    <row r="60" spans="1:15" x14ac:dyDescent="0.25">
      <c r="B60" t="s">
        <v>46</v>
      </c>
      <c r="C60" s="24">
        <v>170.45769764216368</v>
      </c>
      <c r="D60" s="24">
        <v>0.36322418136020151</v>
      </c>
      <c r="E60" s="24">
        <v>41.266666666666666</v>
      </c>
      <c r="F60" s="24">
        <v>0.21666666666666667</v>
      </c>
      <c r="G60" s="24">
        <v>2.7038E-2</v>
      </c>
      <c r="H60" s="24">
        <v>0.26666173533545379</v>
      </c>
      <c r="I60" s="24">
        <v>240.17441860465115</v>
      </c>
      <c r="J60" s="24">
        <v>19.005847953216374</v>
      </c>
      <c r="K60" s="24">
        <v>2.3196881091617936</v>
      </c>
      <c r="M60" s="24">
        <v>263.69905956112865</v>
      </c>
      <c r="N60" s="24">
        <v>17.430278884462151</v>
      </c>
      <c r="O60" s="24">
        <v>1.8791500664010621</v>
      </c>
    </row>
    <row r="61" spans="1:15" x14ac:dyDescent="0.25">
      <c r="B61" t="s">
        <v>44</v>
      </c>
      <c r="C61" s="24">
        <v>14.432767837638378</v>
      </c>
      <c r="D61" s="24">
        <v>5.7305984351871425E-2</v>
      </c>
      <c r="E61" s="24">
        <v>20.033333333333331</v>
      </c>
      <c r="F61" s="24">
        <v>1.75</v>
      </c>
      <c r="G61" s="24">
        <v>2.0729784445200003E-3</v>
      </c>
      <c r="H61" s="24">
        <v>0.6536488614158027</v>
      </c>
      <c r="I61" s="25">
        <f>AVERAGEA(I65,I69,I53,I51,I50)</f>
        <v>296.833118038284</v>
      </c>
      <c r="J61" s="25">
        <f t="shared" ref="J61:K61" si="4">AVERAGEA(J65,J69,J53,J51,J50)</f>
        <v>19.336541916462558</v>
      </c>
      <c r="K61" s="25">
        <f t="shared" si="4"/>
        <v>3.5590523639808227</v>
      </c>
      <c r="L61" s="25"/>
      <c r="M61" s="25">
        <v>0</v>
      </c>
      <c r="N61" s="25">
        <v>0</v>
      </c>
      <c r="O61" s="25">
        <v>0</v>
      </c>
    </row>
    <row r="62" spans="1:15" x14ac:dyDescent="0.25">
      <c r="A62" t="s">
        <v>145</v>
      </c>
      <c r="B62" t="s">
        <v>46</v>
      </c>
      <c r="C62" s="24">
        <v>173.94957983193277</v>
      </c>
      <c r="D62" s="24">
        <v>0.40781357093899928</v>
      </c>
      <c r="E62" s="24">
        <v>40.166666666666664</v>
      </c>
      <c r="F62" s="24">
        <v>0.21666666666666667</v>
      </c>
      <c r="G62" s="24">
        <v>4.5539999999999997E-2</v>
      </c>
      <c r="H62" s="24">
        <v>0.26130873956960915</v>
      </c>
      <c r="I62" s="25">
        <v>328.00000000000006</v>
      </c>
      <c r="J62" s="25">
        <v>12.632978723404253</v>
      </c>
      <c r="K62" s="25">
        <v>1.6755319148936172</v>
      </c>
      <c r="L62" s="25"/>
      <c r="M62" s="24">
        <v>328.00000000000006</v>
      </c>
      <c r="N62" s="24">
        <v>12.632978723404253</v>
      </c>
      <c r="O62" s="24">
        <v>1.6755319148936172</v>
      </c>
    </row>
    <row r="63" spans="1:15" x14ac:dyDescent="0.25">
      <c r="B63" t="s">
        <v>177</v>
      </c>
      <c r="C63" s="24">
        <v>498.98989898989896</v>
      </c>
      <c r="D63" s="24">
        <v>8.0178173719376383E-2</v>
      </c>
      <c r="E63" s="24">
        <v>34.300000000000004</v>
      </c>
      <c r="F63" s="24">
        <v>0.37666666666666665</v>
      </c>
      <c r="G63" s="24">
        <v>0.19364799999999999</v>
      </c>
      <c r="H63" s="24">
        <v>4.0898950673386766E-2</v>
      </c>
      <c r="I63" s="24">
        <v>342.25130890052355</v>
      </c>
      <c r="J63" s="24">
        <v>21.640826873385013</v>
      </c>
      <c r="K63" s="24">
        <v>3.1976744186046515</v>
      </c>
      <c r="M63" s="24">
        <v>388.5148514851486</v>
      </c>
      <c r="N63" s="24">
        <v>10.862409479921</v>
      </c>
      <c r="O63" s="24">
        <v>1.2139565503620804</v>
      </c>
    </row>
    <row r="64" spans="1:15" x14ac:dyDescent="0.25">
      <c r="B64" t="s">
        <v>176</v>
      </c>
      <c r="C64" s="24">
        <v>0.61152334764826166</v>
      </c>
      <c r="D64" s="24">
        <v>0.2700662739322533</v>
      </c>
      <c r="E64" s="24">
        <v>50.4</v>
      </c>
      <c r="F64" s="24">
        <v>0.19333333333333333</v>
      </c>
      <c r="G64" s="24">
        <v>2.691314252999999E-4</v>
      </c>
      <c r="H64" s="24">
        <v>109.01736936626705</v>
      </c>
      <c r="I64" s="24">
        <v>495.24752475247521</v>
      </c>
      <c r="J64" s="24">
        <v>23.401450230718524</v>
      </c>
      <c r="K64" s="24">
        <v>5.3263019116677661</v>
      </c>
      <c r="M64" s="25">
        <v>0</v>
      </c>
      <c r="N64" s="25">
        <v>0</v>
      </c>
      <c r="O64" s="25">
        <v>0</v>
      </c>
    </row>
    <row r="65" spans="1:17" x14ac:dyDescent="0.25">
      <c r="B65" t="s">
        <v>44</v>
      </c>
      <c r="C65" s="24">
        <v>27.413383864864869</v>
      </c>
      <c r="D65" s="24">
        <v>5.2088221492257149E-2</v>
      </c>
      <c r="E65" s="24">
        <v>28.333333333333332</v>
      </c>
      <c r="F65" s="24">
        <v>0.80666666666666664</v>
      </c>
      <c r="G65" s="24">
        <v>1.5620146126200001E-3</v>
      </c>
      <c r="H65" s="24">
        <v>0.47374716857403937</v>
      </c>
      <c r="I65" s="24">
        <v>286.01626016260161</v>
      </c>
      <c r="J65" s="24">
        <v>17.468688200395519</v>
      </c>
      <c r="K65" s="24">
        <v>3.7508239947264337</v>
      </c>
      <c r="M65" s="24">
        <v>295.86885245901652</v>
      </c>
      <c r="N65" s="24">
        <v>16.876240900066175</v>
      </c>
      <c r="O65" s="24">
        <v>2.0542686962276635</v>
      </c>
    </row>
    <row r="66" spans="1:17" x14ac:dyDescent="0.25">
      <c r="A66" t="s">
        <v>146</v>
      </c>
      <c r="B66" t="s">
        <v>177</v>
      </c>
      <c r="C66" s="24">
        <v>347.46376811594206</v>
      </c>
      <c r="D66" s="24">
        <v>7.4857607811228632E-2</v>
      </c>
      <c r="E66" s="24">
        <v>36.033333333333331</v>
      </c>
      <c r="F66" s="24">
        <v>0.36333333333333329</v>
      </c>
      <c r="G66" s="24">
        <v>6.1376000000000007E-2</v>
      </c>
      <c r="H66" s="24">
        <v>0.17987486965589153</v>
      </c>
      <c r="I66" s="24">
        <v>366.20689655172418</v>
      </c>
      <c r="J66" s="24">
        <v>24.098360655737707</v>
      </c>
      <c r="K66" s="24">
        <v>4.918032786885246</v>
      </c>
      <c r="M66" s="24">
        <v>376.29139072847693</v>
      </c>
      <c r="N66" s="24">
        <v>18.622280817402768</v>
      </c>
      <c r="O66" s="24">
        <v>3.094264996704021</v>
      </c>
    </row>
    <row r="67" spans="1:17" x14ac:dyDescent="0.25">
      <c r="B67" t="s">
        <v>51</v>
      </c>
      <c r="C67" s="24">
        <v>546.78663239074547</v>
      </c>
      <c r="D67" s="24">
        <v>8.1160025036511568E-2</v>
      </c>
      <c r="E67" s="24">
        <v>33.6</v>
      </c>
      <c r="F67" s="24">
        <v>0.32333333333333331</v>
      </c>
      <c r="G67" s="24">
        <v>4.8920999999999999E-2</v>
      </c>
      <c r="H67" s="24">
        <v>7.9515954293657112E-2</v>
      </c>
      <c r="I67" s="24">
        <v>291.06796116504864</v>
      </c>
      <c r="J67" s="24">
        <v>18.076178179470627</v>
      </c>
      <c r="K67" s="24">
        <v>3.3247256294383472</v>
      </c>
      <c r="M67" s="24">
        <v>339.80582524271853</v>
      </c>
      <c r="N67" s="24">
        <v>10.79734219269103</v>
      </c>
      <c r="O67" s="24">
        <v>1.3448504983388707</v>
      </c>
    </row>
    <row r="68" spans="1:17" x14ac:dyDescent="0.25">
      <c r="B68" t="s">
        <v>46</v>
      </c>
      <c r="C68" s="24">
        <v>189.42307692307691</v>
      </c>
      <c r="D68" s="24">
        <v>0.35862068965517241</v>
      </c>
      <c r="E68" s="24">
        <v>37.366666666666667</v>
      </c>
      <c r="F68" s="24">
        <v>0.25666666666666665</v>
      </c>
      <c r="G68" s="24">
        <v>4.9643999999999994E-2</v>
      </c>
      <c r="H68" s="24">
        <v>0.25138989605994683</v>
      </c>
      <c r="I68" s="25">
        <v>399.31677018633542</v>
      </c>
      <c r="J68" s="25">
        <v>17.281105990783409</v>
      </c>
      <c r="K68" s="25">
        <v>3.0967741935483866</v>
      </c>
      <c r="L68" s="25"/>
      <c r="M68" s="24">
        <v>399.31677018633542</v>
      </c>
      <c r="N68" s="24">
        <v>17.281105990783409</v>
      </c>
      <c r="O68" s="24">
        <v>3.0967741935483866</v>
      </c>
    </row>
    <row r="69" spans="1:17" x14ac:dyDescent="0.25">
      <c r="B69" t="s">
        <v>44</v>
      </c>
      <c r="C69" s="24">
        <v>26.60622305555556</v>
      </c>
      <c r="D69" s="24">
        <v>5.2401746724890827E-2</v>
      </c>
      <c r="E69" s="24">
        <v>12.5</v>
      </c>
      <c r="F69" s="24">
        <v>1.2</v>
      </c>
      <c r="G69" s="24">
        <v>4.4059905379999998E-3</v>
      </c>
      <c r="H69" s="24">
        <v>0.32682775588838542</v>
      </c>
      <c r="I69" s="25">
        <v>316.89320388349529</v>
      </c>
      <c r="J69" s="25">
        <v>20.572745227123104</v>
      </c>
      <c r="K69" s="25">
        <v>3.7551020408163267</v>
      </c>
      <c r="L69" s="25"/>
      <c r="M69" s="24">
        <v>316.89320388349529</v>
      </c>
      <c r="N69" s="24">
        <v>20.572745227123104</v>
      </c>
      <c r="O69" s="24">
        <v>3.7551020408163267</v>
      </c>
    </row>
    <row r="70" spans="1:17" x14ac:dyDescent="0.25">
      <c r="B70" t="s">
        <v>185</v>
      </c>
      <c r="C70" s="24">
        <v>233.40909090909096</v>
      </c>
      <c r="D70" s="24">
        <v>0.14075495841330773</v>
      </c>
      <c r="E70" s="24">
        <v>44.9</v>
      </c>
      <c r="F70" s="24">
        <v>0.53666666666666663</v>
      </c>
      <c r="G70" s="24">
        <v>4.4161000000000006E-2</v>
      </c>
      <c r="H70" s="24">
        <v>9.9635424922442858E-2</v>
      </c>
      <c r="I70" s="25">
        <v>393.58490566037739</v>
      </c>
      <c r="J70" s="25">
        <v>15.225933202357565</v>
      </c>
      <c r="K70" s="25">
        <v>1.2468893254747875</v>
      </c>
      <c r="L70" s="25"/>
      <c r="M70" s="24">
        <v>393.58490566037739</v>
      </c>
      <c r="N70" s="24">
        <v>15.225933202357565</v>
      </c>
      <c r="O70" s="24">
        <v>1.2468893254747875</v>
      </c>
    </row>
    <row r="71" spans="1:17" x14ac:dyDescent="0.25">
      <c r="B71" t="s">
        <v>176</v>
      </c>
      <c r="C71" s="24">
        <v>0.18707112320916902</v>
      </c>
      <c r="D71" s="24">
        <v>0.26020062355971263</v>
      </c>
      <c r="E71" s="24">
        <v>46.366666666666667</v>
      </c>
      <c r="F71" s="24">
        <v>0.31666666666666665</v>
      </c>
      <c r="G71" s="24">
        <v>5.3144287107999993E-4</v>
      </c>
      <c r="H71" s="24">
        <v>144.4746071086953</v>
      </c>
      <c r="I71" s="24">
        <v>411.05960264900671</v>
      </c>
      <c r="J71" s="24">
        <v>18.368010403120937</v>
      </c>
      <c r="K71" s="24">
        <v>2.8478543563068923</v>
      </c>
      <c r="M71" s="24">
        <v>398.48684210526324</v>
      </c>
      <c r="N71" s="24">
        <v>12.155059132720105</v>
      </c>
      <c r="O71" s="24">
        <v>1.4875164257555848</v>
      </c>
    </row>
    <row r="72" spans="1:17" x14ac:dyDescent="0.25">
      <c r="A72" t="s">
        <v>43</v>
      </c>
      <c r="B72" t="s">
        <v>44</v>
      </c>
      <c r="C72" s="24">
        <v>1.3457508425196854</v>
      </c>
      <c r="D72" s="24">
        <v>0.19705197827773469</v>
      </c>
      <c r="E72" s="24">
        <v>16.2</v>
      </c>
      <c r="F72" s="24">
        <v>0.52</v>
      </c>
      <c r="G72" s="24">
        <v>1.3331007846000004E-4</v>
      </c>
      <c r="H72" s="24">
        <v>19.053323119617936</v>
      </c>
      <c r="I72" s="24">
        <v>415.62913907284775</v>
      </c>
      <c r="J72" s="24">
        <v>19.588953114964674</v>
      </c>
      <c r="K72" s="24">
        <v>2.3506743737957612</v>
      </c>
      <c r="M72" s="25">
        <v>0</v>
      </c>
      <c r="N72" s="25">
        <v>0</v>
      </c>
      <c r="O72" s="25">
        <v>0</v>
      </c>
    </row>
    <row r="73" spans="1:17" x14ac:dyDescent="0.25">
      <c r="B73" t="s">
        <v>45</v>
      </c>
      <c r="C73" s="24">
        <v>2.6140500000000001E-2</v>
      </c>
      <c r="D73" s="24">
        <v>0.47247169074580242</v>
      </c>
      <c r="E73" s="24">
        <v>33.6</v>
      </c>
      <c r="F73" s="24">
        <v>0.13</v>
      </c>
      <c r="G73" s="24">
        <v>1.07542017E-5</v>
      </c>
      <c r="H73" s="24">
        <v>2250.2832544046482</v>
      </c>
      <c r="I73" s="24">
        <v>287.92332268370609</v>
      </c>
      <c r="J73" s="24">
        <v>18.101761252446185</v>
      </c>
      <c r="K73" s="24">
        <v>1.8525766470971952</v>
      </c>
      <c r="M73" s="25">
        <v>0</v>
      </c>
      <c r="N73" s="25">
        <v>0</v>
      </c>
      <c r="O73" s="25">
        <v>0</v>
      </c>
    </row>
    <row r="74" spans="1:17" x14ac:dyDescent="0.25">
      <c r="B74" t="s">
        <v>46</v>
      </c>
      <c r="C74" s="24">
        <v>0</v>
      </c>
      <c r="D74" s="24">
        <v>0.307381052044091</v>
      </c>
      <c r="E74" s="24">
        <v>45.733333333333327</v>
      </c>
      <c r="F74" s="24">
        <v>0.16666666666666666</v>
      </c>
      <c r="G74" s="25">
        <f>AVERAGEA(G76,G111)</f>
        <v>0.22201499999999999</v>
      </c>
      <c r="H74" s="25">
        <f>AVERAGEA(H76,H111)</f>
        <v>0.35744985426135167</v>
      </c>
      <c r="I74" s="24">
        <v>315.6140350877194</v>
      </c>
      <c r="J74" s="24">
        <v>12.235449735449736</v>
      </c>
      <c r="K74" s="24">
        <v>1.7592592592592591</v>
      </c>
      <c r="M74" s="24">
        <v>417.80254777070064</v>
      </c>
      <c r="N74" s="24">
        <v>9.7682119205298026</v>
      </c>
      <c r="O74" s="24">
        <v>0.71788079470198674</v>
      </c>
      <c r="P74" s="25"/>
      <c r="Q74" s="25"/>
    </row>
    <row r="75" spans="1:17" x14ac:dyDescent="0.25">
      <c r="B75" t="s">
        <v>47</v>
      </c>
      <c r="C75" s="24">
        <v>2.1942925301204821</v>
      </c>
      <c r="D75" s="24">
        <v>0.30665024630541876</v>
      </c>
      <c r="E75" s="24">
        <v>21.836666666666662</v>
      </c>
      <c r="F75" s="24">
        <v>0.48</v>
      </c>
      <c r="G75" s="24">
        <v>3.606100344E-5</v>
      </c>
      <c r="H75" s="24">
        <v>6.9049659257069189</v>
      </c>
      <c r="I75" s="24">
        <v>385.27331189710605</v>
      </c>
      <c r="J75" s="24">
        <v>18.603133159268925</v>
      </c>
      <c r="K75" s="24">
        <v>1.8146214099216711</v>
      </c>
      <c r="M75" s="24">
        <v>394.71153846153845</v>
      </c>
      <c r="N75" s="24">
        <v>11.3031914893617</v>
      </c>
      <c r="O75" s="24">
        <v>0.99999999999999978</v>
      </c>
    </row>
    <row r="76" spans="1:17" x14ac:dyDescent="0.25">
      <c r="A76" t="s">
        <v>48</v>
      </c>
      <c r="B76" t="s">
        <v>46</v>
      </c>
      <c r="C76" s="24">
        <v>121.67795726941115</v>
      </c>
      <c r="D76" s="24">
        <v>0.32680517711171653</v>
      </c>
      <c r="E76" s="25">
        <f>AVERAGEA(E74,E111)</f>
        <v>49.649999999999991</v>
      </c>
      <c r="F76" s="24">
        <v>0.21333333333333335</v>
      </c>
      <c r="G76" s="24">
        <v>0.11208</v>
      </c>
      <c r="H76" s="24">
        <v>0.34243397573162027</v>
      </c>
      <c r="I76" s="24">
        <v>412.30320699708466</v>
      </c>
      <c r="J76" s="24">
        <v>14.970059880239521</v>
      </c>
      <c r="K76" s="24">
        <v>1.2574850299401199</v>
      </c>
      <c r="M76" s="24">
        <v>424.78827361563509</v>
      </c>
      <c r="N76" s="24">
        <v>11.191573403554967</v>
      </c>
      <c r="O76" s="24">
        <v>0.93087557603686655</v>
      </c>
    </row>
    <row r="77" spans="1:17" x14ac:dyDescent="0.25">
      <c r="B77" t="s">
        <v>47</v>
      </c>
      <c r="C77" s="24">
        <v>4.9753300000000005</v>
      </c>
      <c r="D77" s="24">
        <v>0.3115264797507788</v>
      </c>
      <c r="E77" s="25">
        <f>AVERAGEA(E75,E103,E117)</f>
        <v>17.278888888888886</v>
      </c>
      <c r="F77" s="25">
        <f>AVERAGEA(F75,F103,F117)</f>
        <v>0.35555555555555546</v>
      </c>
      <c r="G77" s="25">
        <f>AVERAGEA(G75,G103,G117)</f>
        <v>3.0067285613333337E-5</v>
      </c>
      <c r="H77" s="25">
        <f>AVERAGEA(H75,H103,H117)</f>
        <v>9.7874322726218761</v>
      </c>
      <c r="I77" s="24">
        <v>258.89908256880733</v>
      </c>
      <c r="J77" s="24">
        <v>12.404580152671755</v>
      </c>
      <c r="K77" s="24">
        <v>1.6603053435114503</v>
      </c>
      <c r="M77" s="24">
        <v>310.34810126582266</v>
      </c>
      <c r="N77" s="24">
        <v>9.3503937007873965</v>
      </c>
      <c r="O77" s="24">
        <v>0.61286089238845165</v>
      </c>
      <c r="P77" s="25"/>
      <c r="Q77" s="25"/>
    </row>
    <row r="78" spans="1:17" x14ac:dyDescent="0.25">
      <c r="B78" t="s">
        <v>45</v>
      </c>
      <c r="C78" s="24">
        <v>0.10773571316614423</v>
      </c>
      <c r="D78" s="24">
        <v>0.40792838874680298</v>
      </c>
      <c r="E78" s="24">
        <v>28</v>
      </c>
      <c r="F78" s="24">
        <v>0.13666666666666669</v>
      </c>
      <c r="G78" s="24">
        <v>1.7871200100000004E-5</v>
      </c>
      <c r="H78" s="24">
        <v>713.99793682574204</v>
      </c>
      <c r="I78" s="24">
        <v>314.86725663716817</v>
      </c>
      <c r="J78" s="24">
        <v>11.219974715549936</v>
      </c>
      <c r="K78" s="24">
        <v>1.5170670037926675</v>
      </c>
      <c r="M78" s="24">
        <v>385.55921052631572</v>
      </c>
      <c r="N78" s="24">
        <v>9.9869024230517347</v>
      </c>
      <c r="O78" s="24">
        <v>0.65094957432874911</v>
      </c>
    </row>
    <row r="79" spans="1:17" x14ac:dyDescent="0.25">
      <c r="B79" t="s">
        <v>49</v>
      </c>
      <c r="C79" s="24">
        <v>344.84952344497606</v>
      </c>
      <c r="D79" s="24">
        <v>0.16385731085848687</v>
      </c>
      <c r="E79" s="25">
        <f>AVERAGEA(E84,E92)</f>
        <v>24</v>
      </c>
      <c r="F79" s="24">
        <v>0.39666666666666667</v>
      </c>
      <c r="G79" s="24">
        <v>1.4414710079999999E-2</v>
      </c>
      <c r="H79" s="24">
        <v>9.6660517318800862E-2</v>
      </c>
      <c r="I79" s="24">
        <v>423.40694006309155</v>
      </c>
      <c r="J79" s="24">
        <v>12.191260291323623</v>
      </c>
      <c r="K79" s="24">
        <v>1.5642811906269791</v>
      </c>
      <c r="M79" s="24">
        <v>421.74311926605498</v>
      </c>
      <c r="N79" s="24">
        <v>11.604774535809016</v>
      </c>
      <c r="O79" s="24">
        <v>0.77851458885941649</v>
      </c>
    </row>
    <row r="80" spans="1:17" x14ac:dyDescent="0.25">
      <c r="A80" t="s">
        <v>50</v>
      </c>
      <c r="B80" t="s">
        <v>51</v>
      </c>
      <c r="C80" s="24">
        <v>166.26406807576171</v>
      </c>
      <c r="D80" s="24">
        <v>0.1364828413007643</v>
      </c>
      <c r="E80" s="24">
        <v>45.566666666666663</v>
      </c>
      <c r="F80" s="24">
        <v>0.32666666666666666</v>
      </c>
      <c r="G80" s="24">
        <v>0.39976200000000006</v>
      </c>
      <c r="H80" s="24">
        <v>0.18225844377404554</v>
      </c>
      <c r="I80" s="24">
        <v>407.96561604584542</v>
      </c>
      <c r="J80" s="24">
        <v>16.212710765239947</v>
      </c>
      <c r="K80" s="24">
        <v>1.4137483787289233</v>
      </c>
      <c r="M80" s="24">
        <v>383.01242236024848</v>
      </c>
      <c r="N80" s="24">
        <v>8.2617316589557177</v>
      </c>
      <c r="O80" s="24">
        <v>0.83542630535360218</v>
      </c>
    </row>
    <row r="81" spans="1:15" x14ac:dyDescent="0.25">
      <c r="B81" t="s">
        <v>44</v>
      </c>
      <c r="C81" s="24">
        <v>1.4074279272727275</v>
      </c>
      <c r="D81" s="24">
        <v>0.16975308641975306</v>
      </c>
      <c r="E81" s="24">
        <v>4.2666666666666666</v>
      </c>
      <c r="F81" s="24">
        <v>0.26666666666666666</v>
      </c>
      <c r="G81" s="24">
        <v>7.7408536000000001E-5</v>
      </c>
      <c r="H81" s="24">
        <v>28.420638261392771</v>
      </c>
      <c r="I81" s="24">
        <v>276.44859813084116</v>
      </c>
      <c r="J81" s="24">
        <v>21.012574454003971</v>
      </c>
      <c r="K81" s="24">
        <v>1.2772998014559891</v>
      </c>
      <c r="M81" s="24">
        <v>290.79207920792072</v>
      </c>
      <c r="N81" s="24">
        <v>17.372600926538716</v>
      </c>
      <c r="O81" s="24">
        <v>0.63798808735936452</v>
      </c>
    </row>
    <row r="82" spans="1:15" x14ac:dyDescent="0.25">
      <c r="B82" t="s">
        <v>52</v>
      </c>
      <c r="C82" s="24">
        <v>7.0167707349397599</v>
      </c>
      <c r="D82" s="24">
        <v>8.0193236714975843E-2</v>
      </c>
      <c r="E82" s="24">
        <v>5.5333333333333341</v>
      </c>
      <c r="F82" s="24">
        <v>0.33666666666666667</v>
      </c>
      <c r="G82" s="24">
        <v>6.5227900752000011E-4</v>
      </c>
      <c r="H82" s="24">
        <v>2.544923232025218</v>
      </c>
      <c r="I82" s="24">
        <v>285.38243626062325</v>
      </c>
      <c r="J82" s="24">
        <v>19.753476611883691</v>
      </c>
      <c r="K82" s="24">
        <v>1.7572692793931735</v>
      </c>
      <c r="M82" s="24">
        <v>282.18461538461531</v>
      </c>
      <c r="N82" s="24">
        <v>14.337508239947262</v>
      </c>
      <c r="O82" s="24">
        <v>0.88595912986156888</v>
      </c>
    </row>
    <row r="83" spans="1:15" x14ac:dyDescent="0.25">
      <c r="B83" t="s">
        <v>53</v>
      </c>
      <c r="C83" s="24">
        <v>138.9445483561644</v>
      </c>
      <c r="D83" s="24">
        <v>0.20277777777777778</v>
      </c>
      <c r="E83" s="24">
        <v>3.3333333333333335</v>
      </c>
      <c r="F83" s="24">
        <v>0.21666666666666667</v>
      </c>
      <c r="G83" s="24">
        <v>3.6514627308000002E-4</v>
      </c>
      <c r="H83" s="24">
        <v>0.39983976494814943</v>
      </c>
      <c r="I83" s="24">
        <v>454.49044585987269</v>
      </c>
      <c r="J83" s="24">
        <v>17.81045751633987</v>
      </c>
      <c r="K83" s="24">
        <v>2.2287581699346402</v>
      </c>
      <c r="M83" s="24">
        <v>413.44311377245509</v>
      </c>
      <c r="N83" s="24">
        <v>14.210178453403834</v>
      </c>
      <c r="O83" s="24">
        <v>1.7713152676801058</v>
      </c>
    </row>
    <row r="84" spans="1:15" x14ac:dyDescent="0.25">
      <c r="B84" t="s">
        <v>49</v>
      </c>
      <c r="C84" s="24">
        <v>411.8858172839507</v>
      </c>
      <c r="D84" s="24">
        <v>0.12198795180722891</v>
      </c>
      <c r="E84" s="24">
        <v>38.43333333333333</v>
      </c>
      <c r="F84" s="24">
        <v>0.34</v>
      </c>
      <c r="G84" s="24">
        <v>1.4012355504000002E-2</v>
      </c>
      <c r="H84" s="24">
        <v>0.11561225373832049</v>
      </c>
      <c r="I84" s="24">
        <v>237.33524355300855</v>
      </c>
      <c r="J84" s="24">
        <v>13.77822045152722</v>
      </c>
      <c r="K84" s="24">
        <v>1.6865869853917661</v>
      </c>
      <c r="M84" s="24">
        <v>316.26623376623371</v>
      </c>
      <c r="N84" s="24">
        <v>10.348226018396847</v>
      </c>
      <c r="O84" s="24">
        <v>0.70302233902759526</v>
      </c>
    </row>
    <row r="85" spans="1:15" x14ac:dyDescent="0.25">
      <c r="A85" t="s">
        <v>54</v>
      </c>
      <c r="B85" t="s">
        <v>55</v>
      </c>
      <c r="C85" s="24">
        <v>184.21052631578948</v>
      </c>
      <c r="D85" s="24">
        <v>0.22619047619047619</v>
      </c>
      <c r="E85" s="24">
        <v>14.033333333333333</v>
      </c>
      <c r="F85" s="24">
        <v>0.41666666666666669</v>
      </c>
      <c r="G85" s="24">
        <v>7.000000000000001E-3</v>
      </c>
      <c r="H85" s="24">
        <v>0.21714285714285711</v>
      </c>
      <c r="I85" s="24">
        <v>327.71428571428572</v>
      </c>
      <c r="J85" s="24">
        <v>13.879922530664944</v>
      </c>
      <c r="K85" s="24">
        <v>1.5622982569399613</v>
      </c>
      <c r="M85" s="24">
        <v>375.42056074766356</v>
      </c>
      <c r="N85" s="24">
        <v>11.296660117878194</v>
      </c>
      <c r="O85" s="24">
        <v>0.98886705959397514</v>
      </c>
    </row>
    <row r="86" spans="1:15" x14ac:dyDescent="0.25">
      <c r="B86" t="s">
        <v>56</v>
      </c>
      <c r="C86" s="24">
        <v>227.47747747747746</v>
      </c>
      <c r="D86" s="24">
        <v>0.1137295081967213</v>
      </c>
      <c r="E86" s="24">
        <v>13.766666666666666</v>
      </c>
      <c r="F86" s="24">
        <v>0.18000000000000002</v>
      </c>
      <c r="G86" s="24">
        <v>1.0100000000000001E-2</v>
      </c>
      <c r="H86" s="24">
        <v>0.43960396039603961</v>
      </c>
      <c r="I86" s="24">
        <v>400.32934131736522</v>
      </c>
      <c r="J86" s="24">
        <v>21.710952689565783</v>
      </c>
      <c r="K86" s="24">
        <v>1.8924173687621517</v>
      </c>
      <c r="M86" s="24">
        <v>386.23824451410655</v>
      </c>
      <c r="N86" s="24">
        <v>13.606557377049178</v>
      </c>
      <c r="O86" s="24">
        <v>1.0622950819672132</v>
      </c>
    </row>
    <row r="87" spans="1:15" x14ac:dyDescent="0.25">
      <c r="B87" t="s">
        <v>45</v>
      </c>
      <c r="C87" s="24">
        <v>5.9916195454545462E-2</v>
      </c>
      <c r="D87" s="24">
        <v>0.43273013375295044</v>
      </c>
      <c r="E87" s="24">
        <v>36.199999999999996</v>
      </c>
      <c r="F87" s="24">
        <v>0.10333333333333333</v>
      </c>
      <c r="G87" s="24">
        <v>1.5817875600000001E-5</v>
      </c>
      <c r="H87" s="24">
        <v>1390.8315222810322</v>
      </c>
      <c r="I87" s="24">
        <v>407.81249999999994</v>
      </c>
      <c r="J87" s="24">
        <v>12.611749680715198</v>
      </c>
      <c r="K87" s="24">
        <v>2.3307790549169862</v>
      </c>
      <c r="M87" s="24">
        <v>425.64814814814815</v>
      </c>
      <c r="N87" s="24">
        <v>9.3209054593874825</v>
      </c>
      <c r="O87" s="24">
        <v>1.2316910785619175</v>
      </c>
    </row>
    <row r="88" spans="1:15" x14ac:dyDescent="0.25">
      <c r="B88" t="s">
        <v>51</v>
      </c>
      <c r="C88" s="24">
        <v>129.09460834181078</v>
      </c>
      <c r="D88" s="24">
        <v>0.20642587148257033</v>
      </c>
      <c r="E88" s="24">
        <v>36.43333333333333</v>
      </c>
      <c r="F88" s="24">
        <v>0.25666666666666665</v>
      </c>
      <c r="G88" s="24">
        <v>7.3602000000000001E-2</v>
      </c>
      <c r="H88" s="24">
        <v>0.26711230673079533</v>
      </c>
      <c r="I88" s="24">
        <v>445.61904761904759</v>
      </c>
      <c r="J88" s="24">
        <v>11.295681063122922</v>
      </c>
      <c r="K88" s="24">
        <v>1.2558139534883725</v>
      </c>
      <c r="M88" s="24">
        <v>431.70967741935476</v>
      </c>
      <c r="N88" s="24">
        <v>10.013131976362443</v>
      </c>
      <c r="O88" s="24">
        <v>0.77478660538411026</v>
      </c>
    </row>
    <row r="89" spans="1:15" x14ac:dyDescent="0.25">
      <c r="B89" t="s">
        <v>57</v>
      </c>
      <c r="C89" s="24">
        <v>126.99014404852163</v>
      </c>
      <c r="D89" s="24">
        <v>0.31937046004842612</v>
      </c>
      <c r="E89" s="24">
        <v>54.233333333333327</v>
      </c>
      <c r="F89" s="24">
        <v>0.17666666666666667</v>
      </c>
      <c r="G89" s="24">
        <v>1.8983333333333335E-2</v>
      </c>
      <c r="H89" s="24">
        <v>0.46321334503950823</v>
      </c>
      <c r="I89" s="24">
        <v>302.89719626168227</v>
      </c>
      <c r="J89" s="24">
        <v>19.116677653263018</v>
      </c>
      <c r="K89" s="24">
        <v>1.1667765326301913</v>
      </c>
      <c r="M89" s="24">
        <v>330.66037735849045</v>
      </c>
      <c r="N89" s="24">
        <v>16.732283464566926</v>
      </c>
      <c r="O89" s="24">
        <v>0.93175853018372712</v>
      </c>
    </row>
    <row r="90" spans="1:15" x14ac:dyDescent="0.25">
      <c r="B90" t="s">
        <v>52</v>
      </c>
      <c r="C90" s="24">
        <v>145.45454545454547</v>
      </c>
      <c r="D90" s="24">
        <v>0.25315515961395696</v>
      </c>
      <c r="E90" s="24">
        <v>13.166666666666666</v>
      </c>
      <c r="F90" s="24">
        <v>0.30666666666666664</v>
      </c>
      <c r="G90" s="24">
        <v>7.4399999999999996E-3</v>
      </c>
      <c r="H90" s="24">
        <v>0.22916666666666666</v>
      </c>
      <c r="I90" s="25">
        <v>404.59940652818989</v>
      </c>
      <c r="J90" s="25">
        <v>15.666226912928758</v>
      </c>
      <c r="K90" s="25">
        <v>0.95646437994722955</v>
      </c>
      <c r="L90" s="25"/>
      <c r="M90" s="24">
        <v>404.59940652818989</v>
      </c>
      <c r="N90" s="24">
        <v>15.666226912928758</v>
      </c>
      <c r="O90" s="24">
        <v>0.95646437994722955</v>
      </c>
    </row>
    <row r="91" spans="1:15" x14ac:dyDescent="0.25">
      <c r="A91" t="s">
        <v>58</v>
      </c>
      <c r="B91" t="s">
        <v>59</v>
      </c>
      <c r="C91" s="24">
        <v>396.17486338797812</v>
      </c>
      <c r="D91" s="24">
        <v>0.18281718281718282</v>
      </c>
      <c r="E91" s="24">
        <v>23.066666666666666</v>
      </c>
      <c r="F91" s="24">
        <v>0.15666666666666665</v>
      </c>
      <c r="G91" s="24">
        <v>8.6999999999999994E-3</v>
      </c>
      <c r="H91" s="24">
        <v>0.2103448275862069</v>
      </c>
      <c r="I91" s="24">
        <v>434.85245901639337</v>
      </c>
      <c r="J91" s="24">
        <v>22.005294506949038</v>
      </c>
      <c r="K91" s="24">
        <v>1.3170086035737925</v>
      </c>
      <c r="M91" s="24">
        <v>406.44230769230768</v>
      </c>
      <c r="N91" s="24">
        <v>12.359920896506262</v>
      </c>
      <c r="O91" s="24">
        <v>1.0217534607778513</v>
      </c>
    </row>
    <row r="92" spans="1:15" x14ac:dyDescent="0.25">
      <c r="B92" t="s">
        <v>49</v>
      </c>
      <c r="C92" s="24">
        <v>113.03394428571431</v>
      </c>
      <c r="D92" s="24">
        <v>0.15555555555555556</v>
      </c>
      <c r="E92" s="24">
        <v>9.5666666666666664</v>
      </c>
      <c r="F92" s="24">
        <v>0.40333333333333332</v>
      </c>
      <c r="G92" s="24">
        <v>5.4595395090000004E-3</v>
      </c>
      <c r="H92" s="24">
        <v>0.29489666616496313</v>
      </c>
      <c r="I92" s="24">
        <v>420.27522935779808</v>
      </c>
      <c r="J92" s="24">
        <v>24.983670803396471</v>
      </c>
      <c r="K92" s="24">
        <v>2.3775310254735471</v>
      </c>
      <c r="M92" s="24">
        <v>420.86816720257229</v>
      </c>
      <c r="N92" s="24">
        <v>14.774236387782203</v>
      </c>
      <c r="O92" s="24">
        <v>2.0385126162018592</v>
      </c>
    </row>
    <row r="93" spans="1:15" x14ac:dyDescent="0.25">
      <c r="B93" t="s">
        <v>52</v>
      </c>
      <c r="C93" s="24">
        <v>7.1753710000000002</v>
      </c>
      <c r="D93" s="24">
        <v>0.15369458128078817</v>
      </c>
      <c r="E93" s="24">
        <v>34.699999999999996</v>
      </c>
      <c r="F93" s="24">
        <v>0.27</v>
      </c>
      <c r="G93" s="24">
        <v>2.0148441768E-4</v>
      </c>
      <c r="H93" s="24">
        <v>7.7425342265306636</v>
      </c>
      <c r="I93" s="24">
        <v>271.82080924855495</v>
      </c>
      <c r="J93" s="24">
        <v>25.43218085106383</v>
      </c>
      <c r="K93" s="24">
        <v>1.030585106382979</v>
      </c>
      <c r="M93" s="24">
        <v>300.67741935483866</v>
      </c>
      <c r="N93" s="24">
        <v>21.9560878243513</v>
      </c>
      <c r="O93" s="24">
        <v>0.95808383233532968</v>
      </c>
    </row>
    <row r="94" spans="1:15" x14ac:dyDescent="0.25">
      <c r="B94" t="s">
        <v>51</v>
      </c>
      <c r="C94" s="24">
        <v>183.97887323943661</v>
      </c>
      <c r="D94" s="24">
        <v>0.19166526067150327</v>
      </c>
      <c r="E94" s="24">
        <v>36.800000000000004</v>
      </c>
      <c r="F94" s="24">
        <v>0.3066666666666667</v>
      </c>
      <c r="G94" s="24">
        <v>0.14629999999999999</v>
      </c>
      <c r="H94" s="24">
        <v>0.15529733424470268</v>
      </c>
      <c r="I94" s="24">
        <v>226.24999999999997</v>
      </c>
      <c r="J94" s="24">
        <v>10.621433100824346</v>
      </c>
      <c r="K94" s="24">
        <v>0.60875079264426124</v>
      </c>
      <c r="M94" s="24">
        <v>327.04918032786878</v>
      </c>
      <c r="N94" s="24">
        <v>10.143979057591624</v>
      </c>
      <c r="O94" s="24">
        <v>0.79188481675392675</v>
      </c>
    </row>
    <row r="95" spans="1:15" x14ac:dyDescent="0.25">
      <c r="B95" t="s">
        <v>60</v>
      </c>
      <c r="C95" s="24">
        <v>10.690315836734696</v>
      </c>
      <c r="D95" s="24">
        <v>0.2560083594566353</v>
      </c>
      <c r="E95" s="24">
        <v>19.899999999999999</v>
      </c>
      <c r="F95" s="24">
        <v>0.26666666666666666</v>
      </c>
      <c r="G95" s="24">
        <v>7.595469402000001E-5</v>
      </c>
      <c r="H95" s="24">
        <v>3.2256070959286309</v>
      </c>
      <c r="I95" s="25">
        <f>AVERAGEA(I83,I109,I112)</f>
        <v>436.63189158840845</v>
      </c>
      <c r="J95" s="25">
        <f t="shared" ref="J95:K95" si="5">AVERAGEA(J83,J109,J112)</f>
        <v>22.32071596803431</v>
      </c>
      <c r="K95" s="25">
        <f t="shared" si="5"/>
        <v>2.7365729927322424</v>
      </c>
      <c r="L95" s="25"/>
      <c r="M95" s="24">
        <v>319.96845425867502</v>
      </c>
      <c r="N95" s="25">
        <v>0</v>
      </c>
      <c r="O95" s="25">
        <v>0</v>
      </c>
    </row>
    <row r="96" spans="1:15" x14ac:dyDescent="0.25">
      <c r="B96" t="s">
        <v>56</v>
      </c>
      <c r="C96" s="24">
        <v>26.322869955156953</v>
      </c>
      <c r="D96" s="24">
        <v>1.064439140811456</v>
      </c>
      <c r="E96" s="24">
        <v>42.266666666666666</v>
      </c>
      <c r="F96" s="24">
        <v>0.3833333333333333</v>
      </c>
      <c r="G96" s="24">
        <v>3.0524000000000006E-2</v>
      </c>
      <c r="H96" s="24">
        <v>1.4611453282662821</v>
      </c>
      <c r="I96" s="24">
        <v>290.29154518950429</v>
      </c>
      <c r="J96" s="24">
        <v>12.763241863433311</v>
      </c>
      <c r="K96" s="24">
        <v>0.65730695596681543</v>
      </c>
      <c r="M96" s="24">
        <v>399.15887850467294</v>
      </c>
      <c r="N96" s="24">
        <v>11.865524060646008</v>
      </c>
      <c r="O96" s="24">
        <v>0.96901779828609125</v>
      </c>
    </row>
    <row r="97" spans="1:15" x14ac:dyDescent="0.25">
      <c r="A97" t="s">
        <v>61</v>
      </c>
      <c r="B97" t="s">
        <v>60</v>
      </c>
      <c r="C97" s="24">
        <v>28.030465999999997</v>
      </c>
      <c r="D97" s="24">
        <v>9.8214285714285726E-2</v>
      </c>
      <c r="E97" s="24">
        <v>19.600000000000001</v>
      </c>
      <c r="F97" s="24">
        <v>0.29333333333333339</v>
      </c>
      <c r="G97" s="24">
        <v>6.9067068223999995E-4</v>
      </c>
      <c r="H97" s="24">
        <v>1.274123866306244</v>
      </c>
      <c r="I97" s="24">
        <v>315.48076923076923</v>
      </c>
      <c r="J97" s="24">
        <v>18.296632124352332</v>
      </c>
      <c r="K97" s="24">
        <v>0.85492227979274604</v>
      </c>
      <c r="M97" s="24">
        <v>348.57615894039731</v>
      </c>
      <c r="N97" s="24">
        <v>18.115942028985508</v>
      </c>
      <c r="O97" s="24">
        <v>0.94861660079051402</v>
      </c>
    </row>
    <row r="98" spans="1:15" x14ac:dyDescent="0.25">
      <c r="B98" t="s">
        <v>56</v>
      </c>
      <c r="C98" s="24">
        <v>267.68149882903981</v>
      </c>
      <c r="D98" s="24">
        <v>7.304139582620596E-2</v>
      </c>
      <c r="E98" s="24">
        <v>21.066666666666666</v>
      </c>
      <c r="F98" s="24">
        <v>0.19666666666666668</v>
      </c>
      <c r="G98" s="24">
        <v>5.4864000000000003E-2</v>
      </c>
      <c r="H98" s="24">
        <v>0.15565762613006709</v>
      </c>
      <c r="I98" s="24">
        <v>283.00813008130081</v>
      </c>
      <c r="J98" s="24">
        <v>30.091086532205594</v>
      </c>
      <c r="K98" s="24">
        <v>0.94339622641509457</v>
      </c>
      <c r="M98" s="24">
        <v>312.59615384615381</v>
      </c>
      <c r="N98" s="24">
        <v>27.467105263157897</v>
      </c>
      <c r="O98" s="24">
        <v>1.0657894736842108</v>
      </c>
    </row>
    <row r="99" spans="1:15" x14ac:dyDescent="0.25">
      <c r="B99" t="s">
        <v>52</v>
      </c>
      <c r="C99" s="24">
        <v>6.4271009897959184</v>
      </c>
      <c r="D99" s="24">
        <v>8.8687782805429854E-2</v>
      </c>
      <c r="E99" s="24">
        <v>27.033333333333331</v>
      </c>
      <c r="F99" s="24">
        <v>0.22</v>
      </c>
      <c r="G99" s="24">
        <v>4.1570489202000005E-4</v>
      </c>
      <c r="H99" s="24">
        <v>4.7148831722329163</v>
      </c>
      <c r="I99" s="24">
        <v>301.58774373259052</v>
      </c>
      <c r="J99" s="24">
        <v>15.225933202357565</v>
      </c>
      <c r="K99" s="24">
        <v>0.75965946299934517</v>
      </c>
      <c r="M99" s="24">
        <v>333.15789473684208</v>
      </c>
      <c r="N99" s="24">
        <v>14.356435643564353</v>
      </c>
      <c r="O99" s="24">
        <v>1.0759075907590763</v>
      </c>
    </row>
    <row r="100" spans="1:15" x14ac:dyDescent="0.25">
      <c r="A100" t="s">
        <v>62</v>
      </c>
      <c r="B100" t="s">
        <v>63</v>
      </c>
      <c r="C100" s="24">
        <v>181.08843537414967</v>
      </c>
      <c r="D100" s="24">
        <v>0.15813253012048192</v>
      </c>
      <c r="E100" s="24">
        <v>35.5</v>
      </c>
      <c r="F100" s="24">
        <v>0.17666666666666667</v>
      </c>
      <c r="G100" s="24">
        <v>5.0577999999999998E-2</v>
      </c>
      <c r="H100" s="24">
        <v>0.29064019929613666</v>
      </c>
      <c r="I100" s="24">
        <v>245.71065989847716</v>
      </c>
      <c r="J100" s="24">
        <v>18.627450980392151</v>
      </c>
      <c r="K100" s="24">
        <v>1.1503267973856213</v>
      </c>
      <c r="M100" s="24">
        <v>296.31736526946099</v>
      </c>
      <c r="N100" s="24">
        <v>16.534391534391535</v>
      </c>
      <c r="O100" s="24">
        <v>1.0449735449735451</v>
      </c>
    </row>
    <row r="101" spans="1:15" x14ac:dyDescent="0.25">
      <c r="B101" t="s">
        <v>52</v>
      </c>
      <c r="C101" s="24">
        <v>180.98765432098764</v>
      </c>
      <c r="D101" s="24">
        <v>0.12220881110440555</v>
      </c>
      <c r="E101" s="24">
        <v>31.566666666666663</v>
      </c>
      <c r="F101" s="24">
        <v>0.39999999999999997</v>
      </c>
      <c r="G101" s="24">
        <v>6.4748333333333338E-2</v>
      </c>
      <c r="H101" s="24">
        <v>0.10424978763932147</v>
      </c>
      <c r="I101" s="24">
        <v>297.71830985915494</v>
      </c>
      <c r="J101" s="24">
        <v>16.034031413612563</v>
      </c>
      <c r="K101" s="24">
        <v>0.92931937172774881</v>
      </c>
      <c r="M101" s="24">
        <v>384.45544554455438</v>
      </c>
      <c r="N101" s="24">
        <v>12.905360688285903</v>
      </c>
      <c r="O101" s="24">
        <v>1.0655195234943744</v>
      </c>
    </row>
    <row r="102" spans="1:15" x14ac:dyDescent="0.25">
      <c r="B102" t="s">
        <v>64</v>
      </c>
      <c r="C102" s="24">
        <v>147.57033248081839</v>
      </c>
      <c r="D102" s="24">
        <v>0.15293350717079532</v>
      </c>
      <c r="E102" s="24">
        <v>39.4</v>
      </c>
      <c r="F102" s="24">
        <v>0.48</v>
      </c>
      <c r="G102" s="24">
        <v>6.5777999999999989E-2</v>
      </c>
      <c r="H102" s="24">
        <v>0.17832710024628298</v>
      </c>
      <c r="I102" s="24">
        <v>299.91735537190078</v>
      </c>
      <c r="J102" s="24">
        <v>28.815706143128558</v>
      </c>
      <c r="K102" s="24">
        <v>1.1399620012666243</v>
      </c>
      <c r="M102" s="24">
        <v>306.78343949044586</v>
      </c>
      <c r="N102" s="24">
        <v>22.667107875579081</v>
      </c>
      <c r="O102" s="24">
        <v>0.84050297816015873</v>
      </c>
    </row>
    <row r="103" spans="1:15" x14ac:dyDescent="0.25">
      <c r="B103" t="s">
        <v>47</v>
      </c>
      <c r="C103" s="24">
        <v>6.2983739929328619</v>
      </c>
      <c r="D103" s="24">
        <v>0.29055441478439425</v>
      </c>
      <c r="E103" s="24">
        <v>18.099999999999998</v>
      </c>
      <c r="F103" s="24">
        <v>0.32333333333333331</v>
      </c>
      <c r="G103" s="24">
        <v>4.2778556160000001E-5</v>
      </c>
      <c r="H103" s="24">
        <v>6.6154640409443868</v>
      </c>
      <c r="I103" s="24">
        <v>439.51456310679617</v>
      </c>
      <c r="J103" s="24">
        <v>13.124604680581907</v>
      </c>
      <c r="K103" s="24">
        <v>1.3535736875395321</v>
      </c>
      <c r="M103" s="24">
        <v>420.49504950495032</v>
      </c>
      <c r="N103" s="24">
        <v>12.70096463022508</v>
      </c>
      <c r="O103" s="24">
        <v>1.2861736334405145</v>
      </c>
    </row>
    <row r="104" spans="1:15" x14ac:dyDescent="0.25">
      <c r="B104" t="s">
        <v>60</v>
      </c>
      <c r="C104" s="24">
        <v>10.165331333333333</v>
      </c>
      <c r="D104" s="24">
        <v>9.4619666048237475E-2</v>
      </c>
      <c r="E104" s="24">
        <v>37.733333333333327</v>
      </c>
      <c r="F104" s="24">
        <v>0.39666666666666667</v>
      </c>
      <c r="G104" s="24">
        <v>1.2442365551999999E-4</v>
      </c>
      <c r="H104" s="24">
        <v>4.0988990226060515</v>
      </c>
      <c r="I104" s="24">
        <v>276.99999999999994</v>
      </c>
      <c r="J104" s="24">
        <v>31.873792659368966</v>
      </c>
      <c r="K104" s="24">
        <v>1.5904700579523503</v>
      </c>
      <c r="M104" s="24">
        <v>337.83870967741933</v>
      </c>
      <c r="N104" s="24">
        <v>22.251308900523565</v>
      </c>
      <c r="O104" s="24">
        <v>1.6557591623036649</v>
      </c>
    </row>
    <row r="105" spans="1:15" x14ac:dyDescent="0.25">
      <c r="A105" t="s">
        <v>65</v>
      </c>
      <c r="B105" t="s">
        <v>66</v>
      </c>
      <c r="C105" s="24">
        <v>177.45358090185678</v>
      </c>
      <c r="D105" s="24">
        <v>0.2432258064516129</v>
      </c>
      <c r="E105" s="24">
        <v>39.733333333333334</v>
      </c>
      <c r="F105" s="24">
        <v>0.26</v>
      </c>
      <c r="G105" s="24">
        <v>1.5387000000000001E-2</v>
      </c>
      <c r="H105" s="24">
        <v>0.24501202313641382</v>
      </c>
      <c r="I105" s="24">
        <v>338.01724137931035</v>
      </c>
      <c r="J105" s="24">
        <v>8.558262014483212</v>
      </c>
      <c r="K105" s="24">
        <v>1.1520737327188941</v>
      </c>
      <c r="M105" s="24">
        <v>376.59375</v>
      </c>
      <c r="N105" s="24">
        <v>6.0182173064411195</v>
      </c>
      <c r="O105" s="24">
        <v>1.5484710474951202</v>
      </c>
    </row>
    <row r="106" spans="1:15" x14ac:dyDescent="0.25">
      <c r="B106" t="s">
        <v>55</v>
      </c>
      <c r="C106" s="24">
        <v>211</v>
      </c>
      <c r="D106" s="24">
        <v>0.20408163265306123</v>
      </c>
      <c r="E106" s="24">
        <v>34.133333333333333</v>
      </c>
      <c r="F106" s="24">
        <v>0.38999999999999996</v>
      </c>
      <c r="G106" s="24">
        <v>0.10001400000000001</v>
      </c>
      <c r="H106" s="24">
        <v>5.999160117583538E-2</v>
      </c>
      <c r="I106" s="24">
        <v>241.42458100558659</v>
      </c>
      <c r="J106" s="24">
        <v>24.654832347140037</v>
      </c>
      <c r="K106" s="24">
        <v>1.4727153188691653</v>
      </c>
      <c r="M106" s="24">
        <v>292.1943573667711</v>
      </c>
      <c r="N106" s="24">
        <v>18.40894148586456</v>
      </c>
      <c r="O106" s="24">
        <v>1.591058514135437</v>
      </c>
    </row>
    <row r="107" spans="1:15" x14ac:dyDescent="0.25">
      <c r="B107" t="s">
        <v>45</v>
      </c>
      <c r="C107" s="24">
        <v>0.26586022057460612</v>
      </c>
      <c r="D107" s="24">
        <v>0.46933449325793819</v>
      </c>
      <c r="E107" s="24">
        <v>44.1</v>
      </c>
      <c r="F107" s="24">
        <v>0.10333333333333333</v>
      </c>
      <c r="G107" s="24">
        <v>4.589810848E-5</v>
      </c>
      <c r="H107" s="24">
        <v>470.17188103521602</v>
      </c>
      <c r="I107" s="24">
        <v>422.24755700325727</v>
      </c>
      <c r="J107" s="24">
        <v>26.690981432360747</v>
      </c>
      <c r="K107" s="24">
        <v>3.1962864721485404</v>
      </c>
      <c r="M107" s="24">
        <v>425.4790419161676</v>
      </c>
      <c r="N107" s="24">
        <v>17.480211081794195</v>
      </c>
      <c r="O107" s="24">
        <v>2.3812664907651713</v>
      </c>
    </row>
    <row r="108" spans="1:15" x14ac:dyDescent="0.25">
      <c r="B108" t="s">
        <v>51</v>
      </c>
      <c r="C108" s="24">
        <v>163.02454473475854</v>
      </c>
      <c r="D108" s="24">
        <v>0.14679218967921895</v>
      </c>
      <c r="E108" s="25">
        <f>AVERAGEA(E94,E88,E80)</f>
        <v>39.6</v>
      </c>
      <c r="F108" s="24">
        <v>0.14333333333333334</v>
      </c>
      <c r="G108" s="24">
        <v>6.1770000000000005E-2</v>
      </c>
      <c r="H108" s="24">
        <v>0.40893637688198148</v>
      </c>
      <c r="I108" s="24">
        <v>446.67567567567568</v>
      </c>
      <c r="J108" s="24">
        <v>12.48378728923476</v>
      </c>
      <c r="K108" s="24">
        <v>1.7055771725032427</v>
      </c>
      <c r="M108" s="24">
        <v>428.8596491228069</v>
      </c>
      <c r="N108" s="24">
        <v>11.631716906946263</v>
      </c>
      <c r="O108" s="24">
        <v>1.5137614678899087</v>
      </c>
    </row>
    <row r="109" spans="1:15" x14ac:dyDescent="0.25">
      <c r="B109" t="s">
        <v>60</v>
      </c>
      <c r="C109" s="24">
        <v>135.83266823076923</v>
      </c>
      <c r="D109" s="24">
        <v>6.7010309278350499E-2</v>
      </c>
      <c r="E109" s="24">
        <v>44.933333333333337</v>
      </c>
      <c r="F109" s="24">
        <v>0.76333333333333331</v>
      </c>
      <c r="G109" s="24">
        <v>2.8253194991999997E-3</v>
      </c>
      <c r="H109" s="24">
        <v>9.2024990474040197E-2</v>
      </c>
      <c r="I109" s="24">
        <v>416.97547683923693</v>
      </c>
      <c r="J109" s="24">
        <v>25.839793281653748</v>
      </c>
      <c r="K109" s="24">
        <v>2.913436692506461</v>
      </c>
      <c r="M109" s="24">
        <v>409.73684210526307</v>
      </c>
      <c r="N109" s="24">
        <v>15.831134564643799</v>
      </c>
      <c r="O109" s="24">
        <v>2.1240105540897094</v>
      </c>
    </row>
    <row r="110" spans="1:15" x14ac:dyDescent="0.25">
      <c r="A110" t="s">
        <v>67</v>
      </c>
      <c r="B110" t="s">
        <v>51</v>
      </c>
      <c r="C110" s="24">
        <v>174.93627867459645</v>
      </c>
      <c r="D110" s="24">
        <v>0.15222452146921883</v>
      </c>
      <c r="E110" s="24">
        <v>46.566666666666663</v>
      </c>
      <c r="F110" s="24">
        <v>0.17333333333333334</v>
      </c>
      <c r="G110" s="24">
        <v>6.1770000000000005E-2</v>
      </c>
      <c r="H110" s="24">
        <v>0.38109114456856075</v>
      </c>
      <c r="I110" s="24">
        <v>457.45810055865923</v>
      </c>
      <c r="J110" s="24">
        <v>21.7741935483871</v>
      </c>
      <c r="K110" s="24">
        <v>2.6064516129032262</v>
      </c>
      <c r="M110" s="24">
        <v>441.97568389057744</v>
      </c>
      <c r="N110" s="24">
        <v>17.750497677504978</v>
      </c>
      <c r="O110" s="24">
        <v>1.9508958195089585</v>
      </c>
    </row>
    <row r="111" spans="1:15" x14ac:dyDescent="0.25">
      <c r="B111" t="s">
        <v>46</v>
      </c>
      <c r="C111" s="24">
        <v>107.39242963442251</v>
      </c>
      <c r="D111" s="24">
        <v>0.37133589620374818</v>
      </c>
      <c r="E111" s="24">
        <v>53.566666666666663</v>
      </c>
      <c r="F111" s="24">
        <v>0.24</v>
      </c>
      <c r="G111" s="24">
        <v>0.33194999999999997</v>
      </c>
      <c r="H111" s="24">
        <v>0.37246573279108303</v>
      </c>
      <c r="I111" s="24">
        <v>241.44475920679889</v>
      </c>
      <c r="J111" s="24">
        <v>20.33036848792884</v>
      </c>
      <c r="K111" s="24">
        <v>2.7827191867852608</v>
      </c>
      <c r="M111" s="24">
        <v>283.82530120481931</v>
      </c>
      <c r="N111" s="24">
        <v>13.31360946745562</v>
      </c>
      <c r="O111" s="24">
        <v>1.3346482577251806</v>
      </c>
    </row>
    <row r="112" spans="1:15" x14ac:dyDescent="0.25">
      <c r="B112" t="s">
        <v>60</v>
      </c>
      <c r="C112" s="24">
        <v>1358.2090143396226</v>
      </c>
      <c r="D112" s="24">
        <v>0.11310285958173283</v>
      </c>
      <c r="E112" s="24">
        <v>13.066666666666668</v>
      </c>
      <c r="F112" s="24">
        <v>0.43333333333333335</v>
      </c>
      <c r="G112" s="24">
        <v>6.658619692800001E-2</v>
      </c>
      <c r="H112" s="24">
        <v>1.9899019032919529E-2</v>
      </c>
      <c r="I112" s="24">
        <v>438.42975206611573</v>
      </c>
      <c r="J112" s="24">
        <v>23.311897106109317</v>
      </c>
      <c r="K112" s="24">
        <v>3.0675241157556266</v>
      </c>
      <c r="M112" s="24">
        <v>427.61755485893417</v>
      </c>
      <c r="N112" s="24">
        <v>19.293655984303467</v>
      </c>
      <c r="O112" s="24">
        <v>1.9424460431654675</v>
      </c>
    </row>
    <row r="113" spans="1:17" x14ac:dyDescent="0.25">
      <c r="B113" t="s">
        <v>44</v>
      </c>
      <c r="C113" s="24">
        <v>2.9833035911602206</v>
      </c>
      <c r="D113" s="24">
        <v>0.17858904785397139</v>
      </c>
      <c r="E113" s="24">
        <v>20.3</v>
      </c>
      <c r="F113" s="24">
        <v>0.23333333333333331</v>
      </c>
      <c r="G113" s="24">
        <v>1.83592503E-4</v>
      </c>
      <c r="H113" s="24">
        <v>9.8587903668375834</v>
      </c>
      <c r="I113" s="24">
        <v>251.62601626016257</v>
      </c>
      <c r="J113" s="24">
        <v>15.615041427660927</v>
      </c>
      <c r="K113" s="24">
        <v>3.1485022307202035</v>
      </c>
      <c r="M113" s="24">
        <v>316.75078864353316</v>
      </c>
      <c r="N113" s="24">
        <v>10.905485789821547</v>
      </c>
      <c r="O113" s="24">
        <v>1.9431592861863853</v>
      </c>
    </row>
    <row r="114" spans="1:17" x14ac:dyDescent="0.25">
      <c r="A114" t="s">
        <v>68</v>
      </c>
      <c r="B114" t="s">
        <v>51</v>
      </c>
      <c r="C114" s="24">
        <v>188.19063686208349</v>
      </c>
      <c r="D114" s="24">
        <v>0.15561827251247048</v>
      </c>
      <c r="E114" s="24">
        <v>45.9</v>
      </c>
      <c r="F114" s="24">
        <v>0.25</v>
      </c>
      <c r="G114" s="24">
        <v>0.23202400000000001</v>
      </c>
      <c r="H114" s="24">
        <v>0.20437540944040272</v>
      </c>
      <c r="I114" s="24">
        <v>314.15624999999989</v>
      </c>
      <c r="J114" s="24">
        <v>19.801980198019802</v>
      </c>
      <c r="K114" s="24">
        <v>2.7392739273927398</v>
      </c>
      <c r="M114" s="24">
        <v>332.70096463022514</v>
      </c>
      <c r="N114" s="24">
        <v>14.423076923076922</v>
      </c>
      <c r="O114" s="24">
        <v>1.4854111405835546</v>
      </c>
    </row>
    <row r="115" spans="1:17" x14ac:dyDescent="0.25">
      <c r="B115" t="s">
        <v>52</v>
      </c>
      <c r="C115" s="24">
        <v>256.33802816901408</v>
      </c>
      <c r="D115" s="24">
        <v>0.15681943677526228</v>
      </c>
      <c r="E115" s="24">
        <v>9.5333333333333332</v>
      </c>
      <c r="F115" s="24">
        <v>0.25333333333333335</v>
      </c>
      <c r="G115" s="24">
        <v>2.4024E-2</v>
      </c>
      <c r="H115" s="24">
        <v>0.11821511821511822</v>
      </c>
      <c r="I115" s="24">
        <v>428.89196675900274</v>
      </c>
      <c r="J115" s="24">
        <v>20.901909150757078</v>
      </c>
      <c r="K115" s="24">
        <v>2.3304805793285062</v>
      </c>
      <c r="M115" s="24">
        <v>386.60714285714283</v>
      </c>
      <c r="N115" s="24">
        <v>10.985352862849533</v>
      </c>
      <c r="O115" s="24">
        <v>0.99201065246338227</v>
      </c>
    </row>
    <row r="116" spans="1:17" x14ac:dyDescent="0.25">
      <c r="B116" t="s">
        <v>45</v>
      </c>
      <c r="C116" s="24">
        <v>4.5765750265674816E-2</v>
      </c>
      <c r="D116" s="24">
        <v>0.51169113648722131</v>
      </c>
      <c r="E116" s="24">
        <v>11.700000000000001</v>
      </c>
      <c r="F116" s="24">
        <v>0.15666666666666668</v>
      </c>
      <c r="G116" s="24">
        <v>5.1678685200000003E-6</v>
      </c>
      <c r="H116" s="24">
        <v>3641.7335168581262</v>
      </c>
      <c r="I116" s="24">
        <v>361.28289473684214</v>
      </c>
      <c r="J116" s="24">
        <v>16.861219195849547</v>
      </c>
      <c r="K116" s="24">
        <v>2.2373540856031129</v>
      </c>
      <c r="M116" s="24">
        <v>281.68831168831161</v>
      </c>
      <c r="N116" s="24">
        <v>9.4747340425531874</v>
      </c>
      <c r="O116" s="24">
        <v>0.9375</v>
      </c>
    </row>
    <row r="117" spans="1:17" x14ac:dyDescent="0.25">
      <c r="B117" t="s">
        <v>47</v>
      </c>
      <c r="C117" s="24">
        <v>4.5088481111111118</v>
      </c>
      <c r="D117" s="24">
        <v>0.28301886792452824</v>
      </c>
      <c r="E117" s="24">
        <v>11.9</v>
      </c>
      <c r="F117" s="24">
        <v>0.26333333333333331</v>
      </c>
      <c r="G117" s="24">
        <v>1.1362297240000002E-5</v>
      </c>
      <c r="H117" s="24">
        <v>15.841866851214318</v>
      </c>
      <c r="I117" s="24">
        <v>455.64814814814815</v>
      </c>
      <c r="J117" s="24">
        <v>11.400651465798042</v>
      </c>
      <c r="K117" s="24">
        <v>1.9869706840390879</v>
      </c>
      <c r="M117" s="24">
        <v>397.78481012658227</v>
      </c>
      <c r="N117" s="24">
        <v>10.085978835978837</v>
      </c>
      <c r="O117" s="24">
        <v>0.95899470899470918</v>
      </c>
    </row>
    <row r="118" spans="1:17" x14ac:dyDescent="0.25">
      <c r="A118" t="s">
        <v>147</v>
      </c>
      <c r="B118" t="s">
        <v>63</v>
      </c>
      <c r="C118" s="24">
        <v>190.34267912772586</v>
      </c>
      <c r="D118" s="24">
        <v>9.9043505091021278E-2</v>
      </c>
      <c r="E118" s="24">
        <v>29.133333333333336</v>
      </c>
      <c r="F118" s="24">
        <v>0.18333333333333335</v>
      </c>
      <c r="G118" s="24">
        <v>2.0774000000000001E-2</v>
      </c>
      <c r="H118" s="24">
        <v>0.30904014633676707</v>
      </c>
      <c r="I118" s="24">
        <v>394.03846153846155</v>
      </c>
      <c r="J118" s="24">
        <v>15.249837767683324</v>
      </c>
      <c r="K118" s="24">
        <v>2.36859182349124</v>
      </c>
      <c r="M118" s="24">
        <v>400.66869300911861</v>
      </c>
      <c r="N118" s="24">
        <v>13.262599469496022</v>
      </c>
      <c r="O118" s="24">
        <v>1.9827586206896552</v>
      </c>
    </row>
    <row r="119" spans="1:17" x14ac:dyDescent="0.25">
      <c r="B119" t="s">
        <v>177</v>
      </c>
      <c r="C119" s="24">
        <v>138.00604229607251</v>
      </c>
      <c r="D119" s="24">
        <v>0.12582680757241699</v>
      </c>
      <c r="E119" s="24">
        <v>23.8</v>
      </c>
      <c r="F119" s="24">
        <v>0.6333333333333333</v>
      </c>
      <c r="G119" s="24">
        <v>0.19642400000000002</v>
      </c>
      <c r="H119" s="24">
        <v>0.16851301266647661</v>
      </c>
      <c r="I119" s="24">
        <v>272.19745222929936</v>
      </c>
      <c r="J119" s="24">
        <v>14.898493778650948</v>
      </c>
      <c r="K119" s="24">
        <v>1.9253438113948924</v>
      </c>
      <c r="M119" s="24">
        <v>324.20749279538904</v>
      </c>
      <c r="N119" s="24">
        <v>11.794019933554816</v>
      </c>
      <c r="O119" s="24">
        <v>1.0564784053156149</v>
      </c>
    </row>
    <row r="120" spans="1:17" x14ac:dyDescent="0.25">
      <c r="B120" t="s">
        <v>178</v>
      </c>
      <c r="C120" s="24">
        <v>170.7070707070707</v>
      </c>
      <c r="D120" s="24">
        <v>0.2109375</v>
      </c>
      <c r="E120" s="24">
        <v>21.666666666666668</v>
      </c>
      <c r="F120" s="24">
        <v>0.10666666666666667</v>
      </c>
      <c r="G120" s="24">
        <v>1.8251999999999997E-2</v>
      </c>
      <c r="H120" s="24">
        <v>0.32544378698224857</v>
      </c>
      <c r="I120" s="24">
        <v>364.7727272727272</v>
      </c>
      <c r="J120" s="24">
        <v>22.891963109354407</v>
      </c>
      <c r="K120" s="24">
        <v>5.0592885375494063</v>
      </c>
      <c r="M120" s="24">
        <v>349.52380952380958</v>
      </c>
      <c r="N120" s="24">
        <v>21.12441783100466</v>
      </c>
      <c r="O120" s="24">
        <v>4.8968729208250164</v>
      </c>
    </row>
    <row r="121" spans="1:17" x14ac:dyDescent="0.25">
      <c r="B121" t="s">
        <v>60</v>
      </c>
      <c r="C121" s="24">
        <v>122.43624066666663</v>
      </c>
      <c r="D121" s="24">
        <v>7.0754716981132088E-2</v>
      </c>
      <c r="E121" s="24">
        <v>54.466666666666669</v>
      </c>
      <c r="F121" s="24">
        <v>0.77999999999999992</v>
      </c>
      <c r="G121" s="24">
        <v>1.4141385796999999E-3</v>
      </c>
      <c r="H121" s="24">
        <v>0.10607164117665294</v>
      </c>
      <c r="I121" s="24">
        <v>431.69761273209559</v>
      </c>
      <c r="J121" s="24">
        <v>14.454664914586068</v>
      </c>
      <c r="K121" s="24">
        <v>2.3324572930354797</v>
      </c>
      <c r="M121" s="24">
        <v>430.7999999999999</v>
      </c>
      <c r="N121" s="24">
        <v>13.815789473684209</v>
      </c>
      <c r="O121" s="24">
        <v>2.1184210526315788</v>
      </c>
    </row>
    <row r="122" spans="1:17" x14ac:dyDescent="0.25">
      <c r="B122" t="s">
        <v>45</v>
      </c>
      <c r="C122" s="24">
        <v>4.727617995610827E-2</v>
      </c>
      <c r="D122" s="24">
        <v>0.50517368810051733</v>
      </c>
      <c r="E122" s="24">
        <v>51.9</v>
      </c>
      <c r="F122" s="24">
        <v>0.27</v>
      </c>
      <c r="G122" s="24">
        <v>3.8775922799999995E-5</v>
      </c>
      <c r="H122" s="24">
        <v>705.07670806483031</v>
      </c>
      <c r="I122" s="24">
        <v>406.20178041543028</v>
      </c>
      <c r="J122" s="24">
        <v>18.548916611950098</v>
      </c>
      <c r="K122" s="24">
        <v>2.1536441234405781</v>
      </c>
      <c r="M122" s="24">
        <v>355.59633027522926</v>
      </c>
      <c r="N122" s="24">
        <v>16.478029294274297</v>
      </c>
      <c r="O122" s="24">
        <v>1.8575233022636486</v>
      </c>
    </row>
    <row r="123" spans="1:17" x14ac:dyDescent="0.25">
      <c r="A123" t="s">
        <v>148</v>
      </c>
      <c r="B123" t="s">
        <v>51</v>
      </c>
      <c r="C123" s="24">
        <v>205.44692737430171</v>
      </c>
      <c r="D123" s="24">
        <v>0.12794853466761971</v>
      </c>
      <c r="E123" s="24">
        <v>59.133333333333333</v>
      </c>
      <c r="F123" s="24">
        <v>0.33</v>
      </c>
      <c r="G123" s="24">
        <v>0.28243200000000002</v>
      </c>
      <c r="H123" s="24">
        <v>0.15210740992522093</v>
      </c>
      <c r="I123" s="24">
        <v>250.56818181818181</v>
      </c>
      <c r="J123" s="24">
        <v>15.796260477111538</v>
      </c>
      <c r="K123" s="24">
        <v>2.0438426821405544</v>
      </c>
      <c r="M123" s="24">
        <v>303.96039603960395</v>
      </c>
      <c r="N123" s="24">
        <v>11.097019657577675</v>
      </c>
      <c r="O123" s="24">
        <v>1.3696892834495877</v>
      </c>
    </row>
    <row r="124" spans="1:17" x14ac:dyDescent="0.25">
      <c r="B124" t="s">
        <v>178</v>
      </c>
      <c r="C124" s="24">
        <v>179.51318458417853</v>
      </c>
      <c r="D124" s="24">
        <v>0.20524562864279766</v>
      </c>
      <c r="E124" s="24">
        <v>57.833333333333336</v>
      </c>
      <c r="F124" s="24">
        <v>0.15666666666666668</v>
      </c>
      <c r="G124" s="24">
        <v>1.77E-2</v>
      </c>
      <c r="H124" s="24">
        <v>0.27853107344632766</v>
      </c>
      <c r="I124" s="24">
        <v>215.80110497237567</v>
      </c>
      <c r="J124" s="24">
        <v>19.888231426692965</v>
      </c>
      <c r="K124" s="24">
        <v>2.4720578566732412</v>
      </c>
      <c r="M124" s="24">
        <v>276.70807453416148</v>
      </c>
      <c r="N124" s="24">
        <v>14.072847682119205</v>
      </c>
      <c r="O124" s="24">
        <v>1.2582781456953642</v>
      </c>
    </row>
    <row r="125" spans="1:17" x14ac:dyDescent="0.25">
      <c r="B125" t="s">
        <v>66</v>
      </c>
      <c r="C125" s="24">
        <v>19.385474860335197</v>
      </c>
      <c r="D125" s="24">
        <v>0.25571428571428567</v>
      </c>
      <c r="E125" s="24">
        <v>23.233333333333334</v>
      </c>
      <c r="F125" s="24">
        <v>0.18666666666666668</v>
      </c>
      <c r="G125" s="24">
        <v>4.3953333333333336E-4</v>
      </c>
      <c r="H125" s="24">
        <v>2.7150007583800999</v>
      </c>
      <c r="I125" s="24">
        <v>390.94240837696339</v>
      </c>
      <c r="J125" s="24">
        <v>24.019607843137255</v>
      </c>
      <c r="K125" s="24">
        <v>2.5620915032679736</v>
      </c>
      <c r="M125" s="24">
        <v>373.39449541284398</v>
      </c>
      <c r="N125" s="24">
        <v>22.787757817697933</v>
      </c>
      <c r="O125" s="24">
        <v>3.0805056553559549</v>
      </c>
    </row>
    <row r="126" spans="1:17" x14ac:dyDescent="0.25">
      <c r="B126" t="s">
        <v>55</v>
      </c>
      <c r="C126" s="24">
        <v>206.54545454545453</v>
      </c>
      <c r="D126" s="24">
        <v>0.22195318805488295</v>
      </c>
      <c r="E126" s="24">
        <v>29.133333333333336</v>
      </c>
      <c r="F126" s="24">
        <v>0.39333333333333337</v>
      </c>
      <c r="G126" s="24">
        <v>7.9520000000000007E-3</v>
      </c>
      <c r="H126" s="24">
        <v>0.34582494969818911</v>
      </c>
      <c r="I126" s="24">
        <v>368.31683168316835</v>
      </c>
      <c r="J126" s="24">
        <v>19.368489583333329</v>
      </c>
      <c r="K126" s="24">
        <v>6.0026041666666679</v>
      </c>
      <c r="M126" s="24">
        <v>352.09003215434075</v>
      </c>
      <c r="N126" s="24">
        <v>18.886679920477132</v>
      </c>
      <c r="O126" s="24">
        <v>7.6474486414844272</v>
      </c>
    </row>
    <row r="127" spans="1:17" x14ac:dyDescent="0.25">
      <c r="B127" t="s">
        <v>45</v>
      </c>
      <c r="C127" s="24">
        <v>5.1477986962190345E-2</v>
      </c>
      <c r="D127" s="24">
        <v>0.51099267155229844</v>
      </c>
      <c r="E127" s="24">
        <v>63.033333333333331</v>
      </c>
      <c r="F127" s="24">
        <v>0.31</v>
      </c>
      <c r="G127" s="24">
        <v>3.1586892799999998E-5</v>
      </c>
      <c r="H127" s="24">
        <v>485.64447592641977</v>
      </c>
      <c r="I127" s="24">
        <v>426.22641509433959</v>
      </c>
      <c r="J127" s="24">
        <v>13.425016371971182</v>
      </c>
      <c r="K127" s="24">
        <v>2.730844793713163</v>
      </c>
      <c r="M127" s="24">
        <v>408.57142857142844</v>
      </c>
      <c r="N127" s="24">
        <v>11.778367617783676</v>
      </c>
      <c r="O127" s="24">
        <v>2.8002654280026547</v>
      </c>
    </row>
    <row r="128" spans="1:17" x14ac:dyDescent="0.25">
      <c r="A128" t="s">
        <v>149</v>
      </c>
      <c r="B128" t="s">
        <v>63</v>
      </c>
      <c r="C128" s="24">
        <v>184.45190156599554</v>
      </c>
      <c r="D128" s="24">
        <v>0.16105206269140696</v>
      </c>
      <c r="E128" s="25">
        <f>AVERAGEA(E131,E134,E118)</f>
        <v>36.81111111111111</v>
      </c>
      <c r="F128" s="25">
        <f>AVERAGEA(F131,F134,F118)</f>
        <v>0.26999999999999996</v>
      </c>
      <c r="G128" s="25">
        <f>AVERAGEA(G130,G134,G148)</f>
        <v>2.4569868252506667E-2</v>
      </c>
      <c r="H128" s="25">
        <f>AVERAGEA(H130,H134,H148)</f>
        <v>0.40808039955161202</v>
      </c>
      <c r="I128" s="24">
        <v>390.44776119402979</v>
      </c>
      <c r="J128" s="24">
        <v>24.287564766839377</v>
      </c>
      <c r="K128" s="24">
        <v>3.426165803108808</v>
      </c>
      <c r="M128" s="24">
        <v>394.85714285714289</v>
      </c>
      <c r="N128" s="24">
        <v>12.45019920318725</v>
      </c>
      <c r="O128" s="24">
        <v>2.0517928286852589</v>
      </c>
      <c r="P128" s="25"/>
      <c r="Q128" s="25"/>
    </row>
    <row r="129" spans="1:17" x14ac:dyDescent="0.25">
      <c r="B129" t="s">
        <v>187</v>
      </c>
      <c r="C129" s="24">
        <v>93.876404494382029</v>
      </c>
      <c r="D129" s="24">
        <v>0.2173647576016608</v>
      </c>
      <c r="E129" s="24">
        <v>11.633333333333333</v>
      </c>
      <c r="F129" s="24">
        <v>0.26999999999999996</v>
      </c>
      <c r="G129" s="24">
        <v>2.0052E-2</v>
      </c>
      <c r="H129" s="24">
        <v>0.88769200079792532</v>
      </c>
      <c r="I129" s="24">
        <v>403.76237623762381</v>
      </c>
      <c r="J129" s="24">
        <v>31.167108753315652</v>
      </c>
      <c r="K129" s="24">
        <v>4.2970822281167109</v>
      </c>
      <c r="M129" s="24">
        <v>409.81818181818176</v>
      </c>
      <c r="N129" s="24">
        <v>18.379960962914769</v>
      </c>
      <c r="O129" s="24">
        <v>2.5699414443721533</v>
      </c>
    </row>
    <row r="130" spans="1:17" x14ac:dyDescent="0.25">
      <c r="B130" t="s">
        <v>60</v>
      </c>
      <c r="C130" s="24">
        <v>43.885710454545453</v>
      </c>
      <c r="D130" s="24">
        <v>7.1197411003236247E-2</v>
      </c>
      <c r="E130" s="24">
        <v>31.3</v>
      </c>
      <c r="F130" s="24">
        <v>0.48333333333333334</v>
      </c>
      <c r="G130" s="24">
        <v>4.8660475752000003E-4</v>
      </c>
      <c r="H130" s="24">
        <v>0.5425347695848397</v>
      </c>
      <c r="I130" s="24">
        <v>357.78947368421058</v>
      </c>
      <c r="J130" s="24">
        <v>54.70779220779221</v>
      </c>
      <c r="K130" s="24">
        <v>1.7370129870129869</v>
      </c>
      <c r="M130" s="24">
        <v>384.27631578947376</v>
      </c>
      <c r="N130" s="24">
        <v>20.751633986928105</v>
      </c>
      <c r="O130" s="24">
        <v>1.9934640522875815</v>
      </c>
    </row>
    <row r="131" spans="1:17" x14ac:dyDescent="0.25">
      <c r="A131" t="s">
        <v>150</v>
      </c>
      <c r="B131" t="s">
        <v>63</v>
      </c>
      <c r="C131" s="24">
        <v>154.24403183023873</v>
      </c>
      <c r="D131" s="24">
        <v>0.13158813263525307</v>
      </c>
      <c r="E131" s="24">
        <v>40.4</v>
      </c>
      <c r="F131" s="24">
        <v>0.3833333333333333</v>
      </c>
      <c r="G131" s="24">
        <v>5.815E-2</v>
      </c>
      <c r="H131" s="24">
        <v>0.25932932072227</v>
      </c>
      <c r="I131" s="24">
        <v>221.89349112426038</v>
      </c>
      <c r="J131" s="24">
        <v>16.782773907536416</v>
      </c>
      <c r="K131" s="24">
        <v>1.2697910069664342</v>
      </c>
      <c r="M131" s="24">
        <v>248.98089171974527</v>
      </c>
      <c r="N131" s="24">
        <v>16.476552598225602</v>
      </c>
      <c r="O131" s="24">
        <v>1.7680608365019013</v>
      </c>
    </row>
    <row r="132" spans="1:17" x14ac:dyDescent="0.25">
      <c r="B132" t="s">
        <v>66</v>
      </c>
      <c r="C132" s="24">
        <v>361.39240506329116</v>
      </c>
      <c r="D132" s="24">
        <v>0.24382716049382719</v>
      </c>
      <c r="E132" s="24">
        <v>13.466666666666667</v>
      </c>
      <c r="F132" s="24">
        <v>0.13</v>
      </c>
      <c r="G132" s="24">
        <v>7.6133333333333348E-3</v>
      </c>
      <c r="H132" s="24">
        <v>0.27670753064798598</v>
      </c>
      <c r="I132" s="24">
        <v>368.25</v>
      </c>
      <c r="J132" s="24">
        <v>22.79924002533248</v>
      </c>
      <c r="K132" s="24">
        <v>1.9411019632678908</v>
      </c>
      <c r="M132" s="24">
        <v>379.75830815709969</v>
      </c>
      <c r="N132" s="24">
        <v>19.218025182239892</v>
      </c>
      <c r="O132" s="24">
        <v>2.292909211398277</v>
      </c>
    </row>
    <row r="133" spans="1:17" x14ac:dyDescent="0.25">
      <c r="B133" t="s">
        <v>45</v>
      </c>
      <c r="C133" s="24">
        <v>5.8817367088607596E-2</v>
      </c>
      <c r="D133" s="24">
        <v>0.5</v>
      </c>
      <c r="E133" s="24">
        <v>21.3</v>
      </c>
      <c r="F133" s="24">
        <v>0.13</v>
      </c>
      <c r="G133" s="24">
        <v>1.3010401600000002E-5</v>
      </c>
      <c r="H133" s="24">
        <v>1700.1781097979324</v>
      </c>
      <c r="I133" s="24">
        <v>392.32044198895034</v>
      </c>
      <c r="J133" s="24">
        <v>24.334847501622324</v>
      </c>
      <c r="K133" s="24">
        <v>2.4691758598312785</v>
      </c>
      <c r="M133" s="24">
        <v>378.95765472312695</v>
      </c>
      <c r="N133" s="24">
        <v>14.877102199223803</v>
      </c>
      <c r="O133" s="24">
        <v>2.1151358344113844</v>
      </c>
    </row>
    <row r="134" spans="1:17" x14ac:dyDescent="0.25">
      <c r="A134" t="s">
        <v>151</v>
      </c>
      <c r="B134" t="s">
        <v>63</v>
      </c>
      <c r="C134" s="24">
        <v>146.72304439746298</v>
      </c>
      <c r="D134" s="24">
        <v>7.177904800445141E-2</v>
      </c>
      <c r="E134" s="24">
        <v>40.9</v>
      </c>
      <c r="F134" s="24">
        <v>0.24333333333333332</v>
      </c>
      <c r="G134" s="24">
        <v>5.4132E-2</v>
      </c>
      <c r="H134" s="24">
        <v>0.26213699844823762</v>
      </c>
      <c r="I134" s="24">
        <v>250.28571428571433</v>
      </c>
      <c r="J134" s="24">
        <v>17.868852459016395</v>
      </c>
      <c r="K134" s="24">
        <v>2.0491803278688527</v>
      </c>
      <c r="M134" s="24">
        <v>291.5094339622641</v>
      </c>
      <c r="N134" s="24">
        <v>13.97919375812744</v>
      </c>
      <c r="O134" s="24">
        <v>2.1261378413524055</v>
      </c>
    </row>
    <row r="135" spans="1:17" x14ac:dyDescent="0.25">
      <c r="B135" t="s">
        <v>55</v>
      </c>
      <c r="C135" s="24">
        <v>172.4264705882353</v>
      </c>
      <c r="D135" s="24">
        <v>0.26433430515063167</v>
      </c>
      <c r="E135" s="24">
        <v>42.5</v>
      </c>
      <c r="F135" s="24">
        <v>0.28666666666666668</v>
      </c>
      <c r="G135" s="24">
        <v>2.4388E-2</v>
      </c>
      <c r="H135" s="24">
        <v>0.22306052156798423</v>
      </c>
      <c r="I135" s="24">
        <v>393.38709677419359</v>
      </c>
      <c r="J135" s="24">
        <v>23.229369720597788</v>
      </c>
      <c r="K135" s="24">
        <v>1.5756985055230668</v>
      </c>
      <c r="M135" s="24">
        <v>410.85714285714278</v>
      </c>
      <c r="N135" s="24">
        <v>14.647794601711652</v>
      </c>
      <c r="O135" s="24">
        <v>1.3759052007899935</v>
      </c>
    </row>
    <row r="136" spans="1:17" x14ac:dyDescent="0.25">
      <c r="B136" t="s">
        <v>52</v>
      </c>
      <c r="C136" s="24">
        <v>179.43661971830988</v>
      </c>
      <c r="D136" s="24">
        <v>0.19420131291028447</v>
      </c>
      <c r="E136" s="24">
        <v>22.033333333333331</v>
      </c>
      <c r="F136" s="24">
        <v>0.19333333333333333</v>
      </c>
      <c r="G136" s="24">
        <v>2.5480000000000004E-3</v>
      </c>
      <c r="H136" s="24">
        <v>0.69662480376766078</v>
      </c>
      <c r="I136" s="24">
        <v>268.13559322033893</v>
      </c>
      <c r="J136" s="24">
        <v>15.38965291421087</v>
      </c>
      <c r="K136" s="24">
        <v>1.6666666666666665</v>
      </c>
      <c r="M136" s="24">
        <v>333.01775147928998</v>
      </c>
      <c r="N136" s="24">
        <v>10.194174757281553</v>
      </c>
      <c r="O136" s="24">
        <v>1.7411003236245957</v>
      </c>
    </row>
    <row r="137" spans="1:17" x14ac:dyDescent="0.25">
      <c r="B137" t="s">
        <v>45</v>
      </c>
      <c r="C137" s="24">
        <v>3.8933564174894207E-2</v>
      </c>
      <c r="D137" s="24">
        <v>0.43126520681265212</v>
      </c>
      <c r="E137" s="24">
        <v>27.533333333333331</v>
      </c>
      <c r="F137" s="24">
        <v>0.21333333333333335</v>
      </c>
      <c r="G137" s="24">
        <v>8.281169099999998E-6</v>
      </c>
      <c r="H137" s="24">
        <v>1712.3186145299226</v>
      </c>
      <c r="I137" s="24">
        <v>395.66563467492256</v>
      </c>
      <c r="J137" s="24">
        <v>12.081185567010309</v>
      </c>
      <c r="K137" s="24">
        <v>0.68621134020618546</v>
      </c>
      <c r="M137" s="24">
        <v>410.99999999999994</v>
      </c>
      <c r="N137" s="24">
        <v>11.146496815286621</v>
      </c>
      <c r="O137" s="24">
        <v>0.82165605095541394</v>
      </c>
    </row>
    <row r="138" spans="1:17" x14ac:dyDescent="0.25">
      <c r="A138" t="s">
        <v>152</v>
      </c>
      <c r="B138" t="s">
        <v>188</v>
      </c>
      <c r="C138" s="24">
        <v>467.01030927835046</v>
      </c>
      <c r="D138" s="24">
        <v>0.20950323974082075</v>
      </c>
      <c r="E138" s="24">
        <v>40.9</v>
      </c>
      <c r="F138" s="24">
        <v>0.10666666666666667</v>
      </c>
      <c r="G138" s="24">
        <v>1.359E-3</v>
      </c>
      <c r="H138" s="24">
        <v>0.23792003924454258</v>
      </c>
      <c r="I138" s="24">
        <v>388.34355828220873</v>
      </c>
      <c r="J138" s="24">
        <v>25.53329023917259</v>
      </c>
      <c r="K138" s="24">
        <v>2.3303167420814477</v>
      </c>
      <c r="M138" s="24">
        <v>405.14285714285705</v>
      </c>
      <c r="N138" s="24">
        <v>16.343042071197409</v>
      </c>
      <c r="O138" s="24">
        <v>1.4822006472491911</v>
      </c>
    </row>
    <row r="139" spans="1:17" x14ac:dyDescent="0.25">
      <c r="B139" t="s">
        <v>190</v>
      </c>
      <c r="C139" s="24">
        <v>406.34920634920627</v>
      </c>
      <c r="D139" s="24">
        <v>0.1085738905644119</v>
      </c>
      <c r="E139" s="24">
        <v>23</v>
      </c>
      <c r="F139" s="24">
        <v>0.16333333333333333</v>
      </c>
      <c r="G139" s="24">
        <v>2.8248275862068966E-3</v>
      </c>
      <c r="H139" s="24">
        <v>0.15380859375</v>
      </c>
      <c r="I139" s="24">
        <v>393.55029585798826</v>
      </c>
      <c r="J139" s="24">
        <v>21.414665801427649</v>
      </c>
      <c r="K139" s="24">
        <v>1.6125892277741727</v>
      </c>
      <c r="M139" s="24">
        <v>390.67524115755623</v>
      </c>
      <c r="N139" s="24">
        <v>9.0460526315789451</v>
      </c>
      <c r="O139" s="24">
        <v>1.0328947368421053</v>
      </c>
    </row>
    <row r="140" spans="1:17" x14ac:dyDescent="0.25">
      <c r="B140" t="s">
        <v>176</v>
      </c>
      <c r="C140" s="24">
        <v>0.34714413849410336</v>
      </c>
      <c r="D140" s="24">
        <v>0.24860923169448204</v>
      </c>
      <c r="E140" s="24">
        <v>50.79999999999999</v>
      </c>
      <c r="F140" s="24">
        <v>0.22666666666666666</v>
      </c>
      <c r="G140" s="24">
        <v>5.7400283300000003E-4</v>
      </c>
      <c r="H140" s="24">
        <v>115.22591213413052</v>
      </c>
      <c r="I140" s="24">
        <v>374.57627118644075</v>
      </c>
      <c r="J140" s="24">
        <v>33.84207033842069</v>
      </c>
      <c r="K140" s="24">
        <v>3.725945587259456</v>
      </c>
      <c r="M140" s="25">
        <v>0</v>
      </c>
      <c r="N140" s="25">
        <v>0</v>
      </c>
      <c r="O140" s="25">
        <v>0</v>
      </c>
    </row>
    <row r="141" spans="1:17" x14ac:dyDescent="0.25">
      <c r="B141" t="s">
        <v>55</v>
      </c>
      <c r="C141" s="24">
        <v>196.44970414201185</v>
      </c>
      <c r="D141" s="24">
        <v>0.20215311004784689</v>
      </c>
      <c r="E141" s="24">
        <v>13.6</v>
      </c>
      <c r="F141" s="24">
        <v>0.14000000000000001</v>
      </c>
      <c r="G141" s="24">
        <v>9.9600000000000001E-3</v>
      </c>
      <c r="H141" s="24">
        <v>0.33935742971887545</v>
      </c>
      <c r="I141" s="24">
        <v>409.02857142857152</v>
      </c>
      <c r="J141" s="24">
        <v>38.10586734693878</v>
      </c>
      <c r="K141" s="24">
        <v>2.5542091836734699</v>
      </c>
      <c r="M141" s="24">
        <v>419.99999999999994</v>
      </c>
      <c r="N141" s="24">
        <v>21.668822768434673</v>
      </c>
      <c r="O141" s="24">
        <v>1.7335058214747741</v>
      </c>
    </row>
    <row r="142" spans="1:17" x14ac:dyDescent="0.25">
      <c r="B142" t="s">
        <v>45</v>
      </c>
      <c r="C142" s="24">
        <v>9.8650820840950629E-2</v>
      </c>
      <c r="D142" s="24">
        <v>0.36884693189480783</v>
      </c>
      <c r="E142" s="24">
        <v>40.93333333333333</v>
      </c>
      <c r="F142" s="24">
        <v>0.1466666666666667</v>
      </c>
      <c r="G142" s="24">
        <v>1.510935972E-5</v>
      </c>
      <c r="H142" s="24">
        <v>724.05450679150283</v>
      </c>
      <c r="I142" s="24">
        <v>387.66233766233768</v>
      </c>
      <c r="J142" s="24">
        <v>26.240458015267173</v>
      </c>
      <c r="K142" s="24">
        <v>1.2181933842239185</v>
      </c>
      <c r="M142" s="24">
        <v>412.42524916943523</v>
      </c>
      <c r="N142" s="24">
        <v>21.428571428571427</v>
      </c>
      <c r="O142" s="24">
        <v>1.383116883116883</v>
      </c>
    </row>
    <row r="143" spans="1:17" x14ac:dyDescent="0.25">
      <c r="B143" t="s">
        <v>215</v>
      </c>
      <c r="C143" s="24">
        <v>0.1846943945790028</v>
      </c>
      <c r="D143" s="24">
        <v>0.35253575233237561</v>
      </c>
      <c r="E143" s="25">
        <f>AVERAGEA(E21,E14,E183)</f>
        <v>20.183333333333334</v>
      </c>
      <c r="F143" s="25">
        <f t="shared" ref="F143:H143" si="6">AVERAGEA(F21,F14,F183)</f>
        <v>0.35333333333333333</v>
      </c>
      <c r="G143" s="25">
        <f t="shared" si="6"/>
        <v>2.0367825457366668E-2</v>
      </c>
      <c r="H143" s="25">
        <f t="shared" si="6"/>
        <v>30.060145919703032</v>
      </c>
      <c r="I143" s="25">
        <v>328.58934169278996</v>
      </c>
      <c r="J143" s="25">
        <v>33.116883116883109</v>
      </c>
      <c r="K143" s="25">
        <v>3.7272727272727275</v>
      </c>
      <c r="L143" s="25"/>
      <c r="M143" s="24">
        <v>328.58934169278996</v>
      </c>
      <c r="N143" s="24">
        <v>33.116883116883109</v>
      </c>
      <c r="O143" s="24">
        <v>3.7272727272727275</v>
      </c>
      <c r="P143" s="25"/>
      <c r="Q143" s="25"/>
    </row>
    <row r="144" spans="1:17" x14ac:dyDescent="0.25">
      <c r="B144" t="s">
        <v>189</v>
      </c>
      <c r="C144" s="24">
        <v>422.64150943396231</v>
      </c>
      <c r="D144" s="24">
        <v>0.19984917043740574</v>
      </c>
      <c r="E144" s="24">
        <v>23.833333333333332</v>
      </c>
      <c r="F144" s="24">
        <v>0.25666666666666671</v>
      </c>
      <c r="G144" s="24">
        <v>1.7920000000000002E-2</v>
      </c>
      <c r="H144" s="24">
        <v>0.14787946428571427</v>
      </c>
      <c r="I144" s="24">
        <v>398.68421052631589</v>
      </c>
      <c r="J144" s="24">
        <v>27.669902912621353</v>
      </c>
      <c r="K144" s="24">
        <v>2.5210355987055015</v>
      </c>
      <c r="M144" s="24">
        <v>402.2508038585209</v>
      </c>
      <c r="N144" s="24">
        <v>20.411495754408882</v>
      </c>
      <c r="O144" s="24">
        <v>1.7439581972566951</v>
      </c>
    </row>
    <row r="145" spans="1:17" x14ac:dyDescent="0.25">
      <c r="B145" t="s">
        <v>185</v>
      </c>
      <c r="C145" s="24">
        <v>132.61037955073587</v>
      </c>
      <c r="D145" s="24">
        <v>0.36438046852949474</v>
      </c>
      <c r="E145" s="24">
        <v>59.933333333333337</v>
      </c>
      <c r="F145" s="24">
        <v>0.20333333333333337</v>
      </c>
      <c r="G145" s="24">
        <v>3.0816E-2</v>
      </c>
      <c r="H145" s="24">
        <v>0.41893821391484942</v>
      </c>
      <c r="I145" s="25">
        <v>391.02167182662538</v>
      </c>
      <c r="J145" s="25">
        <v>19.801980198019802</v>
      </c>
      <c r="K145" s="25">
        <v>1.2343234323432344</v>
      </c>
      <c r="L145" s="25"/>
      <c r="M145" s="24">
        <v>391.02167182662538</v>
      </c>
      <c r="N145" s="24">
        <v>19.801980198019802</v>
      </c>
      <c r="O145" s="24">
        <v>1.2343234323432344</v>
      </c>
    </row>
    <row r="146" spans="1:17" x14ac:dyDescent="0.25">
      <c r="A146" t="s">
        <v>153</v>
      </c>
      <c r="B146" t="s">
        <v>60</v>
      </c>
      <c r="C146" s="24">
        <v>43.881309696969687</v>
      </c>
      <c r="D146" s="24">
        <v>8.305369127516779E-2</v>
      </c>
      <c r="E146" s="24">
        <v>18.333333333333332</v>
      </c>
      <c r="F146" s="24">
        <v>0.52333333333333332</v>
      </c>
      <c r="G146" s="24">
        <v>1.1946686564999998E-3</v>
      </c>
      <c r="H146" s="24">
        <v>0.41434082773226255</v>
      </c>
      <c r="I146" s="24">
        <v>309.52380952380958</v>
      </c>
      <c r="J146" s="24">
        <v>22.756617172369264</v>
      </c>
      <c r="K146" s="24">
        <v>1.236281471917366</v>
      </c>
      <c r="M146" s="24">
        <v>319.6056338028169</v>
      </c>
      <c r="N146" s="24">
        <v>18.348623853211006</v>
      </c>
      <c r="O146" s="24">
        <v>1.4547837483617301</v>
      </c>
    </row>
    <row r="147" spans="1:17" x14ac:dyDescent="0.25">
      <c r="B147" t="s">
        <v>185</v>
      </c>
      <c r="C147" s="24">
        <v>121.81580666231218</v>
      </c>
      <c r="D147" s="24">
        <v>0.33715040739925128</v>
      </c>
      <c r="E147" s="24">
        <v>55.4</v>
      </c>
      <c r="F147" s="24">
        <v>0.25333333333333335</v>
      </c>
      <c r="G147" s="24">
        <v>2.8596666666666666E-2</v>
      </c>
      <c r="H147" s="24">
        <v>0.35691805571744961</v>
      </c>
      <c r="I147" s="24">
        <v>251.90217391304355</v>
      </c>
      <c r="J147" s="24">
        <v>26.881720430107528</v>
      </c>
      <c r="K147" s="24">
        <v>1.7868437697659707</v>
      </c>
      <c r="M147" s="24">
        <v>277.52265861027206</v>
      </c>
      <c r="N147" s="24">
        <v>16.441005802707927</v>
      </c>
      <c r="O147" s="24">
        <v>1.7472598323662152</v>
      </c>
    </row>
    <row r="148" spans="1:17" x14ac:dyDescent="0.25">
      <c r="B148" t="s">
        <v>63</v>
      </c>
      <c r="C148" s="24">
        <v>140.19975031210987</v>
      </c>
      <c r="D148" s="24">
        <v>0.1462212486308872</v>
      </c>
      <c r="E148" s="24">
        <v>66.333333333333329</v>
      </c>
      <c r="F148" s="24">
        <v>0.1566666666666667</v>
      </c>
      <c r="G148" s="24">
        <v>1.9091000000000004E-2</v>
      </c>
      <c r="H148" s="24">
        <v>0.41956943062175883</v>
      </c>
      <c r="I148" s="24">
        <v>395.41935483870975</v>
      </c>
      <c r="J148" s="24">
        <v>30.416395575797008</v>
      </c>
      <c r="K148" s="24">
        <v>1.1483409238776838</v>
      </c>
      <c r="M148" s="24">
        <v>412.97002724795641</v>
      </c>
      <c r="N148" s="24">
        <v>21.9583604424203</v>
      </c>
      <c r="O148" s="24">
        <v>1.1125569290826287</v>
      </c>
    </row>
    <row r="149" spans="1:17" x14ac:dyDescent="0.25">
      <c r="A149" t="s">
        <v>154</v>
      </c>
      <c r="B149" t="s">
        <v>66</v>
      </c>
      <c r="C149" s="24">
        <v>185.78199052132703</v>
      </c>
      <c r="D149" s="24">
        <v>0.25421686746987948</v>
      </c>
      <c r="E149" s="24">
        <v>38.6</v>
      </c>
      <c r="F149" s="24">
        <v>0.20999999999999996</v>
      </c>
      <c r="G149" s="24">
        <v>3.5279999999999999E-3</v>
      </c>
      <c r="H149" s="24">
        <v>0.29903628117913833</v>
      </c>
      <c r="I149" s="24">
        <v>421.59468438538215</v>
      </c>
      <c r="J149" s="24">
        <v>17.007926023778069</v>
      </c>
      <c r="K149" s="24">
        <v>1.2978863936591811</v>
      </c>
      <c r="M149" s="24">
        <v>433.40425531914894</v>
      </c>
      <c r="N149" s="24">
        <v>14.221073044602454</v>
      </c>
      <c r="O149" s="24">
        <v>1.3380736910148676</v>
      </c>
    </row>
    <row r="150" spans="1:17" x14ac:dyDescent="0.25">
      <c r="B150" t="s">
        <v>216</v>
      </c>
      <c r="C150" s="24">
        <v>216.09756097560975</v>
      </c>
      <c r="D150" s="24">
        <v>0.24521531100478469</v>
      </c>
      <c r="E150" s="24">
        <v>5.2333333333333334</v>
      </c>
      <c r="F150" s="24">
        <v>0.20666666666666667</v>
      </c>
      <c r="G150" s="24">
        <v>7.3833333333333338E-3</v>
      </c>
      <c r="H150" s="24">
        <v>0.18510158013544017</v>
      </c>
      <c r="I150" s="24">
        <v>409.68152866242042</v>
      </c>
      <c r="J150" s="24">
        <v>37.723362011912634</v>
      </c>
      <c r="K150" s="24">
        <v>1.6810059563203175</v>
      </c>
      <c r="M150" s="24">
        <v>416.89969604863222</v>
      </c>
      <c r="N150" s="24">
        <v>17.639512508017962</v>
      </c>
      <c r="O150" s="24">
        <v>1.481719050673509</v>
      </c>
    </row>
    <row r="151" spans="1:17" x14ac:dyDescent="0.25">
      <c r="B151" t="s">
        <v>217</v>
      </c>
      <c r="C151" s="24">
        <v>105.77544426494346</v>
      </c>
      <c r="D151" s="24">
        <v>0.34422355067426658</v>
      </c>
      <c r="E151" s="24">
        <v>57.033333333333331</v>
      </c>
      <c r="F151" s="24">
        <v>0.24666666666666667</v>
      </c>
      <c r="G151" s="24">
        <v>7.5950999999999991E-2</v>
      </c>
      <c r="H151" s="24">
        <v>0.32599965767402667</v>
      </c>
      <c r="I151" s="24">
        <v>398.67109634551502</v>
      </c>
      <c r="J151" s="24">
        <v>35.245901639344268</v>
      </c>
      <c r="K151" s="24">
        <v>1.2459016393442623</v>
      </c>
      <c r="M151" s="24">
        <v>382.99065420560765</v>
      </c>
      <c r="N151" s="24">
        <v>19.205729166666668</v>
      </c>
      <c r="O151" s="24">
        <v>1.588541666666667</v>
      </c>
    </row>
    <row r="152" spans="1:17" x14ac:dyDescent="0.25">
      <c r="B152" t="s">
        <v>191</v>
      </c>
      <c r="C152" s="24">
        <v>85.065208245687842</v>
      </c>
      <c r="D152" s="24">
        <v>0.25222835314091679</v>
      </c>
      <c r="E152" s="24">
        <v>65.033333333333346</v>
      </c>
      <c r="F152" s="24">
        <v>0.34333333333333332</v>
      </c>
      <c r="G152" s="24">
        <v>0.13749600000000001</v>
      </c>
      <c r="H152" s="24">
        <v>0.34575551288764761</v>
      </c>
      <c r="I152" s="24">
        <v>416.2376237623763</v>
      </c>
      <c r="J152" s="24">
        <v>21.311475409836063</v>
      </c>
      <c r="K152" s="24">
        <v>0.31475409836065571</v>
      </c>
      <c r="M152" s="24">
        <v>393.6315789473685</v>
      </c>
      <c r="N152" s="24">
        <v>16.304347826086953</v>
      </c>
      <c r="O152" s="24">
        <v>1.502557544757033</v>
      </c>
    </row>
    <row r="153" spans="1:17" x14ac:dyDescent="0.25">
      <c r="B153" t="s">
        <v>192</v>
      </c>
      <c r="C153" s="24">
        <v>1.7612288288288286E-2</v>
      </c>
      <c r="D153" s="24">
        <v>0.17182662538699689</v>
      </c>
      <c r="E153" s="24">
        <v>9.2000000000000011</v>
      </c>
      <c r="F153" s="24">
        <v>0.21</v>
      </c>
      <c r="G153" s="24">
        <v>5.6693955999999996E-6</v>
      </c>
      <c r="H153" s="24">
        <v>1957.8806601536153</v>
      </c>
      <c r="I153" s="24">
        <v>406.34615384615392</v>
      </c>
      <c r="J153" s="24">
        <v>26.010603048376407</v>
      </c>
      <c r="K153" s="24">
        <v>0.17229953611663362</v>
      </c>
      <c r="M153" s="24">
        <v>398.96103896103909</v>
      </c>
      <c r="N153" s="24">
        <v>20.631850419084461</v>
      </c>
      <c r="O153" s="24">
        <v>0.94132817537072866</v>
      </c>
    </row>
    <row r="154" spans="1:17" x14ac:dyDescent="0.25">
      <c r="B154" t="s">
        <v>45</v>
      </c>
      <c r="C154" s="24">
        <v>1.5896798403193614E-2</v>
      </c>
      <c r="D154" s="24">
        <v>0.44672313865358892</v>
      </c>
      <c r="E154" s="24">
        <v>24.233333333333334</v>
      </c>
      <c r="F154" s="24">
        <v>0.16</v>
      </c>
      <c r="G154" s="24">
        <v>5.4157212800000006E-6</v>
      </c>
      <c r="H154" s="24">
        <v>3700.3381385239968</v>
      </c>
      <c r="I154" s="25">
        <v>419.12280701754389</v>
      </c>
      <c r="J154" s="25">
        <v>15.228426395939087</v>
      </c>
      <c r="K154" s="25">
        <v>0.84390862944162437</v>
      </c>
      <c r="L154" s="25"/>
      <c r="M154" s="24">
        <v>419.12280701754389</v>
      </c>
      <c r="N154" s="24">
        <v>15.228426395939087</v>
      </c>
      <c r="O154" s="24">
        <v>0.84390862944162437</v>
      </c>
    </row>
    <row r="155" spans="1:17" x14ac:dyDescent="0.25">
      <c r="A155" t="s">
        <v>155</v>
      </c>
      <c r="B155" t="s">
        <v>194</v>
      </c>
      <c r="C155" s="24">
        <v>0.64904159541984729</v>
      </c>
      <c r="D155" s="24">
        <v>0.15936739659367399</v>
      </c>
      <c r="E155" s="24">
        <v>25.066666666666666</v>
      </c>
      <c r="F155" s="24">
        <v>0.10666666666666667</v>
      </c>
      <c r="G155" s="24">
        <v>1.247025252E-5</v>
      </c>
      <c r="H155" s="24">
        <v>140.06666375563233</v>
      </c>
      <c r="I155" s="24">
        <v>415.46875000000011</v>
      </c>
      <c r="J155" s="24">
        <v>16.600920447074291</v>
      </c>
      <c r="K155" s="24">
        <v>0.55884286653517423</v>
      </c>
      <c r="M155" s="24">
        <v>447.25609756097572</v>
      </c>
      <c r="N155" s="24">
        <v>11.979823455233293</v>
      </c>
      <c r="O155" s="24">
        <v>1.2547288776796979</v>
      </c>
    </row>
    <row r="156" spans="1:17" x14ac:dyDescent="0.25">
      <c r="B156" t="s">
        <v>196</v>
      </c>
      <c r="C156" s="24">
        <v>257.75656324582337</v>
      </c>
      <c r="D156" s="24">
        <v>0.15466961978589888</v>
      </c>
      <c r="E156" s="24">
        <v>12</v>
      </c>
      <c r="F156" s="24">
        <v>0.16666666666666666</v>
      </c>
      <c r="G156" s="24">
        <v>3.456E-2</v>
      </c>
      <c r="H156" s="24">
        <v>0.24247685185185186</v>
      </c>
      <c r="I156" s="24">
        <v>397.650429799427</v>
      </c>
      <c r="J156" s="24">
        <v>29.518469656992075</v>
      </c>
      <c r="K156" s="24">
        <v>2.1437994722955143</v>
      </c>
      <c r="M156" s="24">
        <v>408.46846846846853</v>
      </c>
      <c r="N156" s="24">
        <v>18.745959922430508</v>
      </c>
      <c r="O156" s="24">
        <v>2.1460892049127342</v>
      </c>
    </row>
    <row r="157" spans="1:17" x14ac:dyDescent="0.25">
      <c r="B157" t="s">
        <v>63</v>
      </c>
      <c r="C157" s="24">
        <v>185.64036222509705</v>
      </c>
      <c r="D157" s="24">
        <v>0.13146258503401359</v>
      </c>
      <c r="E157" s="24">
        <v>68.13333333333334</v>
      </c>
      <c r="F157" s="24">
        <v>0.28666666666666663</v>
      </c>
      <c r="G157" s="24">
        <v>2.5829999999999999E-2</v>
      </c>
      <c r="H157" s="24">
        <v>0.29926442121564073</v>
      </c>
      <c r="I157" s="24">
        <v>392.38410596026489</v>
      </c>
      <c r="J157" s="24">
        <v>35.061969993476843</v>
      </c>
      <c r="K157" s="24">
        <v>2.6353555120678411</v>
      </c>
      <c r="M157" s="24">
        <v>385.91362126245849</v>
      </c>
      <c r="N157" s="24">
        <v>21.663504111321945</v>
      </c>
      <c r="O157" s="24">
        <v>2.7577482605945614</v>
      </c>
    </row>
    <row r="158" spans="1:17" x14ac:dyDescent="0.25">
      <c r="B158" t="s">
        <v>195</v>
      </c>
      <c r="C158" s="24">
        <v>258.58208955223876</v>
      </c>
      <c r="D158" s="24">
        <v>0.23949955317247543</v>
      </c>
      <c r="E158" s="24">
        <v>20.033333333333331</v>
      </c>
      <c r="F158" s="24">
        <v>0.13666666666666669</v>
      </c>
      <c r="G158" s="24">
        <v>1.1087999999999999E-2</v>
      </c>
      <c r="H158" s="24">
        <v>0.24170274170274172</v>
      </c>
      <c r="I158" s="24">
        <v>405.36144578313247</v>
      </c>
      <c r="J158" s="24">
        <v>34.749670619235843</v>
      </c>
      <c r="K158" s="24">
        <v>2.0487483530961792</v>
      </c>
      <c r="M158" s="24">
        <v>390.84112149532723</v>
      </c>
      <c r="N158" s="24">
        <v>14.903846153846155</v>
      </c>
      <c r="O158" s="24">
        <v>1.5320512820512822</v>
      </c>
    </row>
    <row r="159" spans="1:17" x14ac:dyDescent="0.25">
      <c r="B159" t="s">
        <v>55</v>
      </c>
      <c r="C159" s="25">
        <f>AVERAGEA(C141,C180)</f>
        <v>190.14792899408286</v>
      </c>
      <c r="D159" s="25">
        <f>AVERAGEA(D141,D180)</f>
        <v>0.20676761193449256</v>
      </c>
      <c r="E159" s="24">
        <v>36.266666666666673</v>
      </c>
      <c r="F159" s="24">
        <v>0.26666666666666666</v>
      </c>
      <c r="G159" s="25">
        <f>AVERAGEA(G141,G135,G180)</f>
        <v>1.2644333333333334E-2</v>
      </c>
      <c r="H159" s="25">
        <f>AVERAGEA(H141,H135,H180)</f>
        <v>0.30834666251635445</v>
      </c>
      <c r="I159" s="24">
        <v>295.66037735849056</v>
      </c>
      <c r="J159" s="24">
        <v>35.358565737051791</v>
      </c>
      <c r="K159" s="24">
        <v>1.6799468791500662</v>
      </c>
      <c r="M159" s="24">
        <v>317.87564766839375</v>
      </c>
      <c r="N159" s="24">
        <v>24.098360655737707</v>
      </c>
      <c r="O159" s="24">
        <v>1.9344262295081971</v>
      </c>
      <c r="P159" s="25"/>
      <c r="Q159" s="25"/>
    </row>
    <row r="160" spans="1:17" x14ac:dyDescent="0.25">
      <c r="A160" t="s">
        <v>156</v>
      </c>
      <c r="B160" t="s">
        <v>195</v>
      </c>
      <c r="C160" s="24">
        <v>395.94594594594594</v>
      </c>
      <c r="D160" s="24">
        <v>0.13285457809694792</v>
      </c>
      <c r="E160" s="24">
        <v>17.3</v>
      </c>
      <c r="F160" s="24">
        <v>0.22999999999999998</v>
      </c>
      <c r="G160" s="24">
        <v>1.8751999999999998E-2</v>
      </c>
      <c r="H160" s="24">
        <v>7.8924914675767927E-2</v>
      </c>
      <c r="I160" s="24">
        <v>410.05434782608711</v>
      </c>
      <c r="J160" s="24">
        <v>25.308241401687216</v>
      </c>
      <c r="K160" s="24">
        <v>0.29850746268656719</v>
      </c>
      <c r="M160" s="24">
        <v>425.34818941504182</v>
      </c>
      <c r="N160" s="24">
        <v>19.155844155844157</v>
      </c>
      <c r="O160" s="24">
        <v>1.0714285714285718</v>
      </c>
    </row>
    <row r="161" spans="1:17" x14ac:dyDescent="0.25">
      <c r="B161" t="s">
        <v>194</v>
      </c>
      <c r="C161" s="24">
        <v>4.4215542553191485</v>
      </c>
      <c r="D161" s="24">
        <v>0.13782991202346043</v>
      </c>
      <c r="E161" s="24">
        <v>11.833333333333334</v>
      </c>
      <c r="F161" s="24">
        <v>0.73333333333333339</v>
      </c>
      <c r="G161" s="24">
        <v>2.1612557199999997E-4</v>
      </c>
      <c r="H161" s="24">
        <v>4.3493233646595053</v>
      </c>
      <c r="I161" s="24">
        <v>283.54838709677426</v>
      </c>
      <c r="J161" s="24">
        <v>32.816622691292878</v>
      </c>
      <c r="K161" s="24">
        <v>0.75857519788918193</v>
      </c>
      <c r="M161" s="24">
        <v>308.65979381443304</v>
      </c>
      <c r="N161" s="24">
        <v>23.267326732673261</v>
      </c>
      <c r="O161" s="24">
        <v>1.5049504950495052</v>
      </c>
    </row>
    <row r="162" spans="1:17" x14ac:dyDescent="0.25">
      <c r="B162" t="s">
        <v>63</v>
      </c>
      <c r="C162" s="24">
        <v>141.70854271356782</v>
      </c>
      <c r="D162" s="24">
        <v>0.11300397501419647</v>
      </c>
      <c r="E162" s="24">
        <v>59.79999999999999</v>
      </c>
      <c r="F162" s="24">
        <v>0.15666666666666665</v>
      </c>
      <c r="G162" s="24">
        <v>1.6919999999999998E-2</v>
      </c>
      <c r="H162" s="24">
        <v>0.47044917257683222</v>
      </c>
      <c r="I162" s="24">
        <v>379.80769230769232</v>
      </c>
      <c r="J162" s="24">
        <v>31.664456233421753</v>
      </c>
      <c r="K162" s="24">
        <v>1.6445623342175066</v>
      </c>
      <c r="M162" s="24">
        <v>302.55319148936172</v>
      </c>
      <c r="N162" s="24">
        <v>20.352564102564102</v>
      </c>
      <c r="O162" s="24">
        <v>1.8525641025641024</v>
      </c>
    </row>
    <row r="163" spans="1:17" x14ac:dyDescent="0.25">
      <c r="B163" t="s">
        <v>52</v>
      </c>
      <c r="C163" s="24">
        <v>5.5847142857142869</v>
      </c>
      <c r="D163" s="24">
        <v>0.12115384615384617</v>
      </c>
      <c r="E163" s="24">
        <v>15.766666666666666</v>
      </c>
      <c r="F163" s="24">
        <v>0.48666666666666664</v>
      </c>
      <c r="G163" s="24">
        <v>4.2924114000000006E-4</v>
      </c>
      <c r="H163" s="24">
        <v>2.935412947603298</v>
      </c>
      <c r="I163" s="25">
        <v>313.69774919614156</v>
      </c>
      <c r="J163" s="25">
        <v>22.59615384615384</v>
      </c>
      <c r="K163" s="25">
        <v>1.3589743589743588</v>
      </c>
      <c r="L163" s="25"/>
      <c r="M163" s="24">
        <v>313.69774919614156</v>
      </c>
      <c r="N163" s="24">
        <v>22.59615384615384</v>
      </c>
      <c r="O163" s="24">
        <v>1.3589743589743588</v>
      </c>
    </row>
    <row r="164" spans="1:17" x14ac:dyDescent="0.25">
      <c r="B164" t="s">
        <v>217</v>
      </c>
      <c r="C164" s="24">
        <v>146.83870967741933</v>
      </c>
      <c r="D164" s="24">
        <v>0.24053382991930478</v>
      </c>
      <c r="E164" s="24">
        <v>38.1</v>
      </c>
      <c r="F164" s="24">
        <v>0.21666666666666667</v>
      </c>
      <c r="G164" s="24">
        <v>4.7795999999999991E-2</v>
      </c>
      <c r="H164" s="24">
        <v>0.32429492007699395</v>
      </c>
      <c r="I164" s="25">
        <v>408.51851851851859</v>
      </c>
      <c r="J164" s="25">
        <v>19.055374592833875</v>
      </c>
      <c r="K164" s="25">
        <v>1.1335504885993488</v>
      </c>
      <c r="L164" s="25"/>
      <c r="M164" s="24">
        <v>408.51851851851859</v>
      </c>
      <c r="N164" s="24">
        <v>19.055374592833875</v>
      </c>
      <c r="O164" s="24">
        <v>1.1335504885993488</v>
      </c>
    </row>
    <row r="165" spans="1:17" x14ac:dyDescent="0.25">
      <c r="B165" t="s">
        <v>45</v>
      </c>
      <c r="C165" s="24">
        <v>2.1516721311475414E-2</v>
      </c>
      <c r="D165" s="24">
        <v>0.34694932781799381</v>
      </c>
      <c r="E165" s="24">
        <v>32.533333333333331</v>
      </c>
      <c r="F165" s="24">
        <v>0.19666666666666668</v>
      </c>
      <c r="G165" s="24">
        <v>3.7538072000000015E-6</v>
      </c>
      <c r="H165" s="24">
        <v>3575.0370983357898</v>
      </c>
      <c r="I165" s="24">
        <v>413.96103896103898</v>
      </c>
      <c r="J165" s="24">
        <v>22.683084899546333</v>
      </c>
      <c r="K165" s="24">
        <v>1.0628645495787428</v>
      </c>
      <c r="M165" s="24">
        <v>412.13675213675219</v>
      </c>
      <c r="N165" s="24">
        <v>17.86864133934321</v>
      </c>
      <c r="O165" s="24">
        <v>1.1461687057308436</v>
      </c>
    </row>
    <row r="166" spans="1:17" x14ac:dyDescent="0.25">
      <c r="B166" t="s">
        <v>218</v>
      </c>
      <c r="C166" s="24">
        <v>241.87817258883248</v>
      </c>
      <c r="D166" s="24">
        <v>0.18065107748739109</v>
      </c>
      <c r="E166" s="25">
        <f>AVERAGEA(E159,E180)</f>
        <v>31.216666666666669</v>
      </c>
      <c r="F166" s="25">
        <f t="shared" ref="F166:H166" si="7">AVERAGEA(F159,F180)</f>
        <v>0.23</v>
      </c>
      <c r="G166" s="25">
        <f t="shared" si="7"/>
        <v>8.1146666666666676E-3</v>
      </c>
      <c r="H166" s="25">
        <f t="shared" si="7"/>
        <v>0.33548434938927907</v>
      </c>
      <c r="I166" s="24">
        <v>300.75949367088606</v>
      </c>
      <c r="J166" s="24">
        <v>23.392743475493315</v>
      </c>
      <c r="K166" s="24">
        <v>1.6740929344366648</v>
      </c>
      <c r="M166" s="24">
        <v>327.64397905759159</v>
      </c>
      <c r="N166" s="24">
        <v>14.31863067807768</v>
      </c>
      <c r="O166" s="24">
        <v>1.6392363396971694</v>
      </c>
      <c r="P166" s="25"/>
      <c r="Q166" s="25"/>
    </row>
    <row r="167" spans="1:17" x14ac:dyDescent="0.25">
      <c r="A167" t="s">
        <v>157</v>
      </c>
      <c r="B167" t="s">
        <v>194</v>
      </c>
      <c r="C167" s="24">
        <v>256.61971830985914</v>
      </c>
      <c r="D167" s="24">
        <v>0.1513859275053305</v>
      </c>
      <c r="E167" s="24">
        <v>43.466666666666669</v>
      </c>
      <c r="F167" s="24">
        <v>0.20000000000000004</v>
      </c>
      <c r="G167" s="24">
        <v>1.4576E-2</v>
      </c>
      <c r="H167" s="24">
        <v>0.24355104281009876</v>
      </c>
      <c r="I167" s="24">
        <v>251.64893617021283</v>
      </c>
      <c r="J167" s="24">
        <v>14.630225080385852</v>
      </c>
      <c r="K167" s="24">
        <v>0.95819935691318348</v>
      </c>
      <c r="M167" s="24">
        <v>391.91082802547777</v>
      </c>
      <c r="N167" s="24">
        <v>11.36363636363636</v>
      </c>
      <c r="O167" s="24">
        <v>1.433080808080808</v>
      </c>
    </row>
    <row r="168" spans="1:17" x14ac:dyDescent="0.25">
      <c r="B168" t="s">
        <v>178</v>
      </c>
      <c r="C168" s="24">
        <v>260.92362344582591</v>
      </c>
      <c r="D168" s="24">
        <v>0.21031004856182298</v>
      </c>
      <c r="E168" s="24">
        <v>42.9</v>
      </c>
      <c r="F168" s="24">
        <v>0.18666666666666668</v>
      </c>
      <c r="G168" s="24">
        <v>4.1132000000000009E-2</v>
      </c>
      <c r="H168" s="24">
        <v>0.27375279587668966</v>
      </c>
      <c r="I168" s="24">
        <v>339.57055214723943</v>
      </c>
      <c r="J168" s="24">
        <v>32.79467680608365</v>
      </c>
      <c r="K168" s="24">
        <v>2.5538656527249688</v>
      </c>
      <c r="M168" s="24">
        <v>399.8901098901099</v>
      </c>
      <c r="N168" s="24">
        <v>19.472361809045225</v>
      </c>
      <c r="O168" s="24">
        <v>1.721105527638191</v>
      </c>
    </row>
    <row r="169" spans="1:17" x14ac:dyDescent="0.25">
      <c r="B169" t="s">
        <v>195</v>
      </c>
      <c r="C169" s="24">
        <v>351.25448028673833</v>
      </c>
      <c r="D169" s="24">
        <v>0.20439560439560439</v>
      </c>
      <c r="E169" s="24">
        <v>35.966666666666661</v>
      </c>
      <c r="F169" s="24">
        <v>0.21666666666666665</v>
      </c>
      <c r="G169" s="24">
        <v>1.8620000000000001E-2</v>
      </c>
      <c r="H169" s="24">
        <v>0.14983888292158967</v>
      </c>
      <c r="I169" s="24">
        <v>393.2409972299169</v>
      </c>
      <c r="J169" s="24">
        <v>26.078557630392787</v>
      </c>
      <c r="K169" s="24">
        <v>2.3502897617514487</v>
      </c>
      <c r="M169" s="24">
        <v>425.26645768025082</v>
      </c>
      <c r="N169" s="24">
        <v>11.774193548387096</v>
      </c>
      <c r="O169" s="24">
        <v>1.361290322580645</v>
      </c>
    </row>
    <row r="170" spans="1:17" x14ac:dyDescent="0.25">
      <c r="B170" t="s">
        <v>197</v>
      </c>
      <c r="C170" s="24">
        <v>210.36269430051814</v>
      </c>
      <c r="D170" s="24">
        <v>0.15384615384615383</v>
      </c>
      <c r="E170" s="24">
        <v>26.166666666666668</v>
      </c>
      <c r="F170" s="24">
        <v>0.17666666666666667</v>
      </c>
      <c r="G170" s="24">
        <v>1.0826666666666668E-2</v>
      </c>
      <c r="H170" s="24">
        <v>0.23768472906403937</v>
      </c>
      <c r="I170" s="25">
        <v>409.10662824207492</v>
      </c>
      <c r="J170" s="25">
        <v>18.873960332693539</v>
      </c>
      <c r="K170" s="25">
        <v>1.5291106845809344</v>
      </c>
      <c r="L170" s="25"/>
      <c r="M170" s="24">
        <v>409.10662824207492</v>
      </c>
      <c r="N170" s="24">
        <v>18.873960332693539</v>
      </c>
      <c r="O170" s="24">
        <v>1.5291106845809344</v>
      </c>
    </row>
    <row r="171" spans="1:17" x14ac:dyDescent="0.25">
      <c r="B171" t="s">
        <v>51</v>
      </c>
      <c r="C171" s="24">
        <v>191.74122505161733</v>
      </c>
      <c r="D171" s="24">
        <v>0.12856131658113609</v>
      </c>
      <c r="E171" s="24">
        <v>49.433333333333337</v>
      </c>
      <c r="F171" s="24">
        <v>0.13666666666666669</v>
      </c>
      <c r="G171" s="24">
        <v>8.9151999999999995E-2</v>
      </c>
      <c r="H171" s="24">
        <v>0.32596015793251981</v>
      </c>
      <c r="I171" s="24">
        <v>373.18032786885254</v>
      </c>
      <c r="J171" s="24">
        <v>37.786989795918366</v>
      </c>
      <c r="K171" s="24">
        <v>2.589285714285714</v>
      </c>
      <c r="M171" s="24">
        <v>404.4743935309973</v>
      </c>
      <c r="N171" s="24">
        <v>24.701591511936336</v>
      </c>
      <c r="O171" s="24">
        <v>2.1949602122015914</v>
      </c>
    </row>
    <row r="172" spans="1:17" x14ac:dyDescent="0.25">
      <c r="B172" t="s">
        <v>196</v>
      </c>
      <c r="C172" s="24">
        <v>306.64819944598338</v>
      </c>
      <c r="D172" s="24">
        <v>0.18560411311053981</v>
      </c>
      <c r="E172" s="24">
        <v>12.9</v>
      </c>
      <c r="F172" s="24">
        <v>0.16333333333333333</v>
      </c>
      <c r="G172" s="24">
        <v>2.6567999999999998E-2</v>
      </c>
      <c r="H172" s="24">
        <v>0.27175549533273113</v>
      </c>
      <c r="I172" s="24">
        <v>313.80191693290737</v>
      </c>
      <c r="J172" s="24">
        <v>21.689497716894977</v>
      </c>
      <c r="K172" s="24">
        <v>1.3763861709067191</v>
      </c>
      <c r="M172" s="24">
        <v>392.57142857142861</v>
      </c>
      <c r="N172" s="24">
        <v>17.088607594936708</v>
      </c>
      <c r="O172" s="24">
        <v>1.4240506329113922</v>
      </c>
    </row>
    <row r="173" spans="1:17" x14ac:dyDescent="0.25">
      <c r="B173" t="s">
        <v>198</v>
      </c>
      <c r="C173" s="24">
        <v>199.26739926739927</v>
      </c>
      <c r="D173" s="24">
        <v>0.1775032509752926</v>
      </c>
      <c r="E173" s="24">
        <v>20</v>
      </c>
      <c r="F173" s="24">
        <v>0.25</v>
      </c>
      <c r="G173" s="24">
        <v>2.1760000000000002E-2</v>
      </c>
      <c r="H173" s="24">
        <v>0.25091911764705882</v>
      </c>
      <c r="I173" s="24">
        <v>357.00934579439257</v>
      </c>
      <c r="J173" s="24">
        <v>31.390134529147986</v>
      </c>
      <c r="K173" s="24">
        <v>1.4670083279948753</v>
      </c>
      <c r="M173" s="24">
        <v>421.70886075949369</v>
      </c>
      <c r="N173" s="24">
        <v>21.932717678100264</v>
      </c>
      <c r="O173" s="24">
        <v>1.2071240105540897</v>
      </c>
    </row>
    <row r="174" spans="1:17" x14ac:dyDescent="0.25">
      <c r="B174" t="s">
        <v>217</v>
      </c>
      <c r="C174" s="24">
        <v>172.78020378457063</v>
      </c>
      <c r="D174" s="24">
        <v>0.21542803386641576</v>
      </c>
      <c r="E174" s="24">
        <v>47.933333333333337</v>
      </c>
      <c r="F174" s="24">
        <v>0.19333333333333336</v>
      </c>
      <c r="G174" s="24">
        <v>4.5106E-2</v>
      </c>
      <c r="H174" s="24">
        <v>0.30461579390768412</v>
      </c>
      <c r="I174" s="25">
        <f>AVERAGEA(I164,I151)</f>
        <v>403.59480743201681</v>
      </c>
      <c r="J174" s="25">
        <f t="shared" ref="J174:K174" si="8">AVERAGEA(J164,J151)</f>
        <v>27.15063811608907</v>
      </c>
      <c r="K174" s="25">
        <f t="shared" si="8"/>
        <v>1.1897260639718055</v>
      </c>
      <c r="L174" s="25"/>
      <c r="M174" s="25">
        <v>0</v>
      </c>
      <c r="N174" s="25">
        <v>0</v>
      </c>
      <c r="O174" s="25">
        <v>0</v>
      </c>
    </row>
    <row r="175" spans="1:17" x14ac:dyDescent="0.25">
      <c r="A175" t="s">
        <v>158</v>
      </c>
      <c r="B175" t="s">
        <v>199</v>
      </c>
      <c r="C175" s="24">
        <v>12.079636189473682</v>
      </c>
      <c r="D175" s="24">
        <v>0.13465627214741316</v>
      </c>
      <c r="E175" s="24">
        <v>14.9</v>
      </c>
      <c r="F175" s="24">
        <v>0.42</v>
      </c>
      <c r="G175" s="24">
        <v>4.9345313833999986E-4</v>
      </c>
      <c r="H175" s="24">
        <v>1.9252081427546408</v>
      </c>
      <c r="I175" s="24">
        <v>410.16393442622956</v>
      </c>
      <c r="J175" s="24">
        <v>14.649066323245332</v>
      </c>
      <c r="K175" s="24">
        <v>2.7559562137797817</v>
      </c>
      <c r="M175" s="24">
        <v>401.02564102564099</v>
      </c>
      <c r="N175" s="24">
        <v>8.2855321861058009</v>
      </c>
      <c r="O175" s="24">
        <v>1.5615041427660934</v>
      </c>
    </row>
    <row r="176" spans="1:17" x14ac:dyDescent="0.25">
      <c r="B176" t="s">
        <v>63</v>
      </c>
      <c r="C176" s="24">
        <v>137.33333333333334</v>
      </c>
      <c r="D176" s="24">
        <v>0.16820857863751051</v>
      </c>
      <c r="E176" s="24">
        <v>26.899999999999995</v>
      </c>
      <c r="F176" s="24">
        <v>0.38000000000000006</v>
      </c>
      <c r="G176" s="24">
        <v>1.6480000000000002E-2</v>
      </c>
      <c r="H176" s="24">
        <v>0.18203883495145629</v>
      </c>
      <c r="I176" s="24">
        <v>345.1704545454545</v>
      </c>
      <c r="J176" s="24">
        <v>11.305732484076433</v>
      </c>
      <c r="K176" s="24">
        <v>1.681528662420382</v>
      </c>
      <c r="M176" s="24">
        <v>377.7906976744186</v>
      </c>
      <c r="N176" s="24">
        <v>7.8021248339973432</v>
      </c>
      <c r="O176" s="24">
        <v>1.1487383798140769</v>
      </c>
    </row>
    <row r="177" spans="1:17" x14ac:dyDescent="0.25">
      <c r="B177" t="s">
        <v>194</v>
      </c>
      <c r="C177" s="24">
        <v>8.1720992824427494</v>
      </c>
      <c r="D177" s="24">
        <v>0.14324767632586111</v>
      </c>
      <c r="E177" s="24">
        <v>47</v>
      </c>
      <c r="F177" s="24">
        <v>0.32666666666666666</v>
      </c>
      <c r="G177" s="24">
        <v>3.7469075210000001E-4</v>
      </c>
      <c r="H177" s="24">
        <v>3.4962165269837731</v>
      </c>
      <c r="I177" s="25">
        <v>355.30120481927713</v>
      </c>
      <c r="J177" s="25">
        <v>8.1313775510204085</v>
      </c>
      <c r="K177" s="25">
        <v>1.1096938775510206</v>
      </c>
      <c r="L177" s="25"/>
      <c r="M177" s="24">
        <v>355.30120481927713</v>
      </c>
      <c r="N177" s="24">
        <v>8.1313775510204085</v>
      </c>
      <c r="O177" s="24">
        <v>1.1096938775510206</v>
      </c>
    </row>
    <row r="178" spans="1:17" x14ac:dyDescent="0.25">
      <c r="B178" t="s">
        <v>195</v>
      </c>
      <c r="C178" s="24">
        <v>23.467140857787815</v>
      </c>
      <c r="D178" s="24">
        <v>0.17734187349879904</v>
      </c>
      <c r="E178" s="24">
        <v>10.800000000000002</v>
      </c>
      <c r="F178" s="24">
        <v>0.27</v>
      </c>
      <c r="G178" s="24">
        <v>2.9108641520000006E-4</v>
      </c>
      <c r="H178" s="24">
        <v>1.5218848316766103</v>
      </c>
      <c r="I178" s="24">
        <v>393.81107491856682</v>
      </c>
      <c r="J178" s="24">
        <v>16.118633139909736</v>
      </c>
      <c r="K178" s="24">
        <v>2.1985815602836882</v>
      </c>
      <c r="M178" s="24">
        <v>433.73040752351108</v>
      </c>
      <c r="N178" s="24">
        <v>12.055837563451778</v>
      </c>
      <c r="O178" s="24">
        <v>1.7068527918781728</v>
      </c>
    </row>
    <row r="179" spans="1:17" x14ac:dyDescent="0.25">
      <c r="B179" t="s">
        <v>197</v>
      </c>
      <c r="C179" s="24">
        <v>152.63888888888889</v>
      </c>
      <c r="D179" s="24">
        <v>0.18838304552590265</v>
      </c>
      <c r="E179" s="24">
        <v>8.2000000000000011</v>
      </c>
      <c r="F179" s="24">
        <v>0.21666666666666665</v>
      </c>
      <c r="G179" s="24">
        <v>8.7919999999999995E-3</v>
      </c>
      <c r="H179" s="24">
        <v>0.32757051865332121</v>
      </c>
      <c r="I179" s="24">
        <v>280.41543026706233</v>
      </c>
      <c r="J179" s="24">
        <v>31.669865642994242</v>
      </c>
      <c r="K179" s="24">
        <v>1.6634676903390915</v>
      </c>
      <c r="M179" s="24">
        <v>297.62039660056661</v>
      </c>
      <c r="N179" s="24">
        <v>26.468689477081984</v>
      </c>
      <c r="O179" s="24">
        <v>1.1684958037443511</v>
      </c>
    </row>
    <row r="180" spans="1:17" x14ac:dyDescent="0.25">
      <c r="A180" t="s">
        <v>159</v>
      </c>
      <c r="B180" t="s">
        <v>55</v>
      </c>
      <c r="C180" s="24">
        <v>183.84615384615384</v>
      </c>
      <c r="D180" s="24">
        <v>0.2113821138211382</v>
      </c>
      <c r="E180" s="24">
        <v>26.166666666666668</v>
      </c>
      <c r="F180" s="24">
        <v>0.19333333333333336</v>
      </c>
      <c r="G180" s="24">
        <v>3.5850000000000001E-3</v>
      </c>
      <c r="H180" s="24">
        <v>0.36262203626220363</v>
      </c>
      <c r="I180" s="24">
        <v>375.7297297297298</v>
      </c>
      <c r="J180" s="24">
        <v>38.610038610038607</v>
      </c>
      <c r="K180" s="24">
        <v>4.2342342342342336</v>
      </c>
      <c r="M180" s="24">
        <v>411.02639296187681</v>
      </c>
      <c r="N180" s="24">
        <v>18.476128188358402</v>
      </c>
      <c r="O180" s="24">
        <v>2.269457161543492</v>
      </c>
    </row>
    <row r="181" spans="1:17" x14ac:dyDescent="0.25">
      <c r="B181" t="s">
        <v>63</v>
      </c>
      <c r="C181" s="24">
        <v>168.84735202492215</v>
      </c>
      <c r="D181" s="24">
        <v>7.9357231149567359E-2</v>
      </c>
      <c r="E181" s="24">
        <v>53.866666666666667</v>
      </c>
      <c r="F181" s="24">
        <v>0.46</v>
      </c>
      <c r="G181" s="24">
        <v>5.6368000000000008E-2</v>
      </c>
      <c r="H181" s="24">
        <v>0.11389440817485096</v>
      </c>
      <c r="I181" s="24">
        <v>408.86227544910184</v>
      </c>
      <c r="J181" s="24">
        <v>30.612244897959187</v>
      </c>
      <c r="K181" s="24">
        <v>3.1632653061224492</v>
      </c>
      <c r="M181" s="24">
        <v>404.70967741935488</v>
      </c>
      <c r="N181" s="24">
        <v>21.04922279792746</v>
      </c>
      <c r="O181" s="24">
        <v>1.6709844559585489</v>
      </c>
    </row>
    <row r="182" spans="1:17" x14ac:dyDescent="0.25">
      <c r="B182" t="s">
        <v>194</v>
      </c>
      <c r="C182" s="24">
        <v>1.9492049545454544</v>
      </c>
      <c r="D182" s="24">
        <v>0.24905660377358493</v>
      </c>
      <c r="E182" s="24">
        <v>30.866666666666664</v>
      </c>
      <c r="F182" s="24">
        <v>0.34</v>
      </c>
      <c r="G182" s="24">
        <v>2.229890468E-5</v>
      </c>
      <c r="H182" s="24">
        <v>39.463821771895212</v>
      </c>
      <c r="I182" s="24">
        <v>427.45098039215691</v>
      </c>
      <c r="J182" s="24">
        <v>12.709137709137709</v>
      </c>
      <c r="K182" s="24">
        <v>1.1711711711711712</v>
      </c>
      <c r="M182" s="24">
        <v>411.12540192926053</v>
      </c>
      <c r="N182" s="24">
        <v>8.6928525434642641</v>
      </c>
      <c r="O182" s="24">
        <v>1.1268512556342563</v>
      </c>
    </row>
    <row r="183" spans="1:17" x14ac:dyDescent="0.25">
      <c r="B183" t="s">
        <v>215</v>
      </c>
      <c r="C183" s="24">
        <v>1.1103274328358212</v>
      </c>
      <c r="D183" s="24">
        <v>0.26036269430051817</v>
      </c>
      <c r="E183" s="24">
        <v>17.566666666666666</v>
      </c>
      <c r="F183" s="24">
        <v>0.14000000000000001</v>
      </c>
      <c r="G183" s="24">
        <v>2.2317581400000006E-5</v>
      </c>
      <c r="H183" s="24">
        <v>60.042348495702122</v>
      </c>
      <c r="I183" s="24">
        <v>362.74193548387103</v>
      </c>
      <c r="J183" s="24">
        <v>27.704047777040476</v>
      </c>
      <c r="K183" s="24">
        <v>2.2362309223623091</v>
      </c>
      <c r="M183" s="24">
        <v>385.631067961165</v>
      </c>
      <c r="N183" s="24">
        <v>16.622340425531913</v>
      </c>
      <c r="O183" s="24">
        <v>1.8949468085106378</v>
      </c>
    </row>
    <row r="184" spans="1:17" x14ac:dyDescent="0.25">
      <c r="B184" t="s">
        <v>176</v>
      </c>
      <c r="C184" s="24">
        <v>0.11381880010484013</v>
      </c>
      <c r="D184" s="24">
        <v>0.34271513264267323</v>
      </c>
      <c r="E184" s="24">
        <v>37.266666666666666</v>
      </c>
      <c r="F184" s="24">
        <v>0.24666666666666667</v>
      </c>
      <c r="G184" s="24">
        <v>2.8660939692000002E-4</v>
      </c>
      <c r="H184" s="24">
        <v>399.35885295466676</v>
      </c>
      <c r="I184" s="24">
        <v>410.42016806722694</v>
      </c>
      <c r="J184" s="24">
        <v>31.064111037673499</v>
      </c>
      <c r="K184" s="24">
        <v>1.8770654329147392</v>
      </c>
      <c r="M184" s="24">
        <v>427.54716981132077</v>
      </c>
      <c r="N184" s="24">
        <v>16.940789473684209</v>
      </c>
      <c r="O184" s="24">
        <v>1.9605263157894737</v>
      </c>
    </row>
    <row r="185" spans="1:17" x14ac:dyDescent="0.25">
      <c r="A185" t="s">
        <v>160</v>
      </c>
      <c r="B185" t="s">
        <v>63</v>
      </c>
      <c r="C185" s="25">
        <f>AVERAGEA(C148,C157,C162,C176,C181)</f>
        <v>154.74586812180604</v>
      </c>
      <c r="D185" s="24">
        <v>0.11634025138848289</v>
      </c>
      <c r="E185" s="24">
        <v>41.666666666666664</v>
      </c>
      <c r="F185" s="24">
        <v>0.36333333333333334</v>
      </c>
      <c r="G185" s="25">
        <f>AVERAGEA(G181,G176,G162)</f>
        <v>2.992266666666667E-2</v>
      </c>
      <c r="H185" s="25">
        <f>AVERAGEA(H181,H176,H162)</f>
        <v>0.25546080523437981</v>
      </c>
      <c r="I185" s="24">
        <v>331.27868852459022</v>
      </c>
      <c r="J185" s="24">
        <v>25.429326287978864</v>
      </c>
      <c r="K185" s="24">
        <v>1.0105680317040953</v>
      </c>
      <c r="M185" s="24">
        <v>342.80104712041896</v>
      </c>
      <c r="N185" s="24">
        <v>18.902038132807363</v>
      </c>
      <c r="O185" s="24">
        <v>1.4135437212360284</v>
      </c>
      <c r="P185" s="25"/>
      <c r="Q185" s="25"/>
    </row>
    <row r="186" spans="1:17" x14ac:dyDescent="0.25">
      <c r="B186" t="s">
        <v>196</v>
      </c>
      <c r="C186" s="25">
        <f>AVERAGEA(C156,C172)</f>
        <v>282.2023813459034</v>
      </c>
      <c r="D186" s="24">
        <v>0.18509159823120655</v>
      </c>
      <c r="E186" s="24">
        <v>13.100000000000001</v>
      </c>
      <c r="F186" s="24">
        <v>0.18333333333333335</v>
      </c>
      <c r="G186" s="25">
        <f>AVERAGEA(G156,G168)</f>
        <v>3.7846000000000005E-2</v>
      </c>
      <c r="H186" s="25">
        <f>AVERAGEA(H156,H168)</f>
        <v>0.25811482386427076</v>
      </c>
      <c r="I186" s="24">
        <v>444.51827242524917</v>
      </c>
      <c r="J186" s="24">
        <v>20.930232558139533</v>
      </c>
      <c r="K186" s="24">
        <v>1.1960132890365447</v>
      </c>
      <c r="M186" s="24">
        <v>436.65644171779149</v>
      </c>
      <c r="N186" s="24">
        <v>12.905360688285903</v>
      </c>
      <c r="O186" s="24">
        <v>1.6876240900066177</v>
      </c>
      <c r="P186" s="25"/>
      <c r="Q186" s="25"/>
    </row>
    <row r="187" spans="1:17" x14ac:dyDescent="0.25">
      <c r="B187" t="s">
        <v>194</v>
      </c>
      <c r="C187" s="24">
        <v>0.99728255454545456</v>
      </c>
      <c r="D187" s="24">
        <v>0.14794889038332212</v>
      </c>
      <c r="E187" s="24">
        <v>57.20000000000001</v>
      </c>
      <c r="F187" s="24">
        <v>0.23666666666666666</v>
      </c>
      <c r="G187" s="24">
        <v>3.5104345920000003E-5</v>
      </c>
      <c r="H187" s="24">
        <v>41.780202086917747</v>
      </c>
      <c r="I187" s="24">
        <v>310.82568807339453</v>
      </c>
      <c r="J187" s="24">
        <v>19.419060052219315</v>
      </c>
      <c r="K187" s="24">
        <v>0.443864229765013</v>
      </c>
      <c r="M187" s="24">
        <v>319.23076923076928</v>
      </c>
      <c r="N187" s="24">
        <v>17.06374758531874</v>
      </c>
      <c r="O187" s="24">
        <v>0.84352865421764334</v>
      </c>
    </row>
    <row r="188" spans="1:17" x14ac:dyDescent="0.25">
      <c r="B188" t="s">
        <v>197</v>
      </c>
      <c r="C188" s="24">
        <v>199.25037481259372</v>
      </c>
      <c r="D188" s="24">
        <v>0.1452526132404181</v>
      </c>
      <c r="E188" s="24">
        <v>47.9</v>
      </c>
      <c r="F188" s="24">
        <v>0.39666666666666667</v>
      </c>
      <c r="G188" s="24">
        <v>7.3094999999999993E-2</v>
      </c>
      <c r="H188" s="24">
        <v>9.1251111567138665E-2</v>
      </c>
      <c r="I188" s="24">
        <v>412.97468354430384</v>
      </c>
      <c r="J188" s="24">
        <v>29.773785761809712</v>
      </c>
      <c r="K188" s="24">
        <v>2.9673985362608128</v>
      </c>
      <c r="M188" s="24">
        <v>400.66844919786104</v>
      </c>
      <c r="N188" s="24">
        <v>17.313915857605178</v>
      </c>
      <c r="O188" s="24">
        <v>1.741100323624595</v>
      </c>
    </row>
    <row r="189" spans="1:17" x14ac:dyDescent="0.25">
      <c r="A189" t="s">
        <v>161</v>
      </c>
      <c r="B189" t="s">
        <v>197</v>
      </c>
      <c r="C189" s="24">
        <v>180.71428571428572</v>
      </c>
      <c r="D189" s="24">
        <v>0.15590200445434299</v>
      </c>
      <c r="E189" s="24">
        <v>9.8666666666666654</v>
      </c>
      <c r="F189" s="24">
        <v>0.18333333333333335</v>
      </c>
      <c r="G189" s="24">
        <v>4.5539999999999999E-3</v>
      </c>
      <c r="H189" s="24">
        <v>0.30742204655248134</v>
      </c>
      <c r="I189" s="24">
        <v>391.28939828080235</v>
      </c>
      <c r="J189" s="24">
        <v>31.290743155149933</v>
      </c>
      <c r="K189" s="24">
        <v>3.4159061277705343</v>
      </c>
      <c r="M189" s="24">
        <v>430.32786885245901</v>
      </c>
      <c r="N189" s="24">
        <v>18.554062699936022</v>
      </c>
      <c r="O189" s="24">
        <v>2.1497120921305175</v>
      </c>
    </row>
    <row r="190" spans="1:17" x14ac:dyDescent="0.25">
      <c r="B190" t="s">
        <v>195</v>
      </c>
      <c r="C190" s="24">
        <v>223.27586206896555</v>
      </c>
      <c r="D190" s="24">
        <v>0.17873651771956853</v>
      </c>
      <c r="E190" s="24">
        <v>16.733333333333334</v>
      </c>
      <c r="F190" s="24">
        <v>0.14333333333333334</v>
      </c>
      <c r="G190" s="24">
        <v>5.5253333333333335E-3</v>
      </c>
      <c r="H190" s="24">
        <v>0.27992277992277986</v>
      </c>
      <c r="I190" s="24">
        <v>334.98542274052483</v>
      </c>
      <c r="J190" s="24">
        <v>29.421221864951768</v>
      </c>
      <c r="K190" s="24">
        <v>1.157556270096463</v>
      </c>
      <c r="M190" s="24">
        <v>332.34375000000006</v>
      </c>
      <c r="N190" s="24">
        <v>18.964379947229549</v>
      </c>
      <c r="O190" s="24">
        <v>1.1741424802110818</v>
      </c>
    </row>
    <row r="191" spans="1:17" x14ac:dyDescent="0.25">
      <c r="B191" t="s">
        <v>176</v>
      </c>
      <c r="C191" s="24">
        <v>296.41025641025641</v>
      </c>
      <c r="D191" s="24">
        <v>0.14306676449009537</v>
      </c>
      <c r="E191" s="24">
        <v>58.5</v>
      </c>
      <c r="F191" s="24">
        <v>0.13</v>
      </c>
      <c r="G191" s="24">
        <v>3.0055999999999999E-2</v>
      </c>
      <c r="H191" s="24">
        <v>0.25951557093425603</v>
      </c>
      <c r="I191" s="24">
        <v>301.96721311475414</v>
      </c>
      <c r="J191" s="24">
        <v>32.362459546925564</v>
      </c>
      <c r="K191" s="24">
        <v>1.0679611650485439</v>
      </c>
      <c r="M191" s="24">
        <v>303.47682119205297</v>
      </c>
      <c r="N191" s="24">
        <v>20.833333333333336</v>
      </c>
      <c r="O191" s="24">
        <v>1.744791666666667</v>
      </c>
    </row>
    <row r="192" spans="1:17" x14ac:dyDescent="0.25">
      <c r="B192" t="s">
        <v>194</v>
      </c>
      <c r="C192" s="24">
        <v>1.8443350353697754</v>
      </c>
      <c r="D192" s="24">
        <v>0.17287381878821567</v>
      </c>
      <c r="E192" s="24">
        <v>28.833333333333332</v>
      </c>
      <c r="F192" s="24">
        <v>0.34666666666666668</v>
      </c>
      <c r="G192" s="24">
        <v>1.4339704900000004E-4</v>
      </c>
      <c r="H192" s="24">
        <v>21.688033482474239</v>
      </c>
      <c r="I192" s="24">
        <v>388.1868131868132</v>
      </c>
      <c r="J192" s="24">
        <v>28.438303341902316</v>
      </c>
      <c r="K192" s="24">
        <v>2.8406169665809773</v>
      </c>
      <c r="M192" s="25">
        <v>0</v>
      </c>
      <c r="N192" s="25">
        <v>0</v>
      </c>
      <c r="O192" s="25">
        <v>0</v>
      </c>
    </row>
    <row r="193" spans="1:15" x14ac:dyDescent="0.25">
      <c r="B193" t="s">
        <v>52</v>
      </c>
      <c r="C193" s="24">
        <v>33.471975352380944</v>
      </c>
      <c r="D193" s="24">
        <v>9.2024539877300623E-2</v>
      </c>
      <c r="E193" s="24">
        <v>25.233333333333334</v>
      </c>
      <c r="F193" s="24">
        <v>0.78333333333333333</v>
      </c>
      <c r="G193" s="24">
        <v>2.4250446142799996E-3</v>
      </c>
      <c r="H193" s="24">
        <v>0.43298172487921305</v>
      </c>
      <c r="I193" s="24">
        <v>317.23237597911225</v>
      </c>
      <c r="J193" s="24">
        <v>16.744031830238729</v>
      </c>
      <c r="K193" s="24">
        <v>6.6312997347480085E-2</v>
      </c>
      <c r="M193" s="24">
        <v>353.25732899022802</v>
      </c>
      <c r="N193" s="24">
        <v>12.845849802371543</v>
      </c>
      <c r="O193" s="24">
        <v>1.2714097496706196</v>
      </c>
    </row>
    <row r="194" spans="1:15" x14ac:dyDescent="0.25">
      <c r="A194" t="s">
        <v>162</v>
      </c>
      <c r="B194" t="s">
        <v>63</v>
      </c>
      <c r="C194" s="24">
        <v>170.66848567530698</v>
      </c>
      <c r="D194" s="24">
        <v>0.10669577874818049</v>
      </c>
      <c r="E194" s="24">
        <v>58.666666666666664</v>
      </c>
      <c r="F194" s="24">
        <v>0.3066666666666667</v>
      </c>
      <c r="G194" s="24">
        <v>2.8356000000000003E-2</v>
      </c>
      <c r="H194" s="24">
        <v>0.17233272205764799</v>
      </c>
      <c r="I194" s="24">
        <v>290.0552486187845</v>
      </c>
      <c r="J194" s="24">
        <v>29.961340206185568</v>
      </c>
      <c r="K194" s="24">
        <v>1.3273195876288659</v>
      </c>
      <c r="M194" s="24">
        <v>304.32065217391312</v>
      </c>
      <c r="N194" s="24">
        <v>19.871794871794872</v>
      </c>
      <c r="O194" s="24">
        <v>1.5448717948717947</v>
      </c>
    </row>
    <row r="195" spans="1:15" x14ac:dyDescent="0.25">
      <c r="B195" t="s">
        <v>198</v>
      </c>
      <c r="C195" s="24">
        <v>168.53582554517138</v>
      </c>
      <c r="D195" s="24">
        <v>0.20175989943431802</v>
      </c>
      <c r="E195" s="24">
        <v>42.699999999999996</v>
      </c>
      <c r="F195" s="24">
        <v>0.26333333333333336</v>
      </c>
      <c r="G195" s="24">
        <v>1.4066E-2</v>
      </c>
      <c r="H195" s="24">
        <v>0.22820986776624483</v>
      </c>
      <c r="I195" s="24">
        <v>411.06796116504859</v>
      </c>
      <c r="J195" s="24">
        <v>32.389322916666671</v>
      </c>
      <c r="K195" s="24">
        <v>2.096354166666667</v>
      </c>
      <c r="M195" s="24">
        <v>414.67741935483872</v>
      </c>
      <c r="N195" s="24">
        <v>18.459579885423299</v>
      </c>
      <c r="O195" s="24">
        <v>2.0623806492679821</v>
      </c>
    </row>
    <row r="196" spans="1:15" x14ac:dyDescent="0.25">
      <c r="B196" t="s">
        <v>197</v>
      </c>
      <c r="C196" s="24">
        <v>5.9716272512315278</v>
      </c>
      <c r="D196" s="24">
        <v>0.10410256410256409</v>
      </c>
      <c r="E196" s="24">
        <v>24.466666666666669</v>
      </c>
      <c r="F196" s="24">
        <v>0.18000000000000002</v>
      </c>
      <c r="G196" s="24">
        <v>1.2728523485999998E-4</v>
      </c>
      <c r="H196" s="24">
        <v>7.9742163426605632</v>
      </c>
      <c r="I196" s="24">
        <v>290.75630252100842</v>
      </c>
      <c r="J196" s="24">
        <v>34.906914893617014</v>
      </c>
      <c r="K196" s="24">
        <v>2.1808510638297873</v>
      </c>
      <c r="M196" s="24">
        <v>321.15987460815057</v>
      </c>
      <c r="N196" s="24">
        <v>23.157208088714938</v>
      </c>
      <c r="O196" s="24">
        <v>2.0808871493802998</v>
      </c>
    </row>
    <row r="197" spans="1:15" x14ac:dyDescent="0.25">
      <c r="B197" t="s">
        <v>195</v>
      </c>
      <c r="C197" s="24">
        <v>24.908664478468896</v>
      </c>
      <c r="D197" s="24">
        <v>0.10502512562814069</v>
      </c>
      <c r="E197" s="24">
        <v>21.866666666666664</v>
      </c>
      <c r="F197" s="24">
        <v>0.18666666666666668</v>
      </c>
      <c r="G197" s="24">
        <v>6.7676841387999994E-4</v>
      </c>
      <c r="H197" s="24">
        <v>1.5441027958277207</v>
      </c>
      <c r="I197" s="24">
        <v>292.01238390092885</v>
      </c>
      <c r="J197" s="24">
        <v>25.95099935525468</v>
      </c>
      <c r="K197" s="24">
        <v>1.3926499032882014</v>
      </c>
      <c r="M197" s="24">
        <v>293.58552631578948</v>
      </c>
      <c r="N197" s="24">
        <v>20.50524934383202</v>
      </c>
      <c r="O197" s="24">
        <v>1.7782152230971127</v>
      </c>
    </row>
    <row r="198" spans="1:15" x14ac:dyDescent="0.25">
      <c r="B198" t="s">
        <v>194</v>
      </c>
      <c r="C198" s="24">
        <v>3.767464639751553</v>
      </c>
      <c r="D198" s="24">
        <v>0.13472803347280332</v>
      </c>
      <c r="E198" s="24">
        <v>55.1</v>
      </c>
      <c r="F198" s="24">
        <v>0.16</v>
      </c>
      <c r="G198" s="24">
        <v>4.0437453799999998E-5</v>
      </c>
      <c r="H198" s="24">
        <v>26.543049387875488</v>
      </c>
      <c r="I198" s="24">
        <v>397.37704918032796</v>
      </c>
      <c r="J198" s="24">
        <v>26.837996096291477</v>
      </c>
      <c r="K198" s="24">
        <v>2.3812621990891349</v>
      </c>
      <c r="M198" s="24">
        <v>419.51612903225805</v>
      </c>
      <c r="N198" s="24">
        <v>16.393442622950822</v>
      </c>
      <c r="O198" s="24">
        <v>1.9278688524590162</v>
      </c>
    </row>
    <row r="199" spans="1:15" x14ac:dyDescent="0.25">
      <c r="A199" t="s">
        <v>163</v>
      </c>
      <c r="B199" t="s">
        <v>197</v>
      </c>
      <c r="C199" s="24">
        <v>198.95470383275261</v>
      </c>
      <c r="D199" s="24">
        <v>0.14443885254151989</v>
      </c>
      <c r="E199" s="24">
        <v>22.333333333333332</v>
      </c>
      <c r="F199" s="24">
        <v>0.22</v>
      </c>
      <c r="G199" s="24">
        <v>5.9955E-3</v>
      </c>
      <c r="H199" s="24">
        <v>0.23934617629889085</v>
      </c>
      <c r="I199" s="24">
        <v>346.52307692307704</v>
      </c>
      <c r="J199" s="24">
        <v>21.304067140090382</v>
      </c>
      <c r="K199" s="24">
        <v>0.89735313105229197</v>
      </c>
      <c r="M199" s="24">
        <v>317.3239436619719</v>
      </c>
      <c r="N199" s="24">
        <v>15.685640362225099</v>
      </c>
      <c r="O199" s="24">
        <v>1.4230271668822769</v>
      </c>
    </row>
    <row r="200" spans="1:15" x14ac:dyDescent="0.25">
      <c r="B200" t="s">
        <v>202</v>
      </c>
      <c r="C200" s="24">
        <v>7.1484465753424651</v>
      </c>
      <c r="D200" s="24">
        <v>0.13670411985018727</v>
      </c>
      <c r="E200" s="24">
        <v>4.7333333333333334</v>
      </c>
      <c r="F200" s="24">
        <v>0.26999999999999996</v>
      </c>
      <c r="G200" s="24">
        <v>1.7220607800000001E-4</v>
      </c>
      <c r="H200" s="24">
        <v>6.3586605810742638</v>
      </c>
      <c r="I200" s="24">
        <v>453.85074626865679</v>
      </c>
      <c r="J200" s="24">
        <v>28.252299605781868</v>
      </c>
      <c r="K200" s="24">
        <v>0.96583442838370592</v>
      </c>
      <c r="M200" s="24">
        <v>417.44479495268143</v>
      </c>
      <c r="N200" s="24">
        <v>12.848984771573605</v>
      </c>
      <c r="O200" s="24">
        <v>1.0723350253807107</v>
      </c>
    </row>
    <row r="201" spans="1:15" x14ac:dyDescent="0.25">
      <c r="B201" t="s">
        <v>55</v>
      </c>
      <c r="C201" s="24">
        <v>235.42976939203353</v>
      </c>
      <c r="D201" s="24">
        <v>0.20875273522975929</v>
      </c>
      <c r="E201" s="24">
        <v>49.4</v>
      </c>
      <c r="F201" s="24">
        <v>8.3333333333333329E-2</v>
      </c>
      <c r="G201" s="24">
        <v>1.3475999999999998E-2</v>
      </c>
      <c r="H201" s="24">
        <v>0.70792520035618889</v>
      </c>
      <c r="I201" s="24">
        <v>428.83435582822096</v>
      </c>
      <c r="J201" s="24">
        <v>35.311671087533156</v>
      </c>
      <c r="K201" s="24">
        <v>2.3342175066313002</v>
      </c>
      <c r="M201" s="24">
        <v>393.51906158357781</v>
      </c>
      <c r="N201" s="24">
        <v>19.701986754966882</v>
      </c>
      <c r="O201" s="24">
        <v>2.3642384105960264</v>
      </c>
    </row>
    <row r="202" spans="1:15" x14ac:dyDescent="0.25">
      <c r="B202" t="s">
        <v>185</v>
      </c>
      <c r="C202" s="24">
        <v>132.2162162162162</v>
      </c>
      <c r="D202" s="24">
        <v>0.30120481927710846</v>
      </c>
      <c r="E202" s="24">
        <v>42.433333333333337</v>
      </c>
      <c r="F202" s="24">
        <v>0.21</v>
      </c>
      <c r="G202" s="24">
        <v>2.8128999999999998E-2</v>
      </c>
      <c r="H202" s="24">
        <v>0.32884212023178927</v>
      </c>
      <c r="I202" s="24">
        <v>411.89710610932485</v>
      </c>
      <c r="J202" s="24">
        <v>28.345418589321028</v>
      </c>
      <c r="K202" s="24">
        <v>0.67237969676994069</v>
      </c>
      <c r="M202" s="24">
        <v>401.23867069486414</v>
      </c>
      <c r="N202" s="24">
        <v>19.09150757077024</v>
      </c>
      <c r="O202" s="24">
        <v>1.3232389730085581</v>
      </c>
    </row>
    <row r="203" spans="1:15" x14ac:dyDescent="0.25">
      <c r="B203" t="s">
        <v>201</v>
      </c>
      <c r="C203" s="24">
        <v>149.20634920634919</v>
      </c>
      <c r="D203" s="24">
        <v>0.16916536137838442</v>
      </c>
      <c r="E203" s="24">
        <v>40.6</v>
      </c>
      <c r="F203" s="24">
        <v>0.23333333333333331</v>
      </c>
      <c r="G203" s="24">
        <v>1.6544E-2</v>
      </c>
      <c r="H203" s="24">
        <v>0.30464216634429403</v>
      </c>
      <c r="I203" s="24">
        <v>303.43750000000006</v>
      </c>
      <c r="J203" s="24">
        <v>15.111695137976342</v>
      </c>
      <c r="K203" s="24">
        <v>0.62417871222076227</v>
      </c>
      <c r="M203" s="24">
        <v>332.80519480519479</v>
      </c>
      <c r="N203" s="24">
        <v>10.230179028132993</v>
      </c>
      <c r="O203" s="24">
        <v>1.707161125319693</v>
      </c>
    </row>
    <row r="204" spans="1:15" x14ac:dyDescent="0.25">
      <c r="B204" t="s">
        <v>195</v>
      </c>
      <c r="C204" s="24">
        <v>228</v>
      </c>
      <c r="D204" s="24">
        <v>0.13046314416177429</v>
      </c>
      <c r="E204" s="24">
        <v>30.5</v>
      </c>
      <c r="F204" s="24">
        <v>6.3333333333333339E-2</v>
      </c>
      <c r="G204" s="24">
        <v>1.2160000000000001E-3</v>
      </c>
      <c r="H204" s="24">
        <v>1.0964912280701753</v>
      </c>
      <c r="I204" s="24">
        <v>446.68831168831167</v>
      </c>
      <c r="J204" s="24">
        <v>27.508090614886733</v>
      </c>
      <c r="K204" s="24">
        <v>1.6569579288025891</v>
      </c>
      <c r="M204" s="24">
        <v>413.90909090909088</v>
      </c>
      <c r="N204" s="24">
        <v>16.785022595222724</v>
      </c>
      <c r="O204" s="24">
        <v>1.8076178179470621</v>
      </c>
    </row>
    <row r="205" spans="1:15" x14ac:dyDescent="0.25">
      <c r="B205" t="s">
        <v>194</v>
      </c>
      <c r="C205" s="24">
        <v>1.2658253454545456</v>
      </c>
      <c r="D205" s="24">
        <v>0.16654049962149886</v>
      </c>
      <c r="E205" s="24">
        <v>35.5</v>
      </c>
      <c r="F205" s="24">
        <v>9.6666666666666665E-2</v>
      </c>
      <c r="G205" s="24">
        <v>2.227852608E-5</v>
      </c>
      <c r="H205" s="24">
        <v>98.749800238131357</v>
      </c>
      <c r="I205" s="24">
        <v>391.78807947019868</v>
      </c>
      <c r="J205" s="24">
        <v>28.794940079893468</v>
      </c>
      <c r="K205" s="24">
        <v>1.9107856191744341</v>
      </c>
      <c r="M205" s="24">
        <v>413.90322580645159</v>
      </c>
      <c r="N205" s="24">
        <v>17.361111111111111</v>
      </c>
      <c r="O205" s="24">
        <v>2.0202020202020203</v>
      </c>
    </row>
    <row r="206" spans="1:15" x14ac:dyDescent="0.25">
      <c r="A206" t="s">
        <v>164</v>
      </c>
      <c r="B206" t="s">
        <v>195</v>
      </c>
      <c r="C206" s="24">
        <v>176.16438356164386</v>
      </c>
      <c r="D206" s="24">
        <v>0.18387909319899243</v>
      </c>
      <c r="E206" s="24">
        <v>30.5</v>
      </c>
      <c r="F206" s="24">
        <v>6.3333333333333339E-2</v>
      </c>
      <c r="G206" s="24">
        <v>5.1440000000000001E-3</v>
      </c>
      <c r="H206" s="24">
        <v>1.4191290824261273</v>
      </c>
      <c r="I206" s="24">
        <v>370.90909090909093</v>
      </c>
      <c r="J206" s="24">
        <v>34.017971758664956</v>
      </c>
      <c r="K206" s="24">
        <v>2.7214377406931973</v>
      </c>
      <c r="M206" s="24">
        <v>395.27932960893861</v>
      </c>
      <c r="N206" s="24">
        <v>20.570670205706701</v>
      </c>
      <c r="O206" s="24">
        <v>2.6808228268082286</v>
      </c>
    </row>
    <row r="207" spans="1:15" x14ac:dyDescent="0.25">
      <c r="B207" t="s">
        <v>63</v>
      </c>
      <c r="C207" s="24">
        <v>180.93587521663778</v>
      </c>
      <c r="D207" s="24">
        <v>0.12888094706276526</v>
      </c>
      <c r="E207" s="24">
        <v>37.5</v>
      </c>
      <c r="F207" s="24">
        <v>0.27333333333333337</v>
      </c>
      <c r="G207" s="24">
        <v>5.4288000000000003E-2</v>
      </c>
      <c r="H207" s="24">
        <v>0.21256999705275567</v>
      </c>
      <c r="I207" s="24">
        <v>362.70096463022514</v>
      </c>
      <c r="J207" s="24">
        <v>28.942115768463072</v>
      </c>
      <c r="K207" s="24">
        <v>2.4085163007318693</v>
      </c>
      <c r="M207" s="24">
        <v>333.70689655172418</v>
      </c>
      <c r="N207" s="24">
        <v>20.032051282051281</v>
      </c>
      <c r="O207" s="24">
        <v>3.416666666666667</v>
      </c>
    </row>
    <row r="208" spans="1:15" x14ac:dyDescent="0.25">
      <c r="B208" t="s">
        <v>194</v>
      </c>
      <c r="C208" s="24">
        <v>2.7300563764705883</v>
      </c>
      <c r="D208" s="24">
        <v>0.17489711934156379</v>
      </c>
      <c r="E208" s="24">
        <v>47.333333333333336</v>
      </c>
      <c r="F208" s="24">
        <v>0.17666666666666667</v>
      </c>
      <c r="G208" s="24">
        <v>4.4090410480000006E-5</v>
      </c>
      <c r="H208" s="24">
        <v>19.278568531031738</v>
      </c>
      <c r="I208" s="24">
        <v>268.29896907216499</v>
      </c>
      <c r="J208" s="24">
        <v>18.141311266709096</v>
      </c>
      <c r="K208" s="24">
        <v>0.80840229153405485</v>
      </c>
      <c r="M208" s="24">
        <v>322.19814241486074</v>
      </c>
      <c r="N208" s="24">
        <v>11.143410852713179</v>
      </c>
      <c r="O208" s="24">
        <v>1.1950904392764858</v>
      </c>
    </row>
    <row r="209" spans="1:15" x14ac:dyDescent="0.25">
      <c r="A209" t="s">
        <v>165</v>
      </c>
      <c r="B209" t="s">
        <v>63</v>
      </c>
      <c r="C209" s="24">
        <v>194.70108695652175</v>
      </c>
      <c r="D209" s="24">
        <v>0.11751556761935177</v>
      </c>
      <c r="E209" s="24">
        <v>60.966666666666661</v>
      </c>
      <c r="F209" s="24">
        <v>0.27666666666666667</v>
      </c>
      <c r="G209" s="24">
        <v>3.3436666666666663E-2</v>
      </c>
      <c r="H209" s="24">
        <v>0.14674509022031704</v>
      </c>
      <c r="I209" s="24">
        <v>408.83280757097793</v>
      </c>
      <c r="J209" s="24">
        <v>29.166666666666668</v>
      </c>
      <c r="K209" s="24">
        <v>1.3846153846153846</v>
      </c>
      <c r="M209" s="24">
        <v>353.32460732984305</v>
      </c>
      <c r="N209" s="24">
        <v>18.382352941176467</v>
      </c>
      <c r="O209" s="24">
        <v>1.9437340153452685</v>
      </c>
    </row>
    <row r="210" spans="1:15" x14ac:dyDescent="0.25">
      <c r="B210" t="s">
        <v>52</v>
      </c>
      <c r="C210" s="24">
        <v>5.901229878640776</v>
      </c>
      <c r="D210" s="24">
        <v>0.13281753707285623</v>
      </c>
      <c r="E210" s="24">
        <v>20.766666666666666</v>
      </c>
      <c r="F210" s="24">
        <v>0.17</v>
      </c>
      <c r="G210" s="24">
        <v>1.7019146969999999E-4</v>
      </c>
      <c r="H210" s="24">
        <v>8.069342933309974</v>
      </c>
      <c r="I210" s="24">
        <v>315.53133514986376</v>
      </c>
      <c r="J210" s="24">
        <v>22.842639593908626</v>
      </c>
      <c r="K210" s="24">
        <v>8.2487309644670034E-2</v>
      </c>
      <c r="M210" s="24">
        <v>333.49854227405262</v>
      </c>
      <c r="N210" s="24">
        <v>19.142670157068064</v>
      </c>
      <c r="O210" s="24">
        <v>1.9960732984293195</v>
      </c>
    </row>
    <row r="211" spans="1:15" x14ac:dyDescent="0.25">
      <c r="B211" t="s">
        <v>60</v>
      </c>
      <c r="C211" s="24">
        <v>1167.8492681481482</v>
      </c>
      <c r="D211" s="24">
        <v>8.9344804765056254E-2</v>
      </c>
      <c r="E211" s="24">
        <v>18.333333333333332</v>
      </c>
      <c r="F211" s="24">
        <v>0.40333333333333332</v>
      </c>
      <c r="G211" s="24">
        <v>4.5721298847999997E-2</v>
      </c>
      <c r="H211" s="24">
        <v>1.4763360118968423E-2</v>
      </c>
      <c r="I211" s="24">
        <v>413.27433628318596</v>
      </c>
      <c r="J211" s="24">
        <v>29.769526248399487</v>
      </c>
      <c r="K211" s="24">
        <v>1.3124199743918055</v>
      </c>
      <c r="M211" s="24">
        <v>422.94303797468365</v>
      </c>
      <c r="N211" s="24">
        <v>16.805377720870677</v>
      </c>
      <c r="O211" s="24">
        <v>1.6965428937259921</v>
      </c>
    </row>
    <row r="212" spans="1:15" x14ac:dyDescent="0.25">
      <c r="A212" t="s">
        <v>166</v>
      </c>
      <c r="B212" t="s">
        <v>51</v>
      </c>
      <c r="C212" s="24">
        <v>159.11949685534591</v>
      </c>
      <c r="D212" s="24">
        <v>0.14122453813358599</v>
      </c>
      <c r="E212" s="24">
        <v>53.699999999999996</v>
      </c>
      <c r="F212" s="24">
        <v>3.563333333333333</v>
      </c>
      <c r="G212" s="24">
        <v>0.21251999999999999</v>
      </c>
      <c r="H212" s="24">
        <v>0.22444946357989837</v>
      </c>
      <c r="I212" s="24">
        <v>339.29203539823015</v>
      </c>
      <c r="J212" s="24">
        <v>30.61548223350254</v>
      </c>
      <c r="K212" s="24">
        <v>0.53934010152284273</v>
      </c>
      <c r="M212" s="24">
        <v>318.05555555555566</v>
      </c>
      <c r="N212" s="24">
        <v>24.069319640564828</v>
      </c>
      <c r="O212" s="24">
        <v>2.0860077021822852</v>
      </c>
    </row>
    <row r="213" spans="1:15" x14ac:dyDescent="0.25">
      <c r="B213" t="s">
        <v>63</v>
      </c>
      <c r="C213" s="24">
        <v>318.73684210526318</v>
      </c>
      <c r="D213" s="24">
        <v>8.8158871566443947E-2</v>
      </c>
      <c r="E213" s="24">
        <v>54.366666666666674</v>
      </c>
      <c r="F213" s="24">
        <v>0.29333333333333339</v>
      </c>
      <c r="G213" s="24">
        <v>3.9363999999999996E-2</v>
      </c>
      <c r="H213" s="24">
        <v>0.12066863123666295</v>
      </c>
      <c r="I213" s="24">
        <v>402.05278592375373</v>
      </c>
      <c r="J213" s="24">
        <v>32.637075718015666</v>
      </c>
      <c r="K213" s="24">
        <v>1.5013054830287209</v>
      </c>
      <c r="M213" s="24">
        <v>403.46534653465346</v>
      </c>
      <c r="N213" s="24">
        <v>27.166882276843463</v>
      </c>
      <c r="O213" s="24">
        <v>2.535575679172057</v>
      </c>
    </row>
    <row r="214" spans="1:15" x14ac:dyDescent="0.25">
      <c r="B214" t="s">
        <v>194</v>
      </c>
      <c r="C214" s="24">
        <v>2.1576684444444445</v>
      </c>
      <c r="D214" s="24">
        <v>0.15920915712799166</v>
      </c>
      <c r="E214" s="24">
        <v>21.766666666666666</v>
      </c>
      <c r="F214" s="24">
        <v>9.0000000000000011E-2</v>
      </c>
      <c r="G214" s="24">
        <v>2.3108629040000003E-5</v>
      </c>
      <c r="H214" s="24">
        <v>33.104516874446304</v>
      </c>
      <c r="I214" s="24">
        <v>220.28571428571428</v>
      </c>
      <c r="J214" s="24">
        <v>18.481848184818482</v>
      </c>
      <c r="K214" s="24">
        <v>0.86468646864686471</v>
      </c>
      <c r="M214" s="24">
        <v>294.86413043478262</v>
      </c>
      <c r="N214" s="24">
        <v>16.916070266753415</v>
      </c>
      <c r="O214" s="24">
        <v>1.6916070266753414</v>
      </c>
    </row>
    <row r="215" spans="1:15" x14ac:dyDescent="0.25">
      <c r="B215" t="s">
        <v>197</v>
      </c>
      <c r="C215" s="24">
        <v>5.9909788764044949</v>
      </c>
      <c r="D215" s="24">
        <v>0.13745173745173744</v>
      </c>
      <c r="E215" s="24">
        <v>16.133333333333333</v>
      </c>
      <c r="F215" s="24">
        <v>0.15</v>
      </c>
      <c r="G215" s="24">
        <v>7.9979568000000008E-5</v>
      </c>
      <c r="H215" s="24">
        <v>11.127842050859789</v>
      </c>
      <c r="I215" s="24">
        <v>313.10924369747903</v>
      </c>
      <c r="J215" s="24">
        <v>26.015228426395939</v>
      </c>
      <c r="K215" s="24">
        <v>1.25</v>
      </c>
      <c r="M215" s="24">
        <v>378.57142857142856</v>
      </c>
      <c r="N215" s="24">
        <v>20.993589743589745</v>
      </c>
      <c r="O215" s="24">
        <v>2.4935897435897432</v>
      </c>
    </row>
    <row r="217" spans="1:15" x14ac:dyDescent="0.25">
      <c r="C217" s="24">
        <f>AVERAGEA(C2:C215)</f>
        <v>157.49278965739029</v>
      </c>
      <c r="D217" s="24">
        <f>AVERAGEA(D2:D215)</f>
        <v>0.21312839264477698</v>
      </c>
      <c r="E217" s="24">
        <f>AVERAGEA(E2:E215)</f>
        <v>32.985315976858026</v>
      </c>
      <c r="J217" s="24">
        <f>AVERAGEA(J2:J215)</f>
        <v>22.249368397990978</v>
      </c>
    </row>
    <row r="218" spans="1:15" x14ac:dyDescent="0.25">
      <c r="D218" s="24">
        <f>D217*1000</f>
        <v>213.12839264477699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9FFFE-872B-4F52-A017-D91E063D63B3}">
  <dimension ref="A1:I428"/>
  <sheetViews>
    <sheetView workbookViewId="0">
      <selection activeCell="M6" sqref="M6"/>
    </sheetView>
  </sheetViews>
  <sheetFormatPr defaultRowHeight="13.95" x14ac:dyDescent="0.25"/>
  <cols>
    <col min="1" max="2" width="9.33203125" style="10" bestFit="1" customWidth="1"/>
    <col min="3" max="3" width="18.33203125" style="10" bestFit="1" customWidth="1"/>
    <col min="4" max="4" width="17.21875" style="11" bestFit="1" customWidth="1"/>
    <col min="5" max="5" width="15" style="11" bestFit="1" customWidth="1"/>
    <col min="6" max="6" width="19" style="11" bestFit="1" customWidth="1"/>
    <col min="7" max="7" width="17.21875" style="1" bestFit="1" customWidth="1"/>
    <col min="8" max="8" width="15" style="1" bestFit="1" customWidth="1"/>
    <col min="9" max="9" width="19" style="1" bestFit="1" customWidth="1"/>
  </cols>
  <sheetData>
    <row r="1" spans="1:9" x14ac:dyDescent="0.25">
      <c r="A1" s="1" t="s">
        <v>175</v>
      </c>
      <c r="B1" s="1" t="s">
        <v>42</v>
      </c>
      <c r="C1" s="16" t="s">
        <v>173</v>
      </c>
      <c r="D1" s="11" t="s">
        <v>203</v>
      </c>
      <c r="E1" s="11" t="s">
        <v>204</v>
      </c>
      <c r="F1" s="11" t="s">
        <v>205</v>
      </c>
      <c r="G1" s="1" t="s">
        <v>206</v>
      </c>
      <c r="H1" s="1" t="s">
        <v>207</v>
      </c>
      <c r="I1" s="1" t="s">
        <v>208</v>
      </c>
    </row>
    <row r="2" spans="1:9" x14ac:dyDescent="0.25">
      <c r="A2" s="1" t="s">
        <v>132</v>
      </c>
      <c r="B2" s="11" t="s">
        <v>177</v>
      </c>
      <c r="C2" s="17" t="s">
        <v>174</v>
      </c>
      <c r="D2" s="11">
        <v>340.63897763578279</v>
      </c>
      <c r="E2" s="11">
        <v>21.970705725699066</v>
      </c>
      <c r="F2" s="11">
        <v>4.6404793608521961</v>
      </c>
      <c r="G2" s="1">
        <v>318.15789473684208</v>
      </c>
      <c r="H2" s="1">
        <v>26.211015262110152</v>
      </c>
      <c r="I2" s="1">
        <v>4.2335766423357661</v>
      </c>
    </row>
    <row r="3" spans="1:9" x14ac:dyDescent="0.25">
      <c r="A3" s="1"/>
      <c r="B3" s="11" t="s">
        <v>176</v>
      </c>
      <c r="C3" s="17" t="s">
        <v>174</v>
      </c>
      <c r="D3" s="11">
        <v>372.91390728476836</v>
      </c>
      <c r="E3" s="11">
        <v>19.409422694094228</v>
      </c>
      <c r="F3" s="11">
        <v>2.7140013271400134</v>
      </c>
      <c r="G3" s="1">
        <v>379.48051948051943</v>
      </c>
      <c r="H3" s="1">
        <v>22.218670076726337</v>
      </c>
      <c r="I3" s="1">
        <v>2.5895140664961636</v>
      </c>
    </row>
    <row r="4" spans="1:9" x14ac:dyDescent="0.25">
      <c r="A4" s="1"/>
      <c r="B4" s="11" t="s">
        <v>46</v>
      </c>
      <c r="C4" s="17" t="s">
        <v>174</v>
      </c>
      <c r="D4" s="11">
        <v>372.81733746130044</v>
      </c>
      <c r="E4" s="11">
        <v>12.062128222075348</v>
      </c>
      <c r="F4" s="11">
        <v>1.6259087904824854</v>
      </c>
      <c r="G4" s="1">
        <v>351.94520547945206</v>
      </c>
      <c r="H4" s="1">
        <v>23.105053191489354</v>
      </c>
      <c r="I4" s="1">
        <v>2.3005319148936163</v>
      </c>
    </row>
    <row r="5" spans="1:9" x14ac:dyDescent="0.25">
      <c r="A5" s="1"/>
      <c r="B5" s="11" t="s">
        <v>44</v>
      </c>
      <c r="C5" s="17" t="s">
        <v>174</v>
      </c>
      <c r="D5" s="11">
        <v>312.27722772277241</v>
      </c>
      <c r="E5" s="11">
        <v>13.87054161162483</v>
      </c>
      <c r="F5" s="11">
        <v>2.9260237780713338</v>
      </c>
      <c r="G5" s="1">
        <v>279.8910081743868</v>
      </c>
      <c r="H5" s="1">
        <v>18.944300518134714</v>
      </c>
      <c r="I5" s="1">
        <v>3.2383419689119171</v>
      </c>
    </row>
    <row r="6" spans="1:9" x14ac:dyDescent="0.25">
      <c r="A6" s="1" t="s">
        <v>133</v>
      </c>
      <c r="B6" s="11" t="s">
        <v>51</v>
      </c>
      <c r="C6" s="17" t="s">
        <v>174</v>
      </c>
      <c r="D6" s="18">
        <v>0</v>
      </c>
      <c r="E6" s="11">
        <v>13.019116677653262</v>
      </c>
      <c r="F6" s="11">
        <v>2.6170072511535918</v>
      </c>
      <c r="G6" s="19">
        <v>0</v>
      </c>
      <c r="H6" s="19">
        <v>0</v>
      </c>
      <c r="I6" s="19">
        <v>0</v>
      </c>
    </row>
    <row r="7" spans="1:9" x14ac:dyDescent="0.25">
      <c r="A7" s="1"/>
      <c r="B7" s="11" t="s">
        <v>181</v>
      </c>
      <c r="C7" s="17" t="s">
        <v>174</v>
      </c>
      <c r="D7" s="11">
        <v>351.42857142857156</v>
      </c>
      <c r="E7" s="11">
        <v>29.5</v>
      </c>
      <c r="F7" s="11">
        <v>5.5733333333333333</v>
      </c>
      <c r="G7" s="1">
        <v>343.06306306306294</v>
      </c>
      <c r="H7" s="1">
        <v>28.877352368591826</v>
      </c>
      <c r="I7" s="1">
        <v>5.290071382219339</v>
      </c>
    </row>
    <row r="8" spans="1:9" x14ac:dyDescent="0.25">
      <c r="A8" s="1"/>
      <c r="B8" s="11" t="s">
        <v>179</v>
      </c>
      <c r="C8" s="17" t="s">
        <v>174</v>
      </c>
      <c r="D8" s="11">
        <v>317.63578274760391</v>
      </c>
      <c r="E8" s="11">
        <v>19.754316069057097</v>
      </c>
      <c r="F8" s="11">
        <v>3.7383798140770255</v>
      </c>
      <c r="G8" s="19">
        <v>0</v>
      </c>
      <c r="H8" s="19">
        <v>0</v>
      </c>
      <c r="I8" s="19">
        <v>0</v>
      </c>
    </row>
    <row r="9" spans="1:9" x14ac:dyDescent="0.25">
      <c r="A9" s="1"/>
      <c r="B9" s="11" t="s">
        <v>177</v>
      </c>
      <c r="C9" s="17" t="s">
        <v>174</v>
      </c>
      <c r="D9" s="11">
        <v>353.40000000000009</v>
      </c>
      <c r="E9" s="11">
        <v>26.280771789753828</v>
      </c>
      <c r="F9" s="11">
        <v>6.0545575515635397</v>
      </c>
      <c r="G9" s="1">
        <v>321.57099697885201</v>
      </c>
      <c r="H9" s="1">
        <v>26.472534745201852</v>
      </c>
      <c r="I9" s="1">
        <v>4.3560555923229654</v>
      </c>
    </row>
    <row r="10" spans="1:9" x14ac:dyDescent="0.25">
      <c r="A10" s="1"/>
      <c r="B10" s="11" t="s">
        <v>44</v>
      </c>
      <c r="C10" s="17" t="s">
        <v>174</v>
      </c>
      <c r="D10" s="11">
        <v>337.64331210191085</v>
      </c>
      <c r="E10" s="11">
        <v>12.706270627062706</v>
      </c>
      <c r="F10" s="11">
        <v>2.778877887788779</v>
      </c>
      <c r="G10" s="1">
        <v>296.11764705882354</v>
      </c>
      <c r="H10" s="1">
        <v>19.503546099290784</v>
      </c>
      <c r="I10" s="1">
        <v>3.1528046421663447</v>
      </c>
    </row>
    <row r="11" spans="1:9" x14ac:dyDescent="0.25">
      <c r="A11" s="1"/>
      <c r="B11" s="11" t="s">
        <v>178</v>
      </c>
      <c r="C11" s="17" t="s">
        <v>174</v>
      </c>
      <c r="D11" s="11">
        <v>368.79478827361567</v>
      </c>
      <c r="E11" s="11">
        <v>19.370860927152322</v>
      </c>
      <c r="F11" s="11">
        <v>6.7284768211920536</v>
      </c>
      <c r="G11" s="1">
        <v>352.03883495145624</v>
      </c>
      <c r="H11" s="1">
        <v>22.697368421052634</v>
      </c>
      <c r="I11" s="1">
        <v>5.2236842105263159</v>
      </c>
    </row>
    <row r="12" spans="1:9" x14ac:dyDescent="0.25">
      <c r="A12" s="1"/>
      <c r="B12" s="11" t="s">
        <v>180</v>
      </c>
      <c r="C12" s="17" t="s">
        <v>174</v>
      </c>
      <c r="D12" s="11">
        <v>37.867924528301899</v>
      </c>
      <c r="E12" s="11">
        <v>7.6361221779548449</v>
      </c>
      <c r="F12" s="11">
        <v>1.5139442231075695</v>
      </c>
      <c r="G12" s="1">
        <v>369.34426229508188</v>
      </c>
      <c r="H12" s="1">
        <v>14.191419141914192</v>
      </c>
      <c r="I12" s="1">
        <v>3.2290429042904285</v>
      </c>
    </row>
    <row r="13" spans="1:9" x14ac:dyDescent="0.25">
      <c r="A13" s="1"/>
      <c r="B13" s="11" t="s">
        <v>45</v>
      </c>
      <c r="C13" s="17" t="s">
        <v>174</v>
      </c>
      <c r="D13" s="11">
        <v>395.66037735849068</v>
      </c>
      <c r="E13" s="11">
        <v>14.754641909814325</v>
      </c>
      <c r="F13" s="11">
        <v>2.3474801061007962</v>
      </c>
      <c r="G13" s="19">
        <v>0</v>
      </c>
      <c r="H13" s="19">
        <v>0</v>
      </c>
      <c r="I13" s="19">
        <v>0</v>
      </c>
    </row>
    <row r="14" spans="1:9" x14ac:dyDescent="0.25">
      <c r="A14" s="1"/>
      <c r="B14" s="11" t="s">
        <v>182</v>
      </c>
      <c r="C14" s="17" t="s">
        <v>174</v>
      </c>
      <c r="D14" s="11">
        <v>353.96103896103904</v>
      </c>
      <c r="E14" s="18">
        <v>0</v>
      </c>
      <c r="F14" s="18">
        <v>0</v>
      </c>
      <c r="G14" s="1">
        <v>324.95412844036701</v>
      </c>
      <c r="H14" s="1">
        <v>17.479153303399613</v>
      </c>
      <c r="I14" s="1">
        <v>2.9198203976908275</v>
      </c>
    </row>
    <row r="15" spans="1:9" x14ac:dyDescent="0.25">
      <c r="A15" s="1"/>
      <c r="B15" s="11" t="s">
        <v>46</v>
      </c>
      <c r="C15" s="17" t="s">
        <v>174</v>
      </c>
      <c r="D15" s="11">
        <v>395.49019607843144</v>
      </c>
      <c r="E15" s="11">
        <v>17.019167217448778</v>
      </c>
      <c r="F15" s="11">
        <v>1.9167217448777261</v>
      </c>
      <c r="G15" s="1">
        <v>377.58957654723122</v>
      </c>
      <c r="H15" s="1">
        <v>26.756401838476695</v>
      </c>
      <c r="I15" s="1">
        <v>2.3322390019697967</v>
      </c>
    </row>
    <row r="16" spans="1:9" x14ac:dyDescent="0.25">
      <c r="A16" s="1"/>
      <c r="B16" s="11" t="s">
        <v>176</v>
      </c>
      <c r="C16" s="17" t="s">
        <v>174</v>
      </c>
      <c r="D16" s="11">
        <v>377.98107255520512</v>
      </c>
      <c r="E16" s="11">
        <v>22.622192866578594</v>
      </c>
      <c r="F16" s="11">
        <v>4.2272126816380453</v>
      </c>
      <c r="G16" s="19">
        <v>0</v>
      </c>
      <c r="H16" s="19">
        <v>0</v>
      </c>
      <c r="I16" s="19">
        <v>0</v>
      </c>
    </row>
    <row r="17" spans="1:9" x14ac:dyDescent="0.25">
      <c r="A17" s="1" t="s">
        <v>134</v>
      </c>
      <c r="B17" s="11" t="s">
        <v>176</v>
      </c>
      <c r="C17" s="17" t="s">
        <v>174</v>
      </c>
      <c r="D17" s="11">
        <v>378.97763578274771</v>
      </c>
      <c r="E17" s="11">
        <v>23.105053191489354</v>
      </c>
      <c r="F17" s="11">
        <v>2.9055851063829792</v>
      </c>
      <c r="G17" s="1">
        <v>389.14826498422707</v>
      </c>
      <c r="H17" s="1">
        <v>25.063856960408689</v>
      </c>
      <c r="I17" s="1">
        <v>3.1111111111111112</v>
      </c>
    </row>
    <row r="18" spans="1:9" x14ac:dyDescent="0.25">
      <c r="A18" s="1"/>
      <c r="B18" s="11" t="s">
        <v>181</v>
      </c>
      <c r="C18" s="17" t="s">
        <v>174</v>
      </c>
      <c r="D18" s="18">
        <v>0</v>
      </c>
      <c r="E18" s="18">
        <v>0</v>
      </c>
      <c r="F18" s="18">
        <v>0</v>
      </c>
      <c r="G18" s="1">
        <v>343.40425531914889</v>
      </c>
      <c r="H18" s="1">
        <v>24.426229508196716</v>
      </c>
      <c r="I18" s="1">
        <v>3.5554098360655741</v>
      </c>
    </row>
    <row r="19" spans="1:9" x14ac:dyDescent="0.25">
      <c r="A19" s="1"/>
      <c r="B19" s="11" t="s">
        <v>45</v>
      </c>
      <c r="C19" s="17" t="s">
        <v>174</v>
      </c>
      <c r="D19" s="11">
        <v>403.82445141065836</v>
      </c>
      <c r="E19" s="11">
        <v>11.9205298013245</v>
      </c>
      <c r="F19" s="11">
        <v>2.0132450331125828</v>
      </c>
      <c r="G19" s="19">
        <v>0</v>
      </c>
      <c r="H19" s="19">
        <v>0</v>
      </c>
      <c r="I19" s="19">
        <v>0</v>
      </c>
    </row>
    <row r="20" spans="1:9" x14ac:dyDescent="0.25">
      <c r="A20" s="1"/>
      <c r="B20" s="11" t="s">
        <v>177</v>
      </c>
      <c r="C20" s="17" t="s">
        <v>174</v>
      </c>
      <c r="D20" s="11">
        <v>355.90909090909099</v>
      </c>
      <c r="E20" s="18">
        <v>0</v>
      </c>
      <c r="F20" s="18">
        <v>0</v>
      </c>
      <c r="G20" s="19">
        <v>0</v>
      </c>
      <c r="H20" s="19">
        <v>0</v>
      </c>
      <c r="I20" s="19">
        <v>0</v>
      </c>
    </row>
    <row r="21" spans="1:9" x14ac:dyDescent="0.25">
      <c r="A21" s="1"/>
      <c r="B21" s="11"/>
      <c r="C21" s="17"/>
      <c r="E21" s="18"/>
      <c r="F21" s="18"/>
      <c r="G21" s="19"/>
      <c r="H21" s="19"/>
      <c r="I21" s="19"/>
    </row>
    <row r="22" spans="1:9" x14ac:dyDescent="0.25">
      <c r="A22" s="1"/>
      <c r="B22" s="11" t="s">
        <v>46</v>
      </c>
      <c r="C22" s="17" t="s">
        <v>174</v>
      </c>
      <c r="D22" s="11">
        <v>393.46534653465363</v>
      </c>
      <c r="E22" s="11">
        <v>16.257465162574647</v>
      </c>
      <c r="F22" s="11">
        <v>1.9110816191108162</v>
      </c>
      <c r="G22" s="1">
        <v>355.8217270194985</v>
      </c>
      <c r="H22" s="1">
        <v>24.806701030927833</v>
      </c>
      <c r="I22" s="1">
        <v>2.5206185567010309</v>
      </c>
    </row>
    <row r="23" spans="1:9" x14ac:dyDescent="0.25">
      <c r="A23" s="1"/>
      <c r="B23" s="11" t="s">
        <v>44</v>
      </c>
      <c r="C23" s="17" t="s">
        <v>174</v>
      </c>
      <c r="D23" s="11">
        <v>303.35526315789491</v>
      </c>
      <c r="E23" s="11">
        <v>14.423076923076922</v>
      </c>
      <c r="F23" s="11">
        <v>2.1717506631299739</v>
      </c>
      <c r="G23" s="1">
        <v>243.68983957219245</v>
      </c>
      <c r="H23" s="1">
        <v>18.009168303863785</v>
      </c>
      <c r="I23" s="1">
        <v>2.5815324165029474</v>
      </c>
    </row>
    <row r="24" spans="1:9" x14ac:dyDescent="0.25">
      <c r="A24" s="1" t="s">
        <v>135</v>
      </c>
      <c r="B24" s="11" t="s">
        <v>46</v>
      </c>
      <c r="C24" s="17" t="s">
        <v>174</v>
      </c>
      <c r="D24" s="11">
        <v>390</v>
      </c>
      <c r="E24" s="11">
        <v>18.284574468085104</v>
      </c>
      <c r="F24" s="11">
        <v>2.3703457446808516</v>
      </c>
      <c r="G24" s="1">
        <v>401.45161290322585</v>
      </c>
      <c r="H24" s="1">
        <v>25.343361674296926</v>
      </c>
      <c r="I24" s="1">
        <v>2.5258338783518641</v>
      </c>
    </row>
    <row r="25" spans="1:9" x14ac:dyDescent="0.25">
      <c r="A25" s="1"/>
      <c r="B25" s="11" t="s">
        <v>44</v>
      </c>
      <c r="C25" s="17" t="s">
        <v>174</v>
      </c>
      <c r="D25" s="11">
        <v>331.05431309904156</v>
      </c>
      <c r="E25" s="11">
        <v>14.442231075697208</v>
      </c>
      <c r="F25" s="11">
        <v>2.2543160690571047</v>
      </c>
      <c r="G25" s="1">
        <v>337.29729729729729</v>
      </c>
      <c r="H25" s="1">
        <v>19.851517107811492</v>
      </c>
      <c r="I25" s="1">
        <v>3.6358941252420918</v>
      </c>
    </row>
    <row r="26" spans="1:9" x14ac:dyDescent="0.25">
      <c r="A26" s="1" t="s">
        <v>136</v>
      </c>
      <c r="B26" s="11" t="s">
        <v>46</v>
      </c>
      <c r="C26" s="17" t="s">
        <v>174</v>
      </c>
      <c r="D26" s="11">
        <v>401.37254901960785</v>
      </c>
      <c r="E26" s="11">
        <v>14.627659574468082</v>
      </c>
      <c r="F26" s="11">
        <v>2.4301861702127665</v>
      </c>
      <c r="G26" s="1">
        <v>357.39938080495358</v>
      </c>
      <c r="H26" s="1">
        <v>24.016763378465502</v>
      </c>
      <c r="I26" s="1">
        <v>2.4061895551257253</v>
      </c>
    </row>
    <row r="27" spans="1:9" x14ac:dyDescent="0.25">
      <c r="A27" s="1"/>
      <c r="B27" s="11" t="s">
        <v>176</v>
      </c>
      <c r="C27" s="17" t="s">
        <v>174</v>
      </c>
      <c r="D27" s="11">
        <v>387.5625</v>
      </c>
      <c r="E27" s="11">
        <v>14.960106382978724</v>
      </c>
      <c r="F27" s="11">
        <v>2.1974734042553195</v>
      </c>
      <c r="G27" s="1">
        <v>387.97843665768198</v>
      </c>
      <c r="H27" s="1">
        <v>16.954787234042549</v>
      </c>
      <c r="I27" s="1">
        <v>2.2220744680851068</v>
      </c>
    </row>
    <row r="28" spans="1:9" x14ac:dyDescent="0.25">
      <c r="A28" s="1"/>
      <c r="B28" s="11" t="s">
        <v>44</v>
      </c>
      <c r="C28" s="17" t="s">
        <v>174</v>
      </c>
      <c r="D28" s="11">
        <v>339.87460815047029</v>
      </c>
      <c r="E28" s="11">
        <v>12.76525198938992</v>
      </c>
      <c r="F28" s="11">
        <v>2.4436339522546429</v>
      </c>
      <c r="G28" s="1">
        <v>303.49514563106794</v>
      </c>
      <c r="H28" s="1">
        <v>18.398967075532592</v>
      </c>
      <c r="I28" s="1">
        <v>2.9580374435119432</v>
      </c>
    </row>
    <row r="29" spans="1:9" x14ac:dyDescent="0.25">
      <c r="A29" s="1" t="s">
        <v>137</v>
      </c>
      <c r="B29" s="11" t="s">
        <v>46</v>
      </c>
      <c r="C29" s="17" t="s">
        <v>174</v>
      </c>
      <c r="D29" s="11">
        <v>402.03947368421063</v>
      </c>
      <c r="E29" s="11">
        <v>15.458776595744681</v>
      </c>
      <c r="F29" s="11">
        <v>2.6030585106382977</v>
      </c>
      <c r="G29" s="1">
        <v>358.21192052980132</v>
      </c>
      <c r="H29" s="1">
        <v>30.900723208415513</v>
      </c>
      <c r="I29" s="1">
        <v>3.2084155161078236</v>
      </c>
    </row>
    <row r="30" spans="1:9" x14ac:dyDescent="0.25">
      <c r="A30" s="1"/>
      <c r="B30" s="11" t="s">
        <v>180</v>
      </c>
      <c r="C30" s="17" t="s">
        <v>174</v>
      </c>
      <c r="D30" s="11">
        <v>352.81553398058259</v>
      </c>
      <c r="E30" s="11">
        <v>9.0699208443271733</v>
      </c>
      <c r="F30" s="11">
        <v>2.0085751978891819</v>
      </c>
      <c r="G30" s="1">
        <v>372.7899686520376</v>
      </c>
      <c r="H30" s="1">
        <v>19.329896907216494</v>
      </c>
      <c r="I30" s="1">
        <v>3.4162371134020617</v>
      </c>
    </row>
    <row r="31" spans="1:9" x14ac:dyDescent="0.25">
      <c r="A31" s="1"/>
      <c r="B31" s="11" t="s">
        <v>183</v>
      </c>
      <c r="C31" s="17" t="s">
        <v>174</v>
      </c>
      <c r="D31" s="11">
        <v>361.72523961661346</v>
      </c>
      <c r="E31" s="11">
        <v>16.545334215751158</v>
      </c>
      <c r="F31" s="11">
        <v>3.9146260754467228</v>
      </c>
      <c r="G31" s="1">
        <v>383.45276872964172</v>
      </c>
      <c r="H31" s="1">
        <v>24.785194976867153</v>
      </c>
      <c r="I31" s="1">
        <v>4.5869134170522132</v>
      </c>
    </row>
    <row r="32" spans="1:9" x14ac:dyDescent="0.25">
      <c r="A32" s="1"/>
      <c r="B32" s="11" t="s">
        <v>178</v>
      </c>
      <c r="C32" s="17" t="s">
        <v>174</v>
      </c>
      <c r="D32" s="11">
        <v>373.27102803738336</v>
      </c>
      <c r="E32" s="11">
        <v>13.315579227696404</v>
      </c>
      <c r="F32" s="11">
        <v>3.2456724367509979</v>
      </c>
      <c r="G32" s="1">
        <v>351.06017191977071</v>
      </c>
      <c r="H32" s="1">
        <v>16.963109354413703</v>
      </c>
      <c r="I32" s="1">
        <v>3.6561264822134381</v>
      </c>
    </row>
    <row r="33" spans="1:9" x14ac:dyDescent="0.25">
      <c r="A33" s="1" t="s">
        <v>138</v>
      </c>
      <c r="B33" s="11" t="s">
        <v>176</v>
      </c>
      <c r="C33" s="17" t="s">
        <v>174</v>
      </c>
      <c r="D33" s="11">
        <v>374.85714285714295</v>
      </c>
      <c r="E33" s="11">
        <v>18.308921438082557</v>
      </c>
      <c r="F33" s="11">
        <v>2.8262316910785619</v>
      </c>
      <c r="G33" s="1">
        <v>317.55223880597003</v>
      </c>
      <c r="H33" s="1">
        <v>22.471910112359552</v>
      </c>
      <c r="I33" s="1">
        <v>4.1242564441506939</v>
      </c>
    </row>
    <row r="34" spans="1:9" x14ac:dyDescent="0.25">
      <c r="A34" s="1"/>
      <c r="B34" s="11" t="s">
        <v>177</v>
      </c>
      <c r="C34" s="17" t="s">
        <v>174</v>
      </c>
      <c r="D34" s="11">
        <v>312.96774193548396</v>
      </c>
      <c r="E34" s="11">
        <v>18.733421750663133</v>
      </c>
      <c r="F34" s="11">
        <v>2.9210875331564989</v>
      </c>
      <c r="G34" s="1">
        <v>303.98936170212767</v>
      </c>
      <c r="H34" s="1">
        <v>18.268597761685321</v>
      </c>
      <c r="I34" s="1">
        <v>3.6142198815009867</v>
      </c>
    </row>
    <row r="35" spans="1:9" x14ac:dyDescent="0.25">
      <c r="A35" s="1"/>
      <c r="B35" s="11" t="s">
        <v>46</v>
      </c>
      <c r="C35" s="17" t="s">
        <v>174</v>
      </c>
      <c r="D35" s="18">
        <v>0</v>
      </c>
      <c r="E35" s="18">
        <v>0</v>
      </c>
      <c r="F35" s="18">
        <v>0</v>
      </c>
      <c r="G35" s="1">
        <v>368.80239520958077</v>
      </c>
      <c r="H35" s="1">
        <v>25.331125827814567</v>
      </c>
      <c r="I35" s="1">
        <v>2.8940397350993372</v>
      </c>
    </row>
    <row r="36" spans="1:9" x14ac:dyDescent="0.25">
      <c r="A36" s="1"/>
      <c r="B36" s="11" t="s">
        <v>181</v>
      </c>
      <c r="C36" s="17" t="s">
        <v>174</v>
      </c>
      <c r="D36" s="18">
        <v>0</v>
      </c>
      <c r="E36" s="18">
        <v>0</v>
      </c>
      <c r="F36" s="18">
        <v>0</v>
      </c>
      <c r="G36" s="1">
        <v>276.23595505617976</v>
      </c>
      <c r="H36" s="1">
        <v>17.738726790450929</v>
      </c>
      <c r="I36" s="1">
        <v>3.5610079575596822</v>
      </c>
    </row>
    <row r="37" spans="1:9" x14ac:dyDescent="0.25">
      <c r="A37" s="1"/>
      <c r="B37" s="11" t="s">
        <v>63</v>
      </c>
      <c r="C37" s="17" t="s">
        <v>174</v>
      </c>
      <c r="D37" s="11">
        <v>344.22077922077926</v>
      </c>
      <c r="E37" s="11">
        <v>16.401590457256457</v>
      </c>
      <c r="F37" s="11">
        <v>1.6799204771371765</v>
      </c>
      <c r="G37" s="1">
        <v>356.28318584070792</v>
      </c>
      <c r="H37" s="1">
        <v>41.666666666666664</v>
      </c>
      <c r="I37" s="1">
        <v>3.5059760956175294</v>
      </c>
    </row>
    <row r="38" spans="1:9" x14ac:dyDescent="0.25">
      <c r="A38" s="1"/>
      <c r="B38" s="11" t="s">
        <v>44</v>
      </c>
      <c r="C38" s="17" t="s">
        <v>174</v>
      </c>
      <c r="D38" s="11">
        <v>302.12903225806463</v>
      </c>
      <c r="E38" s="11">
        <v>11.936339522546417</v>
      </c>
      <c r="F38" s="11">
        <v>1.6147214854111409</v>
      </c>
      <c r="G38" s="1">
        <v>350.44247787610618</v>
      </c>
      <c r="H38" s="1">
        <v>20.448548812664907</v>
      </c>
      <c r="I38" s="1">
        <v>3.443271767810026</v>
      </c>
    </row>
    <row r="39" spans="1:9" x14ac:dyDescent="0.25">
      <c r="A39" s="1" t="s">
        <v>139</v>
      </c>
      <c r="B39" s="11" t="s">
        <v>176</v>
      </c>
      <c r="C39" s="17" t="s">
        <v>174</v>
      </c>
      <c r="D39" s="11">
        <v>390.09646302250815</v>
      </c>
      <c r="E39" s="11">
        <v>22.039473684210527</v>
      </c>
      <c r="F39" s="11">
        <v>3.8059210526315788</v>
      </c>
      <c r="G39" s="1">
        <v>402.18181818181813</v>
      </c>
      <c r="H39" s="1">
        <v>24.851876234364713</v>
      </c>
      <c r="I39" s="1">
        <v>3.7985516787360103</v>
      </c>
    </row>
    <row r="40" spans="1:9" x14ac:dyDescent="0.25">
      <c r="A40" s="1"/>
      <c r="B40" s="11" t="s">
        <v>46</v>
      </c>
      <c r="C40" s="17" t="s">
        <v>174</v>
      </c>
      <c r="D40" s="11">
        <v>370.02832861189808</v>
      </c>
      <c r="E40" s="11">
        <v>14.950166112956811</v>
      </c>
      <c r="F40" s="11">
        <v>2.3421926910299002</v>
      </c>
      <c r="G40" s="1">
        <v>370.14836795252222</v>
      </c>
      <c r="H40" s="1">
        <v>20.806028833551768</v>
      </c>
      <c r="I40" s="1">
        <v>3.0537352555701176</v>
      </c>
    </row>
    <row r="41" spans="1:9" x14ac:dyDescent="0.25">
      <c r="A41" s="1"/>
      <c r="B41" s="11" t="s">
        <v>177</v>
      </c>
      <c r="C41" s="17" t="s">
        <v>174</v>
      </c>
      <c r="D41" s="11">
        <v>314.53608247422682</v>
      </c>
      <c r="E41" s="11">
        <v>26.045122760451228</v>
      </c>
      <c r="F41" s="11">
        <v>6.7982747179827472</v>
      </c>
      <c r="G41" s="1">
        <v>294.01869158878503</v>
      </c>
      <c r="H41" s="1">
        <v>22.682445759368836</v>
      </c>
      <c r="I41" s="1">
        <v>4.7928994082840228</v>
      </c>
    </row>
    <row r="42" spans="1:9" x14ac:dyDescent="0.25">
      <c r="A42" s="1"/>
      <c r="B42" s="11" t="s">
        <v>44</v>
      </c>
      <c r="C42" s="17" t="s">
        <v>174</v>
      </c>
      <c r="D42" s="11">
        <v>368.38905775076</v>
      </c>
      <c r="E42" s="11">
        <v>11.643379906852958</v>
      </c>
      <c r="F42" s="11">
        <v>2.3519627411842983</v>
      </c>
      <c r="G42" s="1">
        <v>280.3478260869565</v>
      </c>
      <c r="H42" s="1">
        <v>17.434210526315791</v>
      </c>
      <c r="I42" s="1">
        <v>3.8026315789473686</v>
      </c>
    </row>
    <row r="43" spans="1:9" x14ac:dyDescent="0.25">
      <c r="A43" s="1" t="s">
        <v>140</v>
      </c>
      <c r="B43" s="11" t="s">
        <v>177</v>
      </c>
      <c r="C43" s="17" t="s">
        <v>174</v>
      </c>
      <c r="D43" s="11">
        <v>326.96202531645577</v>
      </c>
      <c r="E43" s="11">
        <v>23.920265780730894</v>
      </c>
      <c r="F43" s="11">
        <v>4.2524916943521598</v>
      </c>
      <c r="G43" s="1">
        <v>326.81198910081747</v>
      </c>
      <c r="H43" s="1">
        <v>26.91545574636724</v>
      </c>
      <c r="I43" s="1">
        <v>4.8282694848084535</v>
      </c>
    </row>
    <row r="44" spans="1:9" x14ac:dyDescent="0.25">
      <c r="A44" s="1"/>
      <c r="B44" s="11" t="s">
        <v>51</v>
      </c>
      <c r="C44" s="17" t="s">
        <v>174</v>
      </c>
      <c r="D44" s="11">
        <v>388.10126582278485</v>
      </c>
      <c r="E44" s="11">
        <v>15.346534653465348</v>
      </c>
      <c r="F44" s="11">
        <v>3.8547854785478548</v>
      </c>
      <c r="G44" s="1">
        <v>354.88524590163934</v>
      </c>
      <c r="H44" s="1">
        <v>31.208499335989373</v>
      </c>
      <c r="I44" s="1">
        <v>4.9601593625498008</v>
      </c>
    </row>
    <row r="45" spans="1:9" x14ac:dyDescent="0.25">
      <c r="A45" s="1"/>
      <c r="B45" s="11" t="s">
        <v>176</v>
      </c>
      <c r="C45" s="17" t="s">
        <v>174</v>
      </c>
      <c r="D45" s="11">
        <v>394.17956656346752</v>
      </c>
      <c r="E45" s="11">
        <v>15.562913907284768</v>
      </c>
      <c r="F45" s="11">
        <v>2.3443708609271523</v>
      </c>
      <c r="G45" s="1">
        <v>398.63777089783287</v>
      </c>
      <c r="H45" s="1">
        <v>17.621870882740449</v>
      </c>
      <c r="I45" s="1">
        <v>3.0237154150197632</v>
      </c>
    </row>
    <row r="46" spans="1:9" x14ac:dyDescent="0.25">
      <c r="A46" s="1"/>
      <c r="B46" s="11" t="s">
        <v>44</v>
      </c>
      <c r="C46" s="17" t="s">
        <v>174</v>
      </c>
      <c r="D46" s="11">
        <v>321.95530726256993</v>
      </c>
      <c r="E46" s="11">
        <v>10.97804391217565</v>
      </c>
      <c r="F46" s="11">
        <v>1.6500332667997339</v>
      </c>
      <c r="G46" s="1">
        <v>285.30259365994237</v>
      </c>
      <c r="H46" s="1">
        <v>18.175809649702579</v>
      </c>
      <c r="I46" s="1">
        <v>2.9874421678783873</v>
      </c>
    </row>
    <row r="47" spans="1:9" x14ac:dyDescent="0.25">
      <c r="A47" s="1"/>
      <c r="B47" s="11" t="s">
        <v>46</v>
      </c>
      <c r="C47" s="17" t="s">
        <v>174</v>
      </c>
      <c r="D47" s="11">
        <v>382.97468354430379</v>
      </c>
      <c r="E47" s="11">
        <v>12.126245847176079</v>
      </c>
      <c r="F47" s="11">
        <v>1.5813953488372092</v>
      </c>
      <c r="G47" s="1">
        <v>386.97247706422019</v>
      </c>
      <c r="H47" s="1">
        <v>16.776315789473685</v>
      </c>
      <c r="I47" s="1">
        <v>1.5921052631578949</v>
      </c>
    </row>
    <row r="48" spans="1:9" x14ac:dyDescent="0.25">
      <c r="A48" s="1" t="s">
        <v>141</v>
      </c>
      <c r="B48" s="11" t="s">
        <v>46</v>
      </c>
      <c r="C48" s="17" t="s">
        <v>174</v>
      </c>
      <c r="D48" s="11">
        <v>375.78947368421052</v>
      </c>
      <c r="E48" s="11">
        <v>12.284196547144752</v>
      </c>
      <c r="F48" s="11">
        <v>1.5537848605577689</v>
      </c>
      <c r="G48" s="1">
        <v>349.46428571428578</v>
      </c>
      <c r="H48" s="1">
        <v>19.749835418038185</v>
      </c>
      <c r="I48" s="1">
        <v>2.3370638578011844</v>
      </c>
    </row>
    <row r="49" spans="1:9" x14ac:dyDescent="0.25">
      <c r="A49" s="1"/>
      <c r="B49" s="11" t="s">
        <v>44</v>
      </c>
      <c r="C49" s="17" t="s">
        <v>174</v>
      </c>
      <c r="D49" s="11">
        <v>285.04504504504513</v>
      </c>
      <c r="E49" s="11">
        <v>10.197368421052632</v>
      </c>
      <c r="F49" s="11">
        <v>1.625</v>
      </c>
      <c r="G49" s="1">
        <v>254.99999999999997</v>
      </c>
      <c r="H49" s="1">
        <v>12.524719841793011</v>
      </c>
      <c r="I49" s="1">
        <v>1.7468688200395515</v>
      </c>
    </row>
    <row r="50" spans="1:9" x14ac:dyDescent="0.25">
      <c r="A50" s="1" t="s">
        <v>142</v>
      </c>
      <c r="B50" s="11" t="s">
        <v>46</v>
      </c>
      <c r="C50" s="17" t="s">
        <v>174</v>
      </c>
      <c r="D50" s="11">
        <v>356.15853658536588</v>
      </c>
      <c r="E50" s="11">
        <v>12.837393021724818</v>
      </c>
      <c r="F50" s="11">
        <v>1.9749835418038182</v>
      </c>
      <c r="G50" s="1">
        <v>272.40997229916906</v>
      </c>
      <c r="H50" s="1">
        <v>21.433246073298434</v>
      </c>
      <c r="I50" s="1">
        <v>2.8926701570680629</v>
      </c>
    </row>
    <row r="51" spans="1:9" x14ac:dyDescent="0.25">
      <c r="A51" s="1"/>
      <c r="B51" s="11" t="s">
        <v>44</v>
      </c>
      <c r="C51" s="17" t="s">
        <v>174</v>
      </c>
      <c r="D51" s="11">
        <v>300.19480519480527</v>
      </c>
      <c r="E51" s="11">
        <v>8.9880159786950742</v>
      </c>
      <c r="F51" s="11">
        <v>1.884154460719041</v>
      </c>
      <c r="G51" s="1">
        <v>260.27472527472531</v>
      </c>
      <c r="H51" s="1">
        <v>16.223231667748216</v>
      </c>
      <c r="I51" s="1">
        <v>3.5301752109020117</v>
      </c>
    </row>
    <row r="52" spans="1:9" x14ac:dyDescent="0.25">
      <c r="A52" s="1" t="s">
        <v>143</v>
      </c>
      <c r="B52" s="11" t="s">
        <v>44</v>
      </c>
      <c r="C52" s="17" t="s">
        <v>174</v>
      </c>
      <c r="D52" s="11">
        <v>274.66666666666674</v>
      </c>
      <c r="E52" s="11">
        <v>10.790172642762283</v>
      </c>
      <c r="F52" s="11">
        <v>1.6268260292164674</v>
      </c>
      <c r="G52" s="1">
        <v>256.50000000000006</v>
      </c>
      <c r="H52" s="1">
        <v>11.333771353482259</v>
      </c>
      <c r="I52" s="1">
        <v>2.6149802890932987</v>
      </c>
    </row>
    <row r="53" spans="1:9" x14ac:dyDescent="0.25">
      <c r="A53" s="1"/>
      <c r="B53" s="11" t="s">
        <v>181</v>
      </c>
      <c r="C53" s="17" t="s">
        <v>174</v>
      </c>
      <c r="D53" s="11">
        <v>348.57142857142867</v>
      </c>
      <c r="E53" s="11">
        <v>20.984798413747523</v>
      </c>
      <c r="F53" s="11">
        <v>3.8664904163912759</v>
      </c>
      <c r="G53" s="19">
        <v>0</v>
      </c>
      <c r="H53" s="19">
        <v>0</v>
      </c>
      <c r="I53" s="19">
        <v>0</v>
      </c>
    </row>
    <row r="54" spans="1:9" x14ac:dyDescent="0.25">
      <c r="A54" s="1"/>
      <c r="B54" s="11" t="s">
        <v>46</v>
      </c>
      <c r="C54" s="17" t="s">
        <v>174</v>
      </c>
      <c r="D54" s="11">
        <v>365.94594594594588</v>
      </c>
      <c r="E54" s="11">
        <v>12.126245847176079</v>
      </c>
      <c r="F54" s="11">
        <v>2.0996677740863792</v>
      </c>
      <c r="G54" s="1">
        <v>359.51612903225805</v>
      </c>
      <c r="H54" s="1">
        <v>18.858800773694391</v>
      </c>
      <c r="I54" s="1">
        <v>2.8046421663442938</v>
      </c>
    </row>
    <row r="55" spans="1:9" x14ac:dyDescent="0.25">
      <c r="A55" s="1"/>
      <c r="B55" s="11" t="s">
        <v>177</v>
      </c>
      <c r="C55" s="17" t="s">
        <v>174</v>
      </c>
      <c r="D55" s="11">
        <v>347.54716981132083</v>
      </c>
      <c r="E55" s="11">
        <v>16.499999999999996</v>
      </c>
      <c r="F55" s="11">
        <v>3.2866666666666666</v>
      </c>
      <c r="G55" s="19">
        <v>0</v>
      </c>
      <c r="H55" s="19">
        <v>0</v>
      </c>
      <c r="I55" s="19">
        <v>0</v>
      </c>
    </row>
    <row r="56" spans="1:9" x14ac:dyDescent="0.25">
      <c r="A56" s="1"/>
      <c r="B56" s="11" t="s">
        <v>45</v>
      </c>
      <c r="C56" s="17" t="s">
        <v>174</v>
      </c>
      <c r="D56" s="11">
        <v>356.57142857142867</v>
      </c>
      <c r="E56" s="11">
        <v>9.6537949400798926</v>
      </c>
      <c r="F56" s="11">
        <v>1.6844207723035951</v>
      </c>
      <c r="G56" s="19">
        <v>0</v>
      </c>
      <c r="H56" s="19">
        <v>0</v>
      </c>
      <c r="I56" s="19">
        <v>0</v>
      </c>
    </row>
    <row r="57" spans="1:9" x14ac:dyDescent="0.25">
      <c r="A57" s="1" t="s">
        <v>144</v>
      </c>
      <c r="B57" s="11" t="s">
        <v>44</v>
      </c>
      <c r="C57" s="17" t="s">
        <v>174</v>
      </c>
      <c r="D57" s="11">
        <v>333.92971246006391</v>
      </c>
      <c r="E57" s="11">
        <v>8.1287325812873252</v>
      </c>
      <c r="F57" s="11">
        <v>2.6542800265427999</v>
      </c>
      <c r="G57" s="1">
        <v>257.87564766839375</v>
      </c>
      <c r="H57" s="1">
        <v>14.048531289910597</v>
      </c>
      <c r="I57" s="1">
        <v>4.2081736909323118</v>
      </c>
    </row>
    <row r="58" spans="1:9" x14ac:dyDescent="0.25">
      <c r="A58" s="1"/>
      <c r="B58" s="11" t="s">
        <v>46</v>
      </c>
      <c r="C58" s="17" t="s">
        <v>174</v>
      </c>
      <c r="D58" s="11">
        <v>396.9677419354839</v>
      </c>
      <c r="E58" s="11">
        <v>12.607830126078301</v>
      </c>
      <c r="F58" s="11">
        <v>1.8248175182481758</v>
      </c>
      <c r="G58" s="1">
        <v>395.79250720461096</v>
      </c>
      <c r="H58" s="1">
        <v>20.084911822338338</v>
      </c>
      <c r="I58" s="1">
        <v>3.1678641410842587</v>
      </c>
    </row>
    <row r="59" spans="1:9" x14ac:dyDescent="0.25">
      <c r="A59" s="1"/>
      <c r="B59" s="11" t="s">
        <v>176</v>
      </c>
      <c r="C59" s="17" t="s">
        <v>174</v>
      </c>
      <c r="D59" s="11">
        <v>410.44585987261166</v>
      </c>
      <c r="E59" s="11">
        <v>13.696369636963695</v>
      </c>
      <c r="F59" s="11">
        <v>2.3168316831683162</v>
      </c>
      <c r="G59" s="1">
        <v>409.40119760479041</v>
      </c>
      <c r="H59" s="1">
        <v>16.817593790426908</v>
      </c>
      <c r="I59" s="1">
        <v>3.260025873221216</v>
      </c>
    </row>
    <row r="60" spans="1:9" x14ac:dyDescent="0.25">
      <c r="A60" s="1"/>
      <c r="B60" s="11" t="s">
        <v>63</v>
      </c>
      <c r="C60" s="17" t="s">
        <v>174</v>
      </c>
      <c r="D60" s="11">
        <v>263.69905956112865</v>
      </c>
      <c r="E60" s="11">
        <v>17.430278884462151</v>
      </c>
      <c r="F60" s="11">
        <v>1.8791500664010621</v>
      </c>
      <c r="G60" s="1">
        <v>240.17441860465115</v>
      </c>
      <c r="H60" s="1">
        <v>19.005847953216374</v>
      </c>
      <c r="I60" s="1">
        <v>2.3196881091617936</v>
      </c>
    </row>
    <row r="61" spans="1:9" x14ac:dyDescent="0.25">
      <c r="A61" s="1"/>
      <c r="B61" s="11" t="s">
        <v>51</v>
      </c>
      <c r="C61" s="17" t="s">
        <v>174</v>
      </c>
      <c r="D61" s="18">
        <v>0</v>
      </c>
      <c r="E61" s="18">
        <v>0</v>
      </c>
      <c r="F61" s="18">
        <v>0</v>
      </c>
      <c r="G61" s="19">
        <v>0</v>
      </c>
      <c r="H61" s="19">
        <v>0</v>
      </c>
      <c r="I61" s="19">
        <v>0</v>
      </c>
    </row>
    <row r="62" spans="1:9" x14ac:dyDescent="0.25">
      <c r="A62" s="1"/>
      <c r="B62" s="11" t="s">
        <v>184</v>
      </c>
      <c r="C62" s="17" t="s">
        <v>174</v>
      </c>
      <c r="D62" s="11">
        <v>328.00000000000006</v>
      </c>
      <c r="E62" s="11">
        <v>12.632978723404253</v>
      </c>
      <c r="F62" s="11">
        <v>1.6755319148936172</v>
      </c>
      <c r="G62" s="19">
        <v>0</v>
      </c>
      <c r="H62" s="19">
        <v>0</v>
      </c>
      <c r="I62" s="19">
        <v>0</v>
      </c>
    </row>
    <row r="63" spans="1:9" x14ac:dyDescent="0.25">
      <c r="A63" s="1" t="s">
        <v>145</v>
      </c>
      <c r="B63" s="11" t="s">
        <v>46</v>
      </c>
      <c r="C63" s="17" t="s">
        <v>174</v>
      </c>
      <c r="D63" s="11">
        <v>388.5148514851486</v>
      </c>
      <c r="E63" s="11">
        <v>10.862409479921</v>
      </c>
      <c r="F63" s="11">
        <v>1.2139565503620804</v>
      </c>
      <c r="G63" s="1">
        <v>342.25130890052355</v>
      </c>
      <c r="H63" s="1">
        <v>21.640826873385013</v>
      </c>
      <c r="I63" s="1">
        <v>3.1976744186046515</v>
      </c>
    </row>
    <row r="64" spans="1:9" x14ac:dyDescent="0.25">
      <c r="A64" s="1"/>
      <c r="B64" s="11" t="s">
        <v>177</v>
      </c>
      <c r="C64" s="17" t="s">
        <v>174</v>
      </c>
      <c r="D64" s="18">
        <v>0</v>
      </c>
      <c r="E64" s="18">
        <v>0</v>
      </c>
      <c r="F64" s="18">
        <v>0</v>
      </c>
      <c r="G64" s="1">
        <v>495.24752475247521</v>
      </c>
      <c r="H64" s="1">
        <v>23.401450230718524</v>
      </c>
      <c r="I64" s="1">
        <v>5.3263019116677661</v>
      </c>
    </row>
    <row r="65" spans="1:9" x14ac:dyDescent="0.25">
      <c r="A65" s="1"/>
      <c r="B65" s="11" t="s">
        <v>44</v>
      </c>
      <c r="C65" s="17" t="s">
        <v>174</v>
      </c>
      <c r="D65" s="11">
        <v>295.86885245901652</v>
      </c>
      <c r="E65" s="11">
        <v>16.876240900066175</v>
      </c>
      <c r="F65" s="11">
        <v>2.0542686962276635</v>
      </c>
      <c r="G65" s="1">
        <v>286.01626016260161</v>
      </c>
      <c r="H65" s="1">
        <v>17.468688200395519</v>
      </c>
      <c r="I65" s="1">
        <v>3.7508239947264337</v>
      </c>
    </row>
    <row r="66" spans="1:9" x14ac:dyDescent="0.25">
      <c r="A66" s="1"/>
      <c r="B66" s="11" t="s">
        <v>176</v>
      </c>
      <c r="C66" s="17" t="s">
        <v>174</v>
      </c>
      <c r="D66" s="11">
        <v>376.29139072847693</v>
      </c>
      <c r="E66" s="11">
        <v>18.622280817402768</v>
      </c>
      <c r="F66" s="11">
        <v>3.094264996704021</v>
      </c>
      <c r="G66" s="1">
        <v>366.20689655172418</v>
      </c>
      <c r="H66" s="1">
        <v>24.098360655737707</v>
      </c>
      <c r="I66" s="1">
        <v>4.918032786885246</v>
      </c>
    </row>
    <row r="67" spans="1:9" x14ac:dyDescent="0.25">
      <c r="A67" s="1" t="s">
        <v>146</v>
      </c>
      <c r="B67" s="11" t="s">
        <v>44</v>
      </c>
      <c r="C67" s="17" t="s">
        <v>174</v>
      </c>
      <c r="D67" s="11">
        <v>339.80582524271853</v>
      </c>
      <c r="E67" s="11">
        <v>10.79734219269103</v>
      </c>
      <c r="F67" s="11">
        <v>1.3448504983388707</v>
      </c>
      <c r="G67" s="1">
        <v>291.06796116504864</v>
      </c>
      <c r="H67" s="1">
        <v>18.076178179470627</v>
      </c>
      <c r="I67" s="1">
        <v>3.3247256294383472</v>
      </c>
    </row>
    <row r="68" spans="1:9" x14ac:dyDescent="0.25">
      <c r="A68" s="1"/>
      <c r="B68" s="11" t="s">
        <v>51</v>
      </c>
      <c r="C68" s="17" t="s">
        <v>174</v>
      </c>
      <c r="D68" s="11">
        <v>399.31677018633542</v>
      </c>
      <c r="E68" s="11">
        <v>17.281105990783409</v>
      </c>
      <c r="F68" s="11">
        <v>3.0967741935483866</v>
      </c>
      <c r="G68" s="19">
        <v>0</v>
      </c>
      <c r="H68" s="19">
        <v>0</v>
      </c>
      <c r="I68" s="19">
        <v>0</v>
      </c>
    </row>
    <row r="69" spans="1:9" x14ac:dyDescent="0.25">
      <c r="A69" s="1"/>
      <c r="B69" s="11" t="s">
        <v>177</v>
      </c>
      <c r="C69" s="17" t="s">
        <v>174</v>
      </c>
      <c r="D69" s="11">
        <v>316.89320388349529</v>
      </c>
      <c r="E69" s="11">
        <v>20.572745227123104</v>
      </c>
      <c r="F69" s="11">
        <v>3.7551020408163267</v>
      </c>
      <c r="G69" s="19">
        <v>0</v>
      </c>
      <c r="H69" s="19">
        <v>0</v>
      </c>
      <c r="I69" s="19">
        <v>0</v>
      </c>
    </row>
    <row r="70" spans="1:9" x14ac:dyDescent="0.25">
      <c r="A70" s="1"/>
      <c r="B70" s="11" t="s">
        <v>185</v>
      </c>
      <c r="C70" s="17" t="s">
        <v>174</v>
      </c>
      <c r="D70" s="11">
        <v>393.58490566037739</v>
      </c>
      <c r="E70" s="11">
        <v>15.225933202357565</v>
      </c>
      <c r="F70" s="11">
        <v>1.2468893254747875</v>
      </c>
      <c r="G70" s="19">
        <v>0</v>
      </c>
      <c r="H70" s="19">
        <v>0</v>
      </c>
      <c r="I70" s="19">
        <v>0</v>
      </c>
    </row>
    <row r="71" spans="1:9" x14ac:dyDescent="0.25">
      <c r="A71" s="1"/>
      <c r="B71" s="11" t="s">
        <v>176</v>
      </c>
      <c r="C71" s="17" t="s">
        <v>174</v>
      </c>
      <c r="D71" s="11">
        <v>398.48684210526324</v>
      </c>
      <c r="E71" s="11">
        <v>12.155059132720105</v>
      </c>
      <c r="F71" s="11">
        <v>1.4875164257555848</v>
      </c>
      <c r="G71" s="1">
        <v>411.05960264900671</v>
      </c>
      <c r="H71" s="1">
        <v>18.368010403120937</v>
      </c>
      <c r="I71" s="1">
        <v>2.8478543563068923</v>
      </c>
    </row>
    <row r="72" spans="1:9" x14ac:dyDescent="0.25">
      <c r="A72" s="1"/>
      <c r="B72" s="11" t="s">
        <v>46</v>
      </c>
      <c r="C72" s="17" t="s">
        <v>174</v>
      </c>
      <c r="D72" s="18">
        <v>0</v>
      </c>
      <c r="E72" s="18">
        <v>0</v>
      </c>
      <c r="F72" s="18">
        <v>0</v>
      </c>
      <c r="G72" s="1">
        <v>415.62913907284775</v>
      </c>
      <c r="H72" s="1">
        <v>19.588953114964674</v>
      </c>
      <c r="I72" s="1">
        <v>2.3506743737957612</v>
      </c>
    </row>
    <row r="73" spans="1:9" x14ac:dyDescent="0.25">
      <c r="A73" s="1" t="s">
        <v>43</v>
      </c>
      <c r="B73" s="1" t="s">
        <v>44</v>
      </c>
      <c r="C73" s="16" t="s">
        <v>174</v>
      </c>
      <c r="D73" s="18">
        <v>0</v>
      </c>
      <c r="E73" s="18">
        <v>0</v>
      </c>
      <c r="F73" s="18">
        <v>0</v>
      </c>
      <c r="G73" s="1">
        <v>287.92332268370609</v>
      </c>
      <c r="H73" s="1">
        <v>18.101761252446185</v>
      </c>
      <c r="I73" s="1">
        <v>1.8525766470971952</v>
      </c>
    </row>
    <row r="74" spans="1:9" x14ac:dyDescent="0.25">
      <c r="A74" s="1"/>
      <c r="B74" s="1" t="s">
        <v>47</v>
      </c>
      <c r="C74" s="16" t="s">
        <v>174</v>
      </c>
      <c r="D74" s="11">
        <v>417.80254777070064</v>
      </c>
      <c r="E74" s="11">
        <v>9.7682119205298026</v>
      </c>
      <c r="F74" s="11">
        <v>0.71788079470198674</v>
      </c>
      <c r="G74" s="1">
        <v>315.6140350877194</v>
      </c>
      <c r="H74" s="1">
        <v>12.235449735449736</v>
      </c>
      <c r="I74" s="1">
        <v>1.7592592592592591</v>
      </c>
    </row>
    <row r="75" spans="1:9" x14ac:dyDescent="0.25">
      <c r="A75" s="1"/>
      <c r="B75" s="1" t="s">
        <v>46</v>
      </c>
      <c r="C75" s="16" t="s">
        <v>174</v>
      </c>
      <c r="D75" s="11">
        <v>394.71153846153845</v>
      </c>
      <c r="E75" s="11">
        <v>11.3031914893617</v>
      </c>
      <c r="F75" s="11">
        <v>0.99999999999999978</v>
      </c>
      <c r="G75" s="1">
        <v>385.27331189710605</v>
      </c>
      <c r="H75" s="1">
        <v>18.603133159268925</v>
      </c>
      <c r="I75" s="1">
        <v>1.8146214099216711</v>
      </c>
    </row>
    <row r="76" spans="1:9" x14ac:dyDescent="0.25">
      <c r="A76" s="1"/>
      <c r="B76" s="1" t="s">
        <v>45</v>
      </c>
      <c r="C76" s="16" t="s">
        <v>174</v>
      </c>
      <c r="D76" s="11">
        <v>424.78827361563509</v>
      </c>
      <c r="E76" s="11">
        <v>11.191573403554967</v>
      </c>
      <c r="F76" s="11">
        <v>0.93087557603686655</v>
      </c>
      <c r="G76" s="1">
        <v>412.30320699708466</v>
      </c>
      <c r="H76" s="1">
        <v>14.970059880239521</v>
      </c>
      <c r="I76" s="1">
        <v>1.2574850299401199</v>
      </c>
    </row>
    <row r="77" spans="1:9" x14ac:dyDescent="0.25">
      <c r="A77" s="1" t="s">
        <v>48</v>
      </c>
      <c r="B77" s="1" t="s">
        <v>49</v>
      </c>
      <c r="C77" s="16" t="s">
        <v>174</v>
      </c>
      <c r="D77" s="11">
        <v>310.34810126582266</v>
      </c>
      <c r="E77" s="11">
        <v>9.3503937007873965</v>
      </c>
      <c r="F77" s="11">
        <v>0.61286089238845165</v>
      </c>
      <c r="G77" s="1">
        <v>258.89908256880733</v>
      </c>
      <c r="H77" s="1">
        <v>12.404580152671755</v>
      </c>
      <c r="I77" s="1">
        <v>1.6603053435114503</v>
      </c>
    </row>
    <row r="78" spans="1:9" x14ac:dyDescent="0.25">
      <c r="A78" s="1"/>
      <c r="B78" s="1" t="s">
        <v>47</v>
      </c>
      <c r="C78" s="16" t="s">
        <v>174</v>
      </c>
      <c r="D78" s="11">
        <v>385.55921052631572</v>
      </c>
      <c r="E78" s="11">
        <v>9.9869024230517347</v>
      </c>
      <c r="F78" s="11">
        <v>0.65094957432874911</v>
      </c>
      <c r="G78" s="1">
        <v>314.86725663716817</v>
      </c>
      <c r="H78" s="1">
        <v>11.219974715549936</v>
      </c>
      <c r="I78" s="1">
        <v>1.5170670037926675</v>
      </c>
    </row>
    <row r="79" spans="1:9" x14ac:dyDescent="0.25">
      <c r="A79" s="1"/>
      <c r="B79" s="1" t="s">
        <v>45</v>
      </c>
      <c r="C79" s="16" t="s">
        <v>174</v>
      </c>
      <c r="D79" s="11">
        <v>421.74311926605498</v>
      </c>
      <c r="E79" s="11">
        <v>11.604774535809016</v>
      </c>
      <c r="F79" s="11">
        <v>0.77851458885941649</v>
      </c>
      <c r="G79" s="1">
        <v>423.40694006309155</v>
      </c>
      <c r="H79" s="1">
        <v>12.191260291323623</v>
      </c>
      <c r="I79" s="1">
        <v>1.5642811906269791</v>
      </c>
    </row>
    <row r="80" spans="1:9" x14ac:dyDescent="0.25">
      <c r="A80" s="1"/>
      <c r="B80" s="1" t="s">
        <v>46</v>
      </c>
      <c r="C80" s="16" t="s">
        <v>174</v>
      </c>
      <c r="D80" s="11">
        <v>383.01242236024848</v>
      </c>
      <c r="E80" s="11">
        <v>8.2617316589557177</v>
      </c>
      <c r="F80" s="11">
        <v>0.83542630535360218</v>
      </c>
      <c r="G80" s="1">
        <v>407.96561604584542</v>
      </c>
      <c r="H80" s="1">
        <v>16.212710765239947</v>
      </c>
      <c r="I80" s="1">
        <v>1.4137483787289233</v>
      </c>
    </row>
    <row r="81" spans="1:9" x14ac:dyDescent="0.25">
      <c r="A81" s="1" t="s">
        <v>50</v>
      </c>
      <c r="B81" s="1" t="s">
        <v>52</v>
      </c>
      <c r="C81" s="16" t="s">
        <v>174</v>
      </c>
      <c r="D81" s="11">
        <v>290.79207920792072</v>
      </c>
      <c r="E81" s="11">
        <v>17.372600926538716</v>
      </c>
      <c r="F81" s="11">
        <v>0.63798808735936452</v>
      </c>
      <c r="G81" s="1">
        <v>276.44859813084116</v>
      </c>
      <c r="H81" s="1">
        <v>21.012574454003971</v>
      </c>
      <c r="I81" s="1">
        <v>1.2772998014559891</v>
      </c>
    </row>
    <row r="82" spans="1:9" x14ac:dyDescent="0.25">
      <c r="A82" s="1"/>
      <c r="B82" s="1" t="s">
        <v>44</v>
      </c>
      <c r="C82" s="16" t="s">
        <v>174</v>
      </c>
      <c r="D82" s="11">
        <v>282.18461538461531</v>
      </c>
      <c r="E82" s="11">
        <v>14.337508239947262</v>
      </c>
      <c r="F82" s="11">
        <v>0.88595912986156888</v>
      </c>
      <c r="G82" s="1">
        <v>285.38243626062325</v>
      </c>
      <c r="H82" s="1">
        <v>19.753476611883691</v>
      </c>
      <c r="I82" s="1">
        <v>1.7572692793931735</v>
      </c>
    </row>
    <row r="83" spans="1:9" x14ac:dyDescent="0.25">
      <c r="A83" s="1"/>
      <c r="B83" s="1" t="s">
        <v>51</v>
      </c>
      <c r="C83" s="16" t="s">
        <v>174</v>
      </c>
      <c r="D83" s="11">
        <v>413.44311377245509</v>
      </c>
      <c r="E83" s="11">
        <v>14.210178453403834</v>
      </c>
      <c r="F83" s="11">
        <v>1.7713152676801058</v>
      </c>
      <c r="G83" s="1">
        <v>454.49044585987269</v>
      </c>
      <c r="H83" s="1">
        <v>17.81045751633987</v>
      </c>
      <c r="I83" s="1">
        <v>2.2287581699346402</v>
      </c>
    </row>
    <row r="84" spans="1:9" x14ac:dyDescent="0.25">
      <c r="A84" s="1"/>
      <c r="B84" s="1" t="s">
        <v>49</v>
      </c>
      <c r="C84" s="16" t="s">
        <v>174</v>
      </c>
      <c r="D84" s="11">
        <v>316.26623376623371</v>
      </c>
      <c r="E84" s="11">
        <v>10.348226018396847</v>
      </c>
      <c r="F84" s="11">
        <v>0.70302233902759526</v>
      </c>
      <c r="G84" s="1">
        <v>237.33524355300855</v>
      </c>
      <c r="H84" s="1">
        <v>13.77822045152722</v>
      </c>
      <c r="I84" s="1">
        <v>1.6865869853917661</v>
      </c>
    </row>
    <row r="85" spans="1:9" x14ac:dyDescent="0.25">
      <c r="A85" s="1"/>
      <c r="B85" s="1" t="s">
        <v>53</v>
      </c>
      <c r="C85" s="16" t="s">
        <v>174</v>
      </c>
      <c r="D85" s="11">
        <v>375.42056074766356</v>
      </c>
      <c r="E85" s="11">
        <v>11.296660117878194</v>
      </c>
      <c r="F85" s="11">
        <v>0.98886705959397514</v>
      </c>
      <c r="G85" s="1">
        <v>327.71428571428572</v>
      </c>
      <c r="H85" s="1">
        <v>13.879922530664944</v>
      </c>
      <c r="I85" s="1">
        <v>1.5622982569399613</v>
      </c>
    </row>
    <row r="86" spans="1:9" x14ac:dyDescent="0.25">
      <c r="A86" s="1" t="s">
        <v>54</v>
      </c>
      <c r="B86" s="1" t="s">
        <v>57</v>
      </c>
      <c r="C86" s="16" t="s">
        <v>174</v>
      </c>
      <c r="D86" s="11">
        <v>386.23824451410655</v>
      </c>
      <c r="E86" s="11">
        <v>13.606557377049178</v>
      </c>
      <c r="F86" s="11">
        <v>1.0622950819672132</v>
      </c>
      <c r="G86" s="1">
        <v>400.32934131736522</v>
      </c>
      <c r="H86" s="1">
        <v>21.710952689565783</v>
      </c>
      <c r="I86" s="1">
        <v>1.8924173687621517</v>
      </c>
    </row>
    <row r="87" spans="1:9" x14ac:dyDescent="0.25">
      <c r="A87" s="1"/>
      <c r="B87" s="1" t="s">
        <v>51</v>
      </c>
      <c r="C87" s="16" t="s">
        <v>174</v>
      </c>
      <c r="D87" s="11">
        <v>425.64814814814815</v>
      </c>
      <c r="E87" s="11">
        <v>9.3209054593874825</v>
      </c>
      <c r="F87" s="11">
        <v>1.2316910785619175</v>
      </c>
      <c r="G87" s="1">
        <v>407.81249999999994</v>
      </c>
      <c r="H87" s="1">
        <v>12.611749680715198</v>
      </c>
      <c r="I87" s="1">
        <v>2.3307790549169862</v>
      </c>
    </row>
    <row r="88" spans="1:9" x14ac:dyDescent="0.25">
      <c r="A88" s="1"/>
      <c r="B88" s="1" t="s">
        <v>45</v>
      </c>
      <c r="C88" s="16" t="s">
        <v>174</v>
      </c>
      <c r="D88" s="11">
        <v>431.70967741935476</v>
      </c>
      <c r="E88" s="11">
        <v>10.013131976362443</v>
      </c>
      <c r="F88" s="11">
        <v>0.77478660538411026</v>
      </c>
      <c r="G88" s="1">
        <v>445.61904761904759</v>
      </c>
      <c r="H88" s="1">
        <v>11.295681063122922</v>
      </c>
      <c r="I88" s="1">
        <v>1.2558139534883725</v>
      </c>
    </row>
    <row r="89" spans="1:9" x14ac:dyDescent="0.25">
      <c r="A89" s="1"/>
      <c r="B89" s="1" t="s">
        <v>56</v>
      </c>
      <c r="C89" s="16" t="s">
        <v>174</v>
      </c>
      <c r="D89" s="11">
        <v>330.66037735849045</v>
      </c>
      <c r="E89" s="11">
        <v>16.732283464566926</v>
      </c>
      <c r="F89" s="11">
        <v>0.93175853018372712</v>
      </c>
      <c r="G89" s="1">
        <v>302.89719626168227</v>
      </c>
      <c r="H89" s="1">
        <v>19.116677653263018</v>
      </c>
      <c r="I89" s="1">
        <v>1.1667765326301913</v>
      </c>
    </row>
    <row r="90" spans="1:9" x14ac:dyDescent="0.25">
      <c r="A90" s="1"/>
      <c r="B90" s="1" t="s">
        <v>55</v>
      </c>
      <c r="C90" s="16" t="s">
        <v>174</v>
      </c>
      <c r="D90" s="11">
        <v>404.59940652818989</v>
      </c>
      <c r="E90" s="11">
        <v>15.666226912928758</v>
      </c>
      <c r="F90" s="11">
        <v>0.95646437994722955</v>
      </c>
      <c r="G90" s="19">
        <v>0</v>
      </c>
      <c r="H90" s="19">
        <v>0</v>
      </c>
      <c r="I90" s="19">
        <v>0</v>
      </c>
    </row>
    <row r="91" spans="1:9" x14ac:dyDescent="0.25">
      <c r="A91" s="1"/>
      <c r="B91" s="1" t="s">
        <v>52</v>
      </c>
      <c r="C91" s="16" t="s">
        <v>174</v>
      </c>
      <c r="D91" s="11">
        <v>406.44230769230768</v>
      </c>
      <c r="E91" s="11">
        <v>12.359920896506262</v>
      </c>
      <c r="F91" s="11">
        <v>1.0217534607778513</v>
      </c>
      <c r="G91" s="1">
        <v>434.85245901639337</v>
      </c>
      <c r="H91" s="1">
        <v>22.005294506949038</v>
      </c>
      <c r="I91" s="1">
        <v>1.3170086035737925</v>
      </c>
    </row>
    <row r="92" spans="1:9" x14ac:dyDescent="0.25">
      <c r="A92" s="1" t="s">
        <v>58</v>
      </c>
      <c r="B92" s="1" t="s">
        <v>51</v>
      </c>
      <c r="C92" s="16" t="s">
        <v>174</v>
      </c>
      <c r="D92" s="11">
        <v>420.86816720257229</v>
      </c>
      <c r="E92" s="11">
        <v>14.774236387782203</v>
      </c>
      <c r="F92" s="11">
        <v>2.0385126162018592</v>
      </c>
      <c r="G92" s="1">
        <v>420.27522935779808</v>
      </c>
      <c r="H92" s="1">
        <v>24.983670803396471</v>
      </c>
      <c r="I92" s="1">
        <v>2.3775310254735471</v>
      </c>
    </row>
    <row r="93" spans="1:9" x14ac:dyDescent="0.25">
      <c r="A93" s="1"/>
      <c r="B93" s="1" t="s">
        <v>52</v>
      </c>
      <c r="C93" s="16" t="s">
        <v>174</v>
      </c>
      <c r="D93" s="11">
        <v>300.67741935483866</v>
      </c>
      <c r="E93" s="11">
        <v>21.9560878243513</v>
      </c>
      <c r="F93" s="11">
        <v>0.95808383233532968</v>
      </c>
      <c r="G93" s="1">
        <v>271.82080924855495</v>
      </c>
      <c r="H93" s="1">
        <v>25.43218085106383</v>
      </c>
      <c r="I93" s="1">
        <v>1.030585106382979</v>
      </c>
    </row>
    <row r="94" spans="1:9" x14ac:dyDescent="0.25">
      <c r="A94" s="1"/>
      <c r="B94" s="1" t="s">
        <v>49</v>
      </c>
      <c r="C94" s="16" t="s">
        <v>174</v>
      </c>
      <c r="D94" s="11">
        <v>327.04918032786878</v>
      </c>
      <c r="E94" s="11">
        <v>10.143979057591624</v>
      </c>
      <c r="F94" s="11">
        <v>0.79188481675392675</v>
      </c>
      <c r="G94" s="1">
        <v>226.24999999999997</v>
      </c>
      <c r="H94" s="1">
        <v>10.621433100824346</v>
      </c>
      <c r="I94" s="1">
        <v>0.60875079264426124</v>
      </c>
    </row>
    <row r="95" spans="1:9" x14ac:dyDescent="0.25">
      <c r="A95" s="1"/>
      <c r="B95" s="1" t="s">
        <v>59</v>
      </c>
      <c r="C95" s="16" t="s">
        <v>174</v>
      </c>
      <c r="D95" s="11">
        <v>319.96845425867502</v>
      </c>
      <c r="E95" s="18">
        <v>0</v>
      </c>
      <c r="F95" s="18">
        <v>0</v>
      </c>
      <c r="G95" s="19">
        <v>0</v>
      </c>
      <c r="H95" s="19">
        <v>0</v>
      </c>
      <c r="I95" s="19">
        <v>0</v>
      </c>
    </row>
    <row r="96" spans="1:9" x14ac:dyDescent="0.25">
      <c r="A96" s="1"/>
      <c r="B96" s="1" t="s">
        <v>60</v>
      </c>
      <c r="C96" s="16" t="s">
        <v>174</v>
      </c>
      <c r="D96" s="11">
        <v>399.15887850467294</v>
      </c>
      <c r="E96" s="11">
        <v>11.865524060646008</v>
      </c>
      <c r="F96" s="11">
        <v>0.96901779828609125</v>
      </c>
      <c r="G96" s="1">
        <v>290.29154518950429</v>
      </c>
      <c r="H96" s="1">
        <v>12.763241863433311</v>
      </c>
      <c r="I96" s="1">
        <v>0.65730695596681543</v>
      </c>
    </row>
    <row r="97" spans="1:9" x14ac:dyDescent="0.25">
      <c r="A97" s="1"/>
      <c r="B97" s="1" t="s">
        <v>186</v>
      </c>
      <c r="C97" s="16" t="s">
        <v>174</v>
      </c>
      <c r="D97" s="11">
        <v>348.57615894039731</v>
      </c>
      <c r="E97" s="11">
        <v>18.115942028985508</v>
      </c>
      <c r="F97" s="11">
        <v>0.94861660079051402</v>
      </c>
      <c r="G97" s="1">
        <v>315.48076923076923</v>
      </c>
      <c r="H97" s="1">
        <v>18.296632124352332</v>
      </c>
      <c r="I97" s="1">
        <v>0.85492227979274604</v>
      </c>
    </row>
    <row r="98" spans="1:9" x14ac:dyDescent="0.25">
      <c r="A98" s="1" t="s">
        <v>61</v>
      </c>
      <c r="B98" s="1" t="s">
        <v>52</v>
      </c>
      <c r="C98" s="16" t="s">
        <v>174</v>
      </c>
      <c r="D98" s="11">
        <v>312.59615384615381</v>
      </c>
      <c r="E98" s="11">
        <v>27.467105263157897</v>
      </c>
      <c r="F98" s="11">
        <v>1.0657894736842108</v>
      </c>
      <c r="G98" s="1">
        <v>283.00813008130081</v>
      </c>
      <c r="H98" s="1">
        <v>30.091086532205594</v>
      </c>
      <c r="I98" s="1">
        <v>0.94339622641509457</v>
      </c>
    </row>
    <row r="99" spans="1:9" x14ac:dyDescent="0.25">
      <c r="A99" s="1"/>
      <c r="B99" s="1" t="s">
        <v>186</v>
      </c>
      <c r="C99" s="16" t="s">
        <v>174</v>
      </c>
      <c r="D99" s="11">
        <v>333.15789473684208</v>
      </c>
      <c r="E99" s="11">
        <v>14.356435643564353</v>
      </c>
      <c r="F99" s="11">
        <v>1.0759075907590763</v>
      </c>
      <c r="G99" s="1">
        <v>301.58774373259052</v>
      </c>
      <c r="H99" s="1">
        <v>15.225933202357565</v>
      </c>
      <c r="I99" s="1">
        <v>0.75965946299934517</v>
      </c>
    </row>
    <row r="100" spans="1:9" x14ac:dyDescent="0.25">
      <c r="A100" s="1"/>
      <c r="B100" s="1" t="s">
        <v>60</v>
      </c>
      <c r="C100" s="16" t="s">
        <v>174</v>
      </c>
      <c r="D100" s="11">
        <v>296.31736526946099</v>
      </c>
      <c r="E100" s="11">
        <v>16.534391534391535</v>
      </c>
      <c r="F100" s="11">
        <v>1.0449735449735451</v>
      </c>
      <c r="G100" s="1">
        <v>245.71065989847716</v>
      </c>
      <c r="H100" s="1">
        <v>18.627450980392151</v>
      </c>
      <c r="I100" s="1">
        <v>1.1503267973856213</v>
      </c>
    </row>
    <row r="101" spans="1:9" x14ac:dyDescent="0.25">
      <c r="A101" s="1" t="s">
        <v>62</v>
      </c>
      <c r="B101" s="1" t="s">
        <v>47</v>
      </c>
      <c r="C101" s="16" t="s">
        <v>174</v>
      </c>
      <c r="D101" s="11">
        <v>384.45544554455438</v>
      </c>
      <c r="E101" s="11">
        <v>12.905360688285903</v>
      </c>
      <c r="F101" s="11">
        <v>1.0655195234943744</v>
      </c>
      <c r="G101" s="1">
        <v>297.71830985915494</v>
      </c>
      <c r="H101" s="1">
        <v>16.034031413612563</v>
      </c>
      <c r="I101" s="1">
        <v>0.92931937172774881</v>
      </c>
    </row>
    <row r="102" spans="1:9" x14ac:dyDescent="0.25">
      <c r="A102" s="1"/>
      <c r="B102" s="1" t="s">
        <v>52</v>
      </c>
      <c r="C102" s="16" t="s">
        <v>174</v>
      </c>
      <c r="D102" s="11">
        <v>306.78343949044586</v>
      </c>
      <c r="E102" s="11">
        <v>22.667107875579081</v>
      </c>
      <c r="F102" s="11">
        <v>0.84050297816015873</v>
      </c>
      <c r="G102" s="1">
        <v>299.91735537190078</v>
      </c>
      <c r="H102" s="1">
        <v>28.815706143128558</v>
      </c>
      <c r="I102" s="1">
        <v>1.1399620012666243</v>
      </c>
    </row>
    <row r="103" spans="1:9" x14ac:dyDescent="0.25">
      <c r="A103" s="1"/>
      <c r="B103" s="1" t="s">
        <v>45</v>
      </c>
      <c r="C103" s="16" t="s">
        <v>174</v>
      </c>
      <c r="D103" s="11">
        <v>420.49504950495032</v>
      </c>
      <c r="E103" s="11">
        <v>12.70096463022508</v>
      </c>
      <c r="F103" s="11">
        <v>1.2861736334405145</v>
      </c>
      <c r="G103" s="1">
        <v>439.51456310679617</v>
      </c>
      <c r="H103" s="1">
        <v>13.124604680581907</v>
      </c>
      <c r="I103" s="1">
        <v>1.3535736875395321</v>
      </c>
    </row>
    <row r="104" spans="1:9" x14ac:dyDescent="0.25">
      <c r="A104" s="1"/>
      <c r="B104" s="1" t="s">
        <v>63</v>
      </c>
      <c r="C104" s="16" t="s">
        <v>174</v>
      </c>
      <c r="D104" s="11">
        <v>337.83870967741933</v>
      </c>
      <c r="E104" s="11">
        <v>22.251308900523565</v>
      </c>
      <c r="F104" s="11">
        <v>1.6557591623036649</v>
      </c>
      <c r="G104" s="1">
        <v>276.99999999999994</v>
      </c>
      <c r="H104" s="1">
        <v>31.873792659368966</v>
      </c>
      <c r="I104" s="1">
        <v>1.5904700579523503</v>
      </c>
    </row>
    <row r="105" spans="1:9" x14ac:dyDescent="0.25">
      <c r="A105" s="1"/>
      <c r="B105" s="1" t="s">
        <v>64</v>
      </c>
      <c r="C105" s="16" t="s">
        <v>174</v>
      </c>
      <c r="D105" s="11">
        <v>376.59375</v>
      </c>
      <c r="E105" s="11">
        <v>6.0182173064411195</v>
      </c>
      <c r="F105" s="11">
        <v>1.5484710474951202</v>
      </c>
      <c r="G105" s="1">
        <v>338.01724137931035</v>
      </c>
      <c r="H105" s="1">
        <v>8.558262014483212</v>
      </c>
      <c r="I105" s="1">
        <v>1.1520737327188941</v>
      </c>
    </row>
    <row r="106" spans="1:9" x14ac:dyDescent="0.25">
      <c r="A106" s="1"/>
      <c r="B106" s="1" t="s">
        <v>60</v>
      </c>
      <c r="C106" s="16" t="s">
        <v>174</v>
      </c>
      <c r="D106" s="11">
        <v>292.1943573667711</v>
      </c>
      <c r="E106" s="11">
        <v>18.40894148586456</v>
      </c>
      <c r="F106" s="11">
        <v>1.591058514135437</v>
      </c>
      <c r="G106" s="1">
        <v>241.42458100558659</v>
      </c>
      <c r="H106" s="1">
        <v>24.654832347140037</v>
      </c>
      <c r="I106" s="1">
        <v>1.4727153188691653</v>
      </c>
    </row>
    <row r="107" spans="1:9" x14ac:dyDescent="0.25">
      <c r="A107" s="1" t="s">
        <v>65</v>
      </c>
      <c r="B107" s="1" t="s">
        <v>55</v>
      </c>
      <c r="C107" s="16" t="s">
        <v>174</v>
      </c>
      <c r="D107" s="11">
        <v>425.4790419161676</v>
      </c>
      <c r="E107" s="11">
        <v>17.480211081794195</v>
      </c>
      <c r="F107" s="11">
        <v>2.3812664907651713</v>
      </c>
      <c r="G107" s="1">
        <v>422.24755700325727</v>
      </c>
      <c r="H107" s="1">
        <v>26.690981432360747</v>
      </c>
      <c r="I107" s="1">
        <v>3.1962864721485404</v>
      </c>
    </row>
    <row r="108" spans="1:9" x14ac:dyDescent="0.25">
      <c r="A108" s="1"/>
      <c r="B108" s="1" t="s">
        <v>45</v>
      </c>
      <c r="C108" s="16" t="s">
        <v>174</v>
      </c>
      <c r="D108" s="11">
        <v>428.8596491228069</v>
      </c>
      <c r="E108" s="11">
        <v>11.631716906946263</v>
      </c>
      <c r="F108" s="11">
        <v>1.5137614678899087</v>
      </c>
      <c r="G108" s="1">
        <v>446.67567567567568</v>
      </c>
      <c r="H108" s="1">
        <v>12.48378728923476</v>
      </c>
      <c r="I108" s="1">
        <v>1.7055771725032427</v>
      </c>
    </row>
    <row r="109" spans="1:9" x14ac:dyDescent="0.25">
      <c r="A109" s="1"/>
      <c r="B109" s="1" t="s">
        <v>66</v>
      </c>
      <c r="C109" s="16" t="s">
        <v>174</v>
      </c>
      <c r="D109" s="11">
        <v>409.73684210526307</v>
      </c>
      <c r="E109" s="11">
        <v>15.831134564643799</v>
      </c>
      <c r="F109" s="11">
        <v>2.1240105540897094</v>
      </c>
      <c r="G109" s="1">
        <v>416.97547683923693</v>
      </c>
      <c r="H109" s="1">
        <v>25.839793281653748</v>
      </c>
      <c r="I109" s="1">
        <v>2.913436692506461</v>
      </c>
    </row>
    <row r="110" spans="1:9" x14ac:dyDescent="0.25">
      <c r="A110" s="1"/>
      <c r="B110" s="1" t="s">
        <v>51</v>
      </c>
      <c r="C110" s="16" t="s">
        <v>174</v>
      </c>
      <c r="D110" s="11">
        <v>441.97568389057744</v>
      </c>
      <c r="E110" s="11">
        <v>17.750497677504978</v>
      </c>
      <c r="F110" s="11">
        <v>1.9508958195089585</v>
      </c>
      <c r="G110" s="1">
        <v>457.45810055865923</v>
      </c>
      <c r="H110" s="1">
        <v>21.7741935483871</v>
      </c>
      <c r="I110" s="1">
        <v>2.6064516129032262</v>
      </c>
    </row>
    <row r="111" spans="1:9" x14ac:dyDescent="0.25">
      <c r="A111" s="1"/>
      <c r="B111" s="1" t="s">
        <v>60</v>
      </c>
      <c r="C111" s="16" t="s">
        <v>174</v>
      </c>
      <c r="D111" s="11">
        <v>283.82530120481931</v>
      </c>
      <c r="E111" s="11">
        <v>13.31360946745562</v>
      </c>
      <c r="F111" s="11">
        <v>1.3346482577251806</v>
      </c>
      <c r="G111" s="1">
        <v>241.44475920679889</v>
      </c>
      <c r="H111" s="1">
        <v>20.33036848792884</v>
      </c>
      <c r="I111" s="1">
        <v>2.7827191867852608</v>
      </c>
    </row>
    <row r="112" spans="1:9" x14ac:dyDescent="0.25">
      <c r="A112" s="1" t="s">
        <v>67</v>
      </c>
      <c r="B112" s="1" t="s">
        <v>51</v>
      </c>
      <c r="C112" s="16" t="s">
        <v>174</v>
      </c>
      <c r="D112" s="11">
        <v>427.61755485893417</v>
      </c>
      <c r="E112" s="11">
        <v>19.293655984303467</v>
      </c>
      <c r="F112" s="11">
        <v>1.9424460431654675</v>
      </c>
      <c r="G112" s="1">
        <v>438.42975206611573</v>
      </c>
      <c r="H112" s="1">
        <v>23.311897106109317</v>
      </c>
      <c r="I112" s="1">
        <v>3.0675241157556266</v>
      </c>
    </row>
    <row r="113" spans="1:9" x14ac:dyDescent="0.25">
      <c r="A113" s="1"/>
      <c r="B113" s="1" t="s">
        <v>60</v>
      </c>
      <c r="C113" s="16" t="s">
        <v>174</v>
      </c>
      <c r="D113" s="11">
        <v>316.75078864353316</v>
      </c>
      <c r="E113" s="11">
        <v>10.905485789821547</v>
      </c>
      <c r="F113" s="11">
        <v>1.9431592861863853</v>
      </c>
      <c r="G113" s="1">
        <v>251.62601626016257</v>
      </c>
      <c r="H113" s="1">
        <v>15.615041427660927</v>
      </c>
      <c r="I113" s="1">
        <v>3.1485022307202035</v>
      </c>
    </row>
    <row r="114" spans="1:9" x14ac:dyDescent="0.25">
      <c r="A114" s="1"/>
      <c r="B114" s="1" t="s">
        <v>44</v>
      </c>
      <c r="C114" s="16" t="s">
        <v>174</v>
      </c>
      <c r="D114" s="11">
        <v>332.70096463022514</v>
      </c>
      <c r="E114" s="11">
        <v>14.423076923076922</v>
      </c>
      <c r="F114" s="11">
        <v>1.4854111405835546</v>
      </c>
      <c r="G114" s="1">
        <v>314.15624999999989</v>
      </c>
      <c r="H114" s="1">
        <v>19.801980198019802</v>
      </c>
      <c r="I114" s="1">
        <v>2.7392739273927398</v>
      </c>
    </row>
    <row r="115" spans="1:9" x14ac:dyDescent="0.25">
      <c r="A115" s="1"/>
      <c r="B115" s="1" t="s">
        <v>46</v>
      </c>
      <c r="C115" s="16" t="s">
        <v>174</v>
      </c>
      <c r="D115" s="11">
        <v>386.60714285714283</v>
      </c>
      <c r="E115" s="11">
        <v>10.985352862849533</v>
      </c>
      <c r="F115" s="11">
        <v>0.99201065246338227</v>
      </c>
      <c r="G115" s="1">
        <v>428.89196675900274</v>
      </c>
      <c r="H115" s="1">
        <v>20.901909150757078</v>
      </c>
      <c r="I115" s="1">
        <v>2.3304805793285062</v>
      </c>
    </row>
    <row r="116" spans="1:9" x14ac:dyDescent="0.25">
      <c r="A116" s="1" t="s">
        <v>68</v>
      </c>
      <c r="B116" s="1" t="s">
        <v>52</v>
      </c>
      <c r="C116" s="16" t="s">
        <v>174</v>
      </c>
      <c r="D116" s="11">
        <v>281.68831168831161</v>
      </c>
      <c r="E116" s="11">
        <v>9.4747340425531874</v>
      </c>
      <c r="F116" s="11">
        <v>0.9375</v>
      </c>
      <c r="G116" s="1">
        <v>361.28289473684214</v>
      </c>
      <c r="H116" s="1">
        <v>16.861219195849547</v>
      </c>
      <c r="I116" s="1">
        <v>2.2373540856031129</v>
      </c>
    </row>
    <row r="117" spans="1:9" x14ac:dyDescent="0.25">
      <c r="A117" s="1"/>
      <c r="B117" s="1" t="s">
        <v>45</v>
      </c>
      <c r="C117" s="16" t="s">
        <v>174</v>
      </c>
      <c r="D117" s="11">
        <v>397.78481012658227</v>
      </c>
      <c r="E117" s="11">
        <v>10.085978835978837</v>
      </c>
      <c r="F117" s="11">
        <v>0.95899470899470918</v>
      </c>
      <c r="G117" s="1">
        <v>455.64814814814815</v>
      </c>
      <c r="H117" s="1">
        <v>11.400651465798042</v>
      </c>
      <c r="I117" s="1">
        <v>1.9869706840390879</v>
      </c>
    </row>
    <row r="118" spans="1:9" x14ac:dyDescent="0.25">
      <c r="A118" s="1"/>
      <c r="B118" s="1" t="s">
        <v>51</v>
      </c>
      <c r="C118" s="16" t="s">
        <v>174</v>
      </c>
      <c r="D118" s="11">
        <v>400.66869300911861</v>
      </c>
      <c r="E118" s="11">
        <v>13.262599469496022</v>
      </c>
      <c r="F118" s="11">
        <v>1.9827586206896552</v>
      </c>
      <c r="G118" s="1">
        <v>394.03846153846155</v>
      </c>
      <c r="H118" s="1">
        <v>15.249837767683324</v>
      </c>
      <c r="I118" s="1">
        <v>2.36859182349124</v>
      </c>
    </row>
    <row r="119" spans="1:9" x14ac:dyDescent="0.25">
      <c r="A119" s="1"/>
      <c r="B119" s="1" t="s">
        <v>47</v>
      </c>
      <c r="C119" s="16" t="s">
        <v>174</v>
      </c>
      <c r="D119" s="11">
        <v>324.20749279538904</v>
      </c>
      <c r="E119" s="11">
        <v>11.794019933554816</v>
      </c>
      <c r="F119" s="11">
        <v>1.0564784053156149</v>
      </c>
      <c r="G119" s="1">
        <v>272.19745222929936</v>
      </c>
      <c r="H119" s="1">
        <v>14.898493778650948</v>
      </c>
      <c r="I119" s="1">
        <v>1.9253438113948924</v>
      </c>
    </row>
    <row r="120" spans="1:9" x14ac:dyDescent="0.25">
      <c r="A120" s="1" t="s">
        <v>147</v>
      </c>
      <c r="B120" s="1" t="s">
        <v>178</v>
      </c>
      <c r="C120" s="16" t="s">
        <v>174</v>
      </c>
      <c r="D120" s="11">
        <v>349.52380952380958</v>
      </c>
      <c r="E120" s="11">
        <v>21.12441783100466</v>
      </c>
      <c r="F120" s="11">
        <v>4.8968729208250164</v>
      </c>
      <c r="G120" s="1">
        <v>364.7727272727272</v>
      </c>
      <c r="H120" s="1">
        <v>22.891963109354407</v>
      </c>
      <c r="I120" s="1">
        <v>5.0592885375494063</v>
      </c>
    </row>
    <row r="121" spans="1:9" x14ac:dyDescent="0.25">
      <c r="A121" s="1"/>
      <c r="B121" s="1" t="s">
        <v>45</v>
      </c>
      <c r="C121" s="16" t="s">
        <v>174</v>
      </c>
      <c r="D121" s="11">
        <v>430.7999999999999</v>
      </c>
      <c r="E121" s="11">
        <v>13.815789473684209</v>
      </c>
      <c r="F121" s="11">
        <v>2.1184210526315788</v>
      </c>
      <c r="G121" s="1">
        <v>431.69761273209559</v>
      </c>
      <c r="H121" s="1">
        <v>14.454664914586068</v>
      </c>
      <c r="I121" s="1">
        <v>2.3324572930354797</v>
      </c>
    </row>
    <row r="122" spans="1:9" x14ac:dyDescent="0.25">
      <c r="A122" s="1"/>
      <c r="B122" s="1" t="s">
        <v>177</v>
      </c>
      <c r="C122" s="16" t="s">
        <v>174</v>
      </c>
      <c r="D122" s="11">
        <v>355.59633027522926</v>
      </c>
      <c r="E122" s="11">
        <v>16.478029294274297</v>
      </c>
      <c r="F122" s="11">
        <v>1.8575233022636486</v>
      </c>
      <c r="G122" s="1">
        <v>406.20178041543028</v>
      </c>
      <c r="H122" s="1">
        <v>18.548916611950098</v>
      </c>
      <c r="I122" s="1">
        <v>2.1536441234405781</v>
      </c>
    </row>
    <row r="123" spans="1:9" x14ac:dyDescent="0.25">
      <c r="A123" s="1"/>
      <c r="B123" s="1" t="s">
        <v>63</v>
      </c>
      <c r="C123" s="16" t="s">
        <v>174</v>
      </c>
      <c r="D123" s="11">
        <v>303.96039603960395</v>
      </c>
      <c r="E123" s="11">
        <v>11.097019657577675</v>
      </c>
      <c r="F123" s="11">
        <v>1.3696892834495877</v>
      </c>
      <c r="G123" s="1">
        <v>250.56818181818181</v>
      </c>
      <c r="H123" s="1">
        <v>15.796260477111538</v>
      </c>
      <c r="I123" s="1">
        <v>2.0438426821405544</v>
      </c>
    </row>
    <row r="124" spans="1:9" x14ac:dyDescent="0.25">
      <c r="A124" s="1"/>
      <c r="B124" s="1" t="s">
        <v>60</v>
      </c>
      <c r="C124" s="16" t="s">
        <v>174</v>
      </c>
      <c r="D124" s="11">
        <v>276.70807453416148</v>
      </c>
      <c r="E124" s="11">
        <v>14.072847682119205</v>
      </c>
      <c r="F124" s="11">
        <v>1.2582781456953642</v>
      </c>
      <c r="G124" s="1">
        <v>215.80110497237567</v>
      </c>
      <c r="H124" s="1">
        <v>19.888231426692965</v>
      </c>
      <c r="I124" s="1">
        <v>2.4720578566732412</v>
      </c>
    </row>
    <row r="125" spans="1:9" x14ac:dyDescent="0.25">
      <c r="A125" s="1" t="s">
        <v>148</v>
      </c>
      <c r="B125" s="1" t="s">
        <v>51</v>
      </c>
      <c r="C125" s="16" t="s">
        <v>174</v>
      </c>
      <c r="D125" s="11">
        <v>373.39449541284398</v>
      </c>
      <c r="E125" s="11">
        <v>22.787757817697933</v>
      </c>
      <c r="F125" s="11">
        <v>3.0805056553559549</v>
      </c>
      <c r="G125" s="1">
        <v>390.94240837696339</v>
      </c>
      <c r="H125" s="1">
        <v>24.019607843137255</v>
      </c>
      <c r="I125" s="1">
        <v>2.5620915032679736</v>
      </c>
    </row>
    <row r="126" spans="1:9" x14ac:dyDescent="0.25">
      <c r="A126" s="1"/>
      <c r="B126" s="1" t="s">
        <v>178</v>
      </c>
      <c r="C126" s="16" t="s">
        <v>174</v>
      </c>
      <c r="D126" s="11">
        <v>352.09003215434075</v>
      </c>
      <c r="E126" s="11">
        <v>18.886679920477132</v>
      </c>
      <c r="F126" s="11">
        <v>7.6474486414844272</v>
      </c>
      <c r="G126" s="1">
        <v>368.31683168316835</v>
      </c>
      <c r="H126" s="1">
        <v>19.368489583333329</v>
      </c>
      <c r="I126" s="1">
        <v>6.0026041666666679</v>
      </c>
    </row>
    <row r="127" spans="1:9" x14ac:dyDescent="0.25">
      <c r="A127" s="1"/>
      <c r="B127" s="1" t="s">
        <v>45</v>
      </c>
      <c r="C127" s="16" t="s">
        <v>174</v>
      </c>
      <c r="D127" s="11">
        <v>408.57142857142844</v>
      </c>
      <c r="E127" s="11">
        <v>11.778367617783676</v>
      </c>
      <c r="F127" s="11">
        <v>2.8002654280026547</v>
      </c>
      <c r="G127" s="1">
        <v>426.22641509433959</v>
      </c>
      <c r="H127" s="1">
        <v>13.425016371971182</v>
      </c>
      <c r="I127" s="1">
        <v>2.730844793713163</v>
      </c>
    </row>
    <row r="128" spans="1:9" x14ac:dyDescent="0.25">
      <c r="A128" s="1"/>
      <c r="B128" s="1" t="s">
        <v>66</v>
      </c>
      <c r="C128" s="16" t="s">
        <v>174</v>
      </c>
      <c r="D128" s="11">
        <v>394.85714285714289</v>
      </c>
      <c r="E128" s="11">
        <v>12.45019920318725</v>
      </c>
      <c r="F128" s="11">
        <v>2.0517928286852589</v>
      </c>
      <c r="G128" s="1">
        <v>390.44776119402979</v>
      </c>
      <c r="H128" s="1">
        <v>24.287564766839377</v>
      </c>
      <c r="I128" s="1">
        <v>3.426165803108808</v>
      </c>
    </row>
    <row r="129" spans="1:9" x14ac:dyDescent="0.25">
      <c r="A129" s="1"/>
      <c r="B129" s="1" t="s">
        <v>55</v>
      </c>
      <c r="C129" s="16" t="s">
        <v>174</v>
      </c>
      <c r="D129" s="11">
        <v>409.81818181818176</v>
      </c>
      <c r="E129" s="11">
        <v>18.379960962914769</v>
      </c>
      <c r="F129" s="11">
        <v>2.5699414443721533</v>
      </c>
      <c r="G129" s="1">
        <v>403.76237623762381</v>
      </c>
      <c r="H129" s="1">
        <v>31.167108753315652</v>
      </c>
      <c r="I129" s="1">
        <v>4.2970822281167109</v>
      </c>
    </row>
    <row r="130" spans="1:9" x14ac:dyDescent="0.25">
      <c r="A130" s="1" t="s">
        <v>149</v>
      </c>
      <c r="B130" s="1" t="s">
        <v>187</v>
      </c>
      <c r="C130" s="16" t="s">
        <v>174</v>
      </c>
      <c r="D130" s="11">
        <v>384.27631578947376</v>
      </c>
      <c r="E130" s="11">
        <v>20.751633986928105</v>
      </c>
      <c r="F130" s="11">
        <v>1.9934640522875815</v>
      </c>
      <c r="G130" s="1">
        <v>357.78947368421058</v>
      </c>
      <c r="H130" s="1">
        <v>54.70779220779221</v>
      </c>
      <c r="I130" s="1">
        <v>1.7370129870129869</v>
      </c>
    </row>
    <row r="131" spans="1:9" x14ac:dyDescent="0.25">
      <c r="A131" s="1"/>
      <c r="B131" s="1" t="s">
        <v>60</v>
      </c>
      <c r="C131" s="16" t="s">
        <v>174</v>
      </c>
      <c r="D131" s="11">
        <v>248.98089171974527</v>
      </c>
      <c r="E131" s="11">
        <v>16.476552598225602</v>
      </c>
      <c r="F131" s="11">
        <v>1.7680608365019013</v>
      </c>
      <c r="G131" s="1">
        <v>221.89349112426038</v>
      </c>
      <c r="H131" s="1">
        <v>16.782773907536416</v>
      </c>
      <c r="I131" s="1">
        <v>1.2697910069664342</v>
      </c>
    </row>
    <row r="132" spans="1:9" x14ac:dyDescent="0.25">
      <c r="A132" s="1" t="s">
        <v>150</v>
      </c>
      <c r="B132" s="1" t="s">
        <v>187</v>
      </c>
      <c r="C132" s="16" t="s">
        <v>174</v>
      </c>
      <c r="D132" s="11">
        <v>379.75830815709969</v>
      </c>
      <c r="E132" s="11">
        <v>19.218025182239892</v>
      </c>
      <c r="F132" s="11">
        <v>2.292909211398277</v>
      </c>
      <c r="G132" s="1">
        <v>368.25</v>
      </c>
      <c r="H132" s="1">
        <v>22.79924002533248</v>
      </c>
      <c r="I132" s="1">
        <v>1.9411019632678908</v>
      </c>
    </row>
    <row r="133" spans="1:9" x14ac:dyDescent="0.25">
      <c r="A133" s="1"/>
      <c r="B133" s="1" t="s">
        <v>66</v>
      </c>
      <c r="C133" s="16" t="s">
        <v>174</v>
      </c>
      <c r="D133" s="11">
        <v>378.95765472312695</v>
      </c>
      <c r="E133" s="11">
        <v>14.877102199223803</v>
      </c>
      <c r="F133" s="11">
        <v>2.1151358344113844</v>
      </c>
      <c r="G133" s="1">
        <v>392.32044198895034</v>
      </c>
      <c r="H133" s="1">
        <v>24.334847501622324</v>
      </c>
      <c r="I133" s="1">
        <v>2.4691758598312785</v>
      </c>
    </row>
    <row r="134" spans="1:9" x14ac:dyDescent="0.25">
      <c r="A134" s="1"/>
      <c r="B134" s="1" t="s">
        <v>63</v>
      </c>
      <c r="C134" s="16" t="s">
        <v>174</v>
      </c>
      <c r="D134" s="11">
        <v>291.5094339622641</v>
      </c>
      <c r="E134" s="11">
        <v>13.97919375812744</v>
      </c>
      <c r="F134" s="11">
        <v>2.1261378413524055</v>
      </c>
      <c r="G134" s="1">
        <v>250.28571428571433</v>
      </c>
      <c r="H134" s="1">
        <v>17.868852459016395</v>
      </c>
      <c r="I134" s="1">
        <v>2.0491803278688527</v>
      </c>
    </row>
    <row r="135" spans="1:9" x14ac:dyDescent="0.25">
      <c r="A135" s="1" t="s">
        <v>151</v>
      </c>
      <c r="B135" s="1" t="s">
        <v>52</v>
      </c>
      <c r="C135" s="16" t="s">
        <v>174</v>
      </c>
      <c r="D135" s="11">
        <v>410.85714285714278</v>
      </c>
      <c r="E135" s="11">
        <v>14.647794601711652</v>
      </c>
      <c r="F135" s="11">
        <v>1.3759052007899935</v>
      </c>
      <c r="G135" s="1">
        <v>393.38709677419359</v>
      </c>
      <c r="H135" s="1">
        <v>23.229369720597788</v>
      </c>
      <c r="I135" s="1">
        <v>1.5756985055230668</v>
      </c>
    </row>
    <row r="136" spans="1:9" x14ac:dyDescent="0.25">
      <c r="A136" s="1"/>
      <c r="B136" s="1" t="s">
        <v>63</v>
      </c>
      <c r="C136" s="16" t="s">
        <v>174</v>
      </c>
      <c r="D136" s="11">
        <v>333.01775147928998</v>
      </c>
      <c r="E136" s="11">
        <v>10.194174757281553</v>
      </c>
      <c r="F136" s="11">
        <v>1.7411003236245957</v>
      </c>
      <c r="G136" s="1">
        <v>268.13559322033893</v>
      </c>
      <c r="H136" s="1">
        <v>15.38965291421087</v>
      </c>
      <c r="I136" s="1">
        <v>1.6666666666666665</v>
      </c>
    </row>
    <row r="137" spans="1:9" x14ac:dyDescent="0.25">
      <c r="A137" s="1"/>
      <c r="B137" s="1" t="s">
        <v>45</v>
      </c>
      <c r="C137" s="16" t="s">
        <v>174</v>
      </c>
      <c r="D137" s="11">
        <v>410.99999999999994</v>
      </c>
      <c r="E137" s="11">
        <v>11.146496815286621</v>
      </c>
      <c r="F137" s="11">
        <v>0.82165605095541394</v>
      </c>
      <c r="G137" s="1">
        <v>395.66563467492256</v>
      </c>
      <c r="H137" s="1">
        <v>12.081185567010309</v>
      </c>
      <c r="I137" s="1">
        <v>0.68621134020618546</v>
      </c>
    </row>
    <row r="138" spans="1:9" x14ac:dyDescent="0.25">
      <c r="A138" s="1"/>
      <c r="B138" s="1" t="s">
        <v>55</v>
      </c>
      <c r="C138" s="16" t="s">
        <v>174</v>
      </c>
      <c r="D138" s="11">
        <v>405.14285714285705</v>
      </c>
      <c r="E138" s="11">
        <v>16.343042071197409</v>
      </c>
      <c r="F138" s="11">
        <v>1.4822006472491911</v>
      </c>
      <c r="G138" s="1">
        <v>388.34355828220873</v>
      </c>
      <c r="H138" s="1">
        <v>25.53329023917259</v>
      </c>
      <c r="I138" s="1">
        <v>2.3303167420814477</v>
      </c>
    </row>
    <row r="139" spans="1:9" x14ac:dyDescent="0.25">
      <c r="A139" s="1" t="s">
        <v>152</v>
      </c>
      <c r="B139" s="1" t="s">
        <v>176</v>
      </c>
      <c r="C139" s="16" t="s">
        <v>174</v>
      </c>
      <c r="D139" s="11">
        <v>390.67524115755623</v>
      </c>
      <c r="E139" s="11">
        <v>9.0460526315789451</v>
      </c>
      <c r="F139" s="11">
        <v>1.0328947368421053</v>
      </c>
      <c r="G139" s="1">
        <v>393.55029585798826</v>
      </c>
      <c r="H139" s="1">
        <v>21.414665801427649</v>
      </c>
      <c r="I139" s="1">
        <v>1.6125892277741727</v>
      </c>
    </row>
    <row r="140" spans="1:9" x14ac:dyDescent="0.25">
      <c r="A140" s="1"/>
      <c r="B140" s="1" t="s">
        <v>188</v>
      </c>
      <c r="C140" s="16" t="s">
        <v>174</v>
      </c>
      <c r="D140" s="18">
        <v>0</v>
      </c>
      <c r="E140" s="18">
        <v>0</v>
      </c>
      <c r="F140" s="18">
        <v>0</v>
      </c>
      <c r="G140" s="1">
        <v>374.57627118644075</v>
      </c>
      <c r="H140" s="1">
        <v>33.84207033842069</v>
      </c>
      <c r="I140" s="1">
        <v>3.725945587259456</v>
      </c>
    </row>
    <row r="141" spans="1:9" x14ac:dyDescent="0.25">
      <c r="A141" s="1"/>
      <c r="B141" s="1" t="s">
        <v>189</v>
      </c>
      <c r="C141" s="16" t="s">
        <v>174</v>
      </c>
      <c r="D141" s="11">
        <v>419.99999999999994</v>
      </c>
      <c r="E141" s="11">
        <v>21.668822768434673</v>
      </c>
      <c r="F141" s="11">
        <v>1.7335058214747741</v>
      </c>
      <c r="G141" s="1">
        <v>409.02857142857152</v>
      </c>
      <c r="H141" s="1">
        <v>38.10586734693878</v>
      </c>
      <c r="I141" s="1">
        <v>2.5542091836734699</v>
      </c>
    </row>
    <row r="142" spans="1:9" x14ac:dyDescent="0.25">
      <c r="A142" s="1"/>
      <c r="B142" s="1" t="s">
        <v>185</v>
      </c>
      <c r="C142" s="16" t="s">
        <v>174</v>
      </c>
      <c r="D142" s="11">
        <v>412.42524916943523</v>
      </c>
      <c r="E142" s="11">
        <v>21.428571428571427</v>
      </c>
      <c r="F142" s="11">
        <v>1.383116883116883</v>
      </c>
      <c r="G142" s="1">
        <v>387.66233766233768</v>
      </c>
      <c r="H142" s="1">
        <v>26.240458015267173</v>
      </c>
      <c r="I142" s="1">
        <v>1.2181933842239185</v>
      </c>
    </row>
    <row r="143" spans="1:9" x14ac:dyDescent="0.25">
      <c r="A143" s="1"/>
      <c r="B143" s="1" t="s">
        <v>190</v>
      </c>
      <c r="C143" s="16" t="s">
        <v>174</v>
      </c>
      <c r="D143" s="11">
        <v>328.58934169278996</v>
      </c>
      <c r="E143" s="11">
        <v>33.116883116883109</v>
      </c>
      <c r="F143" s="11">
        <v>3.7272727272727275</v>
      </c>
      <c r="G143" s="19">
        <v>0</v>
      </c>
      <c r="H143" s="19">
        <v>0</v>
      </c>
      <c r="I143" s="19">
        <v>0</v>
      </c>
    </row>
    <row r="144" spans="1:9" x14ac:dyDescent="0.25">
      <c r="A144" s="1"/>
      <c r="B144" s="1" t="s">
        <v>55</v>
      </c>
      <c r="C144" s="16" t="s">
        <v>174</v>
      </c>
      <c r="D144" s="11">
        <v>402.2508038585209</v>
      </c>
      <c r="E144" s="11">
        <v>20.411495754408882</v>
      </c>
      <c r="F144" s="11">
        <v>1.7439581972566951</v>
      </c>
      <c r="G144" s="1">
        <v>398.68421052631589</v>
      </c>
      <c r="H144" s="1">
        <v>27.669902912621353</v>
      </c>
      <c r="I144" s="1">
        <v>2.5210355987055015</v>
      </c>
    </row>
    <row r="145" spans="1:9" x14ac:dyDescent="0.25">
      <c r="A145" s="1"/>
      <c r="B145" s="1" t="s">
        <v>45</v>
      </c>
      <c r="C145" s="16" t="s">
        <v>174</v>
      </c>
      <c r="D145" s="11">
        <v>391.02167182662538</v>
      </c>
      <c r="E145" s="11">
        <v>19.801980198019802</v>
      </c>
      <c r="F145" s="11">
        <v>1.2343234323432344</v>
      </c>
      <c r="G145" s="19">
        <v>0</v>
      </c>
      <c r="H145" s="19">
        <v>0</v>
      </c>
      <c r="I145" s="19">
        <v>0</v>
      </c>
    </row>
    <row r="146" spans="1:9" x14ac:dyDescent="0.25">
      <c r="A146" s="1" t="s">
        <v>153</v>
      </c>
      <c r="B146" s="1" t="s">
        <v>63</v>
      </c>
      <c r="C146" s="16" t="s">
        <v>174</v>
      </c>
      <c r="D146" s="11">
        <v>319.6056338028169</v>
      </c>
      <c r="E146" s="11">
        <v>18.348623853211006</v>
      </c>
      <c r="F146" s="11">
        <v>1.4547837483617301</v>
      </c>
      <c r="G146" s="1">
        <v>309.52380952380958</v>
      </c>
      <c r="H146" s="1">
        <v>22.756617172369264</v>
      </c>
      <c r="I146" s="1">
        <v>1.236281471917366</v>
      </c>
    </row>
    <row r="147" spans="1:9" x14ac:dyDescent="0.25">
      <c r="A147" s="1"/>
      <c r="B147" s="1" t="s">
        <v>60</v>
      </c>
      <c r="C147" s="16" t="s">
        <v>174</v>
      </c>
      <c r="D147" s="11">
        <v>277.52265861027206</v>
      </c>
      <c r="E147" s="11">
        <v>16.441005802707927</v>
      </c>
      <c r="F147" s="11">
        <v>1.7472598323662152</v>
      </c>
      <c r="G147" s="1">
        <v>251.90217391304355</v>
      </c>
      <c r="H147" s="1">
        <v>26.881720430107528</v>
      </c>
      <c r="I147" s="1">
        <v>1.7868437697659707</v>
      </c>
    </row>
    <row r="148" spans="1:9" x14ac:dyDescent="0.25">
      <c r="A148" s="1"/>
      <c r="B148" s="1" t="s">
        <v>185</v>
      </c>
      <c r="C148" s="16" t="s">
        <v>174</v>
      </c>
      <c r="D148" s="11">
        <v>412.97002724795641</v>
      </c>
      <c r="E148" s="11">
        <v>21.9583604424203</v>
      </c>
      <c r="F148" s="11">
        <v>1.1125569290826287</v>
      </c>
      <c r="G148" s="1">
        <v>395.41935483870975</v>
      </c>
      <c r="H148" s="1">
        <v>30.416395575797008</v>
      </c>
      <c r="I148" s="1">
        <v>1.1483409238776838</v>
      </c>
    </row>
    <row r="149" spans="1:9" x14ac:dyDescent="0.25">
      <c r="A149" s="1" t="s">
        <v>154</v>
      </c>
      <c r="B149" s="1" t="s">
        <v>191</v>
      </c>
      <c r="C149" s="16" t="s">
        <v>174</v>
      </c>
      <c r="D149" s="11">
        <v>433.40425531914894</v>
      </c>
      <c r="E149" s="11">
        <v>14.221073044602454</v>
      </c>
      <c r="F149" s="11">
        <v>1.3380736910148676</v>
      </c>
      <c r="G149" s="1">
        <v>421.59468438538215</v>
      </c>
      <c r="H149" s="1">
        <v>17.007926023778069</v>
      </c>
      <c r="I149" s="1">
        <v>1.2978863936591811</v>
      </c>
    </row>
    <row r="150" spans="1:9" x14ac:dyDescent="0.25">
      <c r="A150" s="1"/>
      <c r="B150" s="1" t="s">
        <v>192</v>
      </c>
      <c r="C150" s="16" t="s">
        <v>174</v>
      </c>
      <c r="D150" s="11">
        <v>416.89969604863222</v>
      </c>
      <c r="E150" s="11">
        <v>17.639512508017962</v>
      </c>
      <c r="F150" s="11">
        <v>1.481719050673509</v>
      </c>
      <c r="G150" s="1">
        <v>409.68152866242042</v>
      </c>
      <c r="H150" s="1">
        <v>37.723362011912634</v>
      </c>
      <c r="I150" s="1">
        <v>1.6810059563203175</v>
      </c>
    </row>
    <row r="151" spans="1:9" x14ac:dyDescent="0.25">
      <c r="A151" s="1"/>
      <c r="B151" s="1" t="s">
        <v>66</v>
      </c>
      <c r="C151" s="16" t="s">
        <v>174</v>
      </c>
      <c r="D151" s="11">
        <v>382.99065420560765</v>
      </c>
      <c r="E151" s="11">
        <v>19.205729166666668</v>
      </c>
      <c r="F151" s="11">
        <v>1.588541666666667</v>
      </c>
      <c r="G151" s="1">
        <v>398.67109634551502</v>
      </c>
      <c r="H151" s="1">
        <v>35.245901639344268</v>
      </c>
      <c r="I151" s="1">
        <v>1.2459016393442623</v>
      </c>
    </row>
    <row r="152" spans="1:9" x14ac:dyDescent="0.25">
      <c r="A152" s="1"/>
      <c r="B152" s="1" t="s">
        <v>45</v>
      </c>
      <c r="C152" s="16" t="s">
        <v>174</v>
      </c>
      <c r="D152" s="11">
        <v>393.6315789473685</v>
      </c>
      <c r="E152" s="11">
        <v>16.304347826086953</v>
      </c>
      <c r="F152" s="11">
        <v>1.502557544757033</v>
      </c>
      <c r="G152" s="1">
        <v>416.2376237623763</v>
      </c>
      <c r="H152" s="1">
        <v>21.311475409836063</v>
      </c>
      <c r="I152" s="1">
        <v>0.31475409836065571</v>
      </c>
    </row>
    <row r="153" spans="1:9" x14ac:dyDescent="0.25">
      <c r="A153" s="1"/>
      <c r="B153" s="1" t="s">
        <v>193</v>
      </c>
      <c r="C153" s="16" t="s">
        <v>174</v>
      </c>
      <c r="D153" s="11">
        <v>398.96103896103909</v>
      </c>
      <c r="E153" s="11">
        <v>20.631850419084461</v>
      </c>
      <c r="F153" s="11">
        <v>0.94132817537072866</v>
      </c>
      <c r="G153" s="1">
        <v>406.34615384615392</v>
      </c>
      <c r="H153" s="1">
        <v>26.010603048376407</v>
      </c>
      <c r="I153" s="1">
        <v>0.17229953611663362</v>
      </c>
    </row>
    <row r="154" spans="1:9" x14ac:dyDescent="0.25">
      <c r="A154" s="1"/>
      <c r="B154" s="1" t="s">
        <v>189</v>
      </c>
      <c r="C154" s="16" t="s">
        <v>174</v>
      </c>
      <c r="D154" s="11">
        <v>419.12280701754389</v>
      </c>
      <c r="E154" s="11">
        <v>15.228426395939087</v>
      </c>
      <c r="F154" s="11">
        <v>0.84390862944162437</v>
      </c>
      <c r="G154" s="19">
        <v>0</v>
      </c>
      <c r="H154" s="19">
        <v>0</v>
      </c>
      <c r="I154" s="19">
        <v>0</v>
      </c>
    </row>
    <row r="155" spans="1:9" x14ac:dyDescent="0.25">
      <c r="A155" s="1" t="s">
        <v>155</v>
      </c>
      <c r="B155" s="1" t="s">
        <v>55</v>
      </c>
      <c r="C155" s="16" t="s">
        <v>174</v>
      </c>
      <c r="D155" s="11">
        <v>447.25609756097572</v>
      </c>
      <c r="E155" s="11">
        <v>11.979823455233293</v>
      </c>
      <c r="F155" s="11">
        <v>1.2547288776796979</v>
      </c>
      <c r="G155" s="1">
        <v>415.46875000000011</v>
      </c>
      <c r="H155" s="1">
        <v>16.600920447074291</v>
      </c>
      <c r="I155" s="1">
        <v>0.55884286653517423</v>
      </c>
    </row>
    <row r="156" spans="1:9" x14ac:dyDescent="0.25">
      <c r="A156" s="1"/>
      <c r="B156" s="1" t="s">
        <v>194</v>
      </c>
      <c r="C156" s="16" t="s">
        <v>174</v>
      </c>
      <c r="D156" s="11">
        <v>408.46846846846853</v>
      </c>
      <c r="E156" s="11">
        <v>18.745959922430508</v>
      </c>
      <c r="F156" s="11">
        <v>2.1460892049127342</v>
      </c>
      <c r="G156" s="1">
        <v>397.650429799427</v>
      </c>
      <c r="H156" s="1">
        <v>29.518469656992075</v>
      </c>
      <c r="I156" s="1">
        <v>2.1437994722955143</v>
      </c>
    </row>
    <row r="157" spans="1:9" x14ac:dyDescent="0.25">
      <c r="A157" s="1"/>
      <c r="B157" s="1" t="s">
        <v>195</v>
      </c>
      <c r="C157" s="16" t="s">
        <v>174</v>
      </c>
      <c r="D157" s="11">
        <v>385.91362126245849</v>
      </c>
      <c r="E157" s="11">
        <v>21.663504111321945</v>
      </c>
      <c r="F157" s="11">
        <v>2.7577482605945614</v>
      </c>
      <c r="G157" s="1">
        <v>392.38410596026489</v>
      </c>
      <c r="H157" s="1">
        <v>35.061969993476843</v>
      </c>
      <c r="I157" s="1">
        <v>2.6353555120678411</v>
      </c>
    </row>
    <row r="158" spans="1:9" x14ac:dyDescent="0.25">
      <c r="A158" s="1"/>
      <c r="B158" s="1" t="s">
        <v>196</v>
      </c>
      <c r="C158" s="16" t="s">
        <v>174</v>
      </c>
      <c r="D158" s="11">
        <v>390.84112149532723</v>
      </c>
      <c r="E158" s="11">
        <v>14.903846153846155</v>
      </c>
      <c r="F158" s="11">
        <v>1.5320512820512822</v>
      </c>
      <c r="G158" s="1">
        <v>405.36144578313247</v>
      </c>
      <c r="H158" s="1">
        <v>34.749670619235843</v>
      </c>
      <c r="I158" s="1">
        <v>2.0487483530961792</v>
      </c>
    </row>
    <row r="159" spans="1:9" x14ac:dyDescent="0.25">
      <c r="A159" s="1"/>
      <c r="B159" s="1" t="s">
        <v>63</v>
      </c>
      <c r="C159" s="16" t="s">
        <v>174</v>
      </c>
      <c r="D159" s="11">
        <v>317.87564766839375</v>
      </c>
      <c r="E159" s="11">
        <v>24.098360655737707</v>
      </c>
      <c r="F159" s="11">
        <v>1.9344262295081971</v>
      </c>
      <c r="G159" s="1">
        <v>295.66037735849056</v>
      </c>
      <c r="H159" s="1">
        <v>35.358565737051791</v>
      </c>
      <c r="I159" s="1">
        <v>1.6799468791500662</v>
      </c>
    </row>
    <row r="160" spans="1:9" x14ac:dyDescent="0.25">
      <c r="A160" s="1" t="s">
        <v>156</v>
      </c>
      <c r="B160" s="1" t="s">
        <v>193</v>
      </c>
      <c r="C160" s="16" t="s">
        <v>174</v>
      </c>
      <c r="D160" s="11">
        <v>425.34818941504182</v>
      </c>
      <c r="E160" s="11">
        <v>19.155844155844157</v>
      </c>
      <c r="F160" s="11">
        <v>1.0714285714285718</v>
      </c>
      <c r="G160" s="1">
        <v>410.05434782608711</v>
      </c>
      <c r="H160" s="1">
        <v>25.308241401687216</v>
      </c>
      <c r="I160" s="1">
        <v>0.29850746268656719</v>
      </c>
    </row>
    <row r="161" spans="1:9" x14ac:dyDescent="0.25">
      <c r="A161" s="1"/>
      <c r="B161" s="1" t="s">
        <v>63</v>
      </c>
      <c r="C161" s="16" t="s">
        <v>174</v>
      </c>
      <c r="D161" s="11">
        <v>308.65979381443304</v>
      </c>
      <c r="E161" s="11">
        <v>23.267326732673261</v>
      </c>
      <c r="F161" s="11">
        <v>1.5049504950495052</v>
      </c>
      <c r="G161" s="1">
        <v>283.54838709677426</v>
      </c>
      <c r="H161" s="1">
        <v>32.816622691292878</v>
      </c>
      <c r="I161" s="1">
        <v>0.75857519788918193</v>
      </c>
    </row>
    <row r="162" spans="1:9" x14ac:dyDescent="0.25">
      <c r="A162" s="1"/>
      <c r="B162" s="1" t="s">
        <v>195</v>
      </c>
      <c r="C162" s="16" t="s">
        <v>174</v>
      </c>
      <c r="D162" s="11">
        <v>302.55319148936172</v>
      </c>
      <c r="E162" s="11">
        <v>20.352564102564102</v>
      </c>
      <c r="F162" s="11">
        <v>1.8525641025641024</v>
      </c>
      <c r="G162" s="1">
        <v>379.80769230769232</v>
      </c>
      <c r="H162" s="1">
        <v>31.664456233421753</v>
      </c>
      <c r="I162" s="1">
        <v>1.6445623342175066</v>
      </c>
    </row>
    <row r="163" spans="1:9" x14ac:dyDescent="0.25">
      <c r="A163" s="1"/>
      <c r="B163" s="1" t="s">
        <v>52</v>
      </c>
      <c r="C163" s="16" t="s">
        <v>174</v>
      </c>
      <c r="D163" s="11">
        <v>313.69774919614156</v>
      </c>
      <c r="E163" s="11">
        <v>22.59615384615384</v>
      </c>
      <c r="F163" s="11">
        <v>1.3589743589743588</v>
      </c>
      <c r="G163" s="19">
        <v>0</v>
      </c>
      <c r="H163" s="19">
        <v>0</v>
      </c>
      <c r="I163" s="19">
        <v>0</v>
      </c>
    </row>
    <row r="164" spans="1:9" x14ac:dyDescent="0.25">
      <c r="A164" s="1"/>
      <c r="B164" s="1" t="s">
        <v>194</v>
      </c>
      <c r="C164" s="16" t="s">
        <v>174</v>
      </c>
      <c r="D164" s="11">
        <v>408.51851851851859</v>
      </c>
      <c r="E164" s="11">
        <v>19.055374592833875</v>
      </c>
      <c r="F164" s="11">
        <v>1.1335504885993488</v>
      </c>
      <c r="G164" s="19">
        <v>0</v>
      </c>
      <c r="H164" s="19">
        <v>0</v>
      </c>
      <c r="I164" s="19">
        <v>0</v>
      </c>
    </row>
    <row r="165" spans="1:9" x14ac:dyDescent="0.25">
      <c r="A165" s="1"/>
      <c r="B165" s="1" t="s">
        <v>45</v>
      </c>
      <c r="C165" s="16" t="s">
        <v>174</v>
      </c>
      <c r="D165" s="11">
        <v>412.13675213675219</v>
      </c>
      <c r="E165" s="11">
        <v>17.86864133934321</v>
      </c>
      <c r="F165" s="11">
        <v>1.1461687057308436</v>
      </c>
      <c r="G165" s="1">
        <v>413.96103896103898</v>
      </c>
      <c r="H165" s="1">
        <v>22.683084899546333</v>
      </c>
      <c r="I165" s="1">
        <v>1.0628645495787428</v>
      </c>
    </row>
    <row r="166" spans="1:9" x14ac:dyDescent="0.25">
      <c r="A166" s="1" t="s">
        <v>157</v>
      </c>
      <c r="B166" s="1" t="s">
        <v>197</v>
      </c>
      <c r="C166" s="16" t="s">
        <v>174</v>
      </c>
      <c r="D166" s="11">
        <v>327.64397905759159</v>
      </c>
      <c r="E166" s="11">
        <v>14.31863067807768</v>
      </c>
      <c r="F166" s="11">
        <v>1.6392363396971694</v>
      </c>
      <c r="G166" s="1">
        <v>300.75949367088606</v>
      </c>
      <c r="H166" s="1">
        <v>23.392743475493315</v>
      </c>
      <c r="I166" s="1">
        <v>1.6740929344366648</v>
      </c>
    </row>
    <row r="167" spans="1:9" x14ac:dyDescent="0.25">
      <c r="A167" s="1"/>
      <c r="B167" s="1" t="s">
        <v>198</v>
      </c>
      <c r="C167" s="16" t="s">
        <v>174</v>
      </c>
      <c r="D167" s="11">
        <v>391.91082802547777</v>
      </c>
      <c r="E167" s="11">
        <v>11.36363636363636</v>
      </c>
      <c r="F167" s="11">
        <v>1.433080808080808</v>
      </c>
      <c r="G167" s="1">
        <v>251.64893617021283</v>
      </c>
      <c r="H167" s="1">
        <v>14.630225080385852</v>
      </c>
      <c r="I167" s="1">
        <v>0.95819935691318348</v>
      </c>
    </row>
    <row r="168" spans="1:9" x14ac:dyDescent="0.25">
      <c r="A168" s="1"/>
      <c r="B168" s="1" t="s">
        <v>195</v>
      </c>
      <c r="C168" s="16" t="s">
        <v>174</v>
      </c>
      <c r="D168" s="11">
        <v>399.8901098901099</v>
      </c>
      <c r="E168" s="11">
        <v>19.472361809045225</v>
      </c>
      <c r="F168" s="11">
        <v>1.721105527638191</v>
      </c>
      <c r="G168" s="1">
        <v>339.57055214723943</v>
      </c>
      <c r="H168" s="1">
        <v>32.79467680608365</v>
      </c>
      <c r="I168" s="1">
        <v>2.5538656527249688</v>
      </c>
    </row>
    <row r="169" spans="1:9" x14ac:dyDescent="0.25">
      <c r="A169" s="1"/>
      <c r="B169" s="1" t="s">
        <v>196</v>
      </c>
      <c r="C169" s="16" t="s">
        <v>174</v>
      </c>
      <c r="D169" s="11">
        <v>425.26645768025082</v>
      </c>
      <c r="E169" s="11">
        <v>11.774193548387096</v>
      </c>
      <c r="F169" s="11">
        <v>1.361290322580645</v>
      </c>
      <c r="G169" s="1">
        <v>393.2409972299169</v>
      </c>
      <c r="H169" s="1">
        <v>26.078557630392787</v>
      </c>
      <c r="I169" s="1">
        <v>2.3502897617514487</v>
      </c>
    </row>
    <row r="170" spans="1:9" x14ac:dyDescent="0.25">
      <c r="A170" s="1"/>
      <c r="B170" s="1" t="s">
        <v>194</v>
      </c>
      <c r="C170" s="16" t="s">
        <v>174</v>
      </c>
      <c r="D170" s="11">
        <v>409.10662824207492</v>
      </c>
      <c r="E170" s="11">
        <v>18.873960332693539</v>
      </c>
      <c r="F170" s="11">
        <v>1.5291106845809344</v>
      </c>
      <c r="G170" s="19">
        <v>0</v>
      </c>
      <c r="H170" s="19">
        <v>0</v>
      </c>
      <c r="I170" s="19">
        <v>0</v>
      </c>
    </row>
    <row r="171" spans="1:9" x14ac:dyDescent="0.25">
      <c r="A171" s="1"/>
      <c r="B171" s="1" t="s">
        <v>51</v>
      </c>
      <c r="C171" s="16" t="s">
        <v>174</v>
      </c>
      <c r="D171" s="11">
        <v>404.4743935309973</v>
      </c>
      <c r="E171" s="11">
        <v>24.701591511936336</v>
      </c>
      <c r="F171" s="11">
        <v>2.1949602122015914</v>
      </c>
      <c r="G171" s="1">
        <v>373.18032786885254</v>
      </c>
      <c r="H171" s="1">
        <v>37.786989795918366</v>
      </c>
      <c r="I171" s="1">
        <v>2.589285714285714</v>
      </c>
    </row>
    <row r="172" spans="1:9" x14ac:dyDescent="0.25">
      <c r="A172" s="1"/>
      <c r="B172" s="1" t="s">
        <v>178</v>
      </c>
      <c r="C172" s="16" t="s">
        <v>174</v>
      </c>
      <c r="D172" s="11">
        <v>392.57142857142861</v>
      </c>
      <c r="E172" s="11">
        <v>17.088607594936708</v>
      </c>
      <c r="F172" s="11">
        <v>1.4240506329113922</v>
      </c>
      <c r="G172" s="1">
        <v>313.80191693290737</v>
      </c>
      <c r="H172" s="1">
        <v>21.689497716894977</v>
      </c>
      <c r="I172" s="1">
        <v>1.3763861709067191</v>
      </c>
    </row>
    <row r="173" spans="1:9" x14ac:dyDescent="0.25">
      <c r="A173" s="1"/>
      <c r="B173" s="1" t="s">
        <v>193</v>
      </c>
      <c r="C173" s="16" t="s">
        <v>174</v>
      </c>
      <c r="D173" s="11">
        <v>421.70886075949369</v>
      </c>
      <c r="E173" s="11">
        <v>21.932717678100264</v>
      </c>
      <c r="F173" s="11">
        <v>1.2071240105540897</v>
      </c>
      <c r="G173" s="1">
        <v>357.00934579439257</v>
      </c>
      <c r="H173" s="1">
        <v>31.390134529147986</v>
      </c>
      <c r="I173" s="1">
        <v>1.4670083279948753</v>
      </c>
    </row>
    <row r="174" spans="1:9" x14ac:dyDescent="0.25">
      <c r="A174" s="1" t="s">
        <v>158</v>
      </c>
      <c r="B174" s="1" t="s">
        <v>63</v>
      </c>
      <c r="C174" s="16" t="s">
        <v>174</v>
      </c>
      <c r="D174" s="18">
        <v>0</v>
      </c>
      <c r="E174" s="18">
        <v>0</v>
      </c>
      <c r="F174" s="18">
        <v>0</v>
      </c>
      <c r="G174" s="19">
        <v>0</v>
      </c>
      <c r="H174" s="19">
        <v>0</v>
      </c>
      <c r="I174" s="19">
        <v>0</v>
      </c>
    </row>
    <row r="175" spans="1:9" x14ac:dyDescent="0.25">
      <c r="A175" s="1"/>
      <c r="B175" s="1" t="s">
        <v>195</v>
      </c>
      <c r="C175" s="16" t="s">
        <v>174</v>
      </c>
      <c r="D175" s="11">
        <v>401.02564102564099</v>
      </c>
      <c r="E175" s="11">
        <v>8.2855321861058009</v>
      </c>
      <c r="F175" s="11">
        <v>1.5615041427660934</v>
      </c>
      <c r="G175" s="1">
        <v>410.16393442622956</v>
      </c>
      <c r="H175" s="1">
        <v>14.649066323245332</v>
      </c>
      <c r="I175" s="1">
        <v>2.7559562137797817</v>
      </c>
    </row>
    <row r="176" spans="1:9" x14ac:dyDescent="0.25">
      <c r="A176" s="1"/>
      <c r="B176" s="1" t="s">
        <v>197</v>
      </c>
      <c r="C176" s="16" t="s">
        <v>174</v>
      </c>
      <c r="D176" s="11">
        <v>377.7906976744186</v>
      </c>
      <c r="E176" s="11">
        <v>7.8021248339973432</v>
      </c>
      <c r="F176" s="11">
        <v>1.1487383798140769</v>
      </c>
      <c r="G176" s="1">
        <v>345.1704545454545</v>
      </c>
      <c r="H176" s="1">
        <v>11.305732484076433</v>
      </c>
      <c r="I176" s="1">
        <v>1.681528662420382</v>
      </c>
    </row>
    <row r="177" spans="1:9" x14ac:dyDescent="0.25">
      <c r="A177" s="1"/>
      <c r="B177" s="1" t="s">
        <v>199</v>
      </c>
      <c r="C177" s="16" t="s">
        <v>174</v>
      </c>
      <c r="D177" s="11">
        <v>355.30120481927713</v>
      </c>
      <c r="E177" s="11">
        <v>8.1313775510204085</v>
      </c>
      <c r="F177" s="11">
        <v>1.1096938775510206</v>
      </c>
      <c r="G177" s="19">
        <v>0</v>
      </c>
      <c r="H177" s="19">
        <v>0</v>
      </c>
      <c r="I177" s="19">
        <v>0</v>
      </c>
    </row>
    <row r="178" spans="1:9" x14ac:dyDescent="0.25">
      <c r="A178" s="1"/>
      <c r="B178" s="1" t="s">
        <v>194</v>
      </c>
      <c r="C178" s="16" t="s">
        <v>174</v>
      </c>
      <c r="D178" s="11">
        <v>433.73040752351108</v>
      </c>
      <c r="E178" s="11">
        <v>12.055837563451778</v>
      </c>
      <c r="F178" s="11">
        <v>1.7068527918781728</v>
      </c>
      <c r="G178" s="1">
        <v>393.81107491856682</v>
      </c>
      <c r="H178" s="1">
        <v>16.118633139909736</v>
      </c>
      <c r="I178" s="1">
        <v>2.1985815602836882</v>
      </c>
    </row>
    <row r="179" spans="1:9" x14ac:dyDescent="0.25">
      <c r="A179" s="1" t="s">
        <v>159</v>
      </c>
      <c r="B179" s="1" t="s">
        <v>63</v>
      </c>
      <c r="C179" s="16" t="s">
        <v>174</v>
      </c>
      <c r="D179" s="11">
        <v>297.62039660056661</v>
      </c>
      <c r="E179" s="11">
        <v>26.468689477081984</v>
      </c>
      <c r="F179" s="11">
        <v>1.1684958037443511</v>
      </c>
      <c r="G179" s="1">
        <v>280.41543026706233</v>
      </c>
      <c r="H179" s="1">
        <v>31.669865642994242</v>
      </c>
      <c r="I179" s="1">
        <v>1.6634676903390915</v>
      </c>
    </row>
    <row r="180" spans="1:9" x14ac:dyDescent="0.25">
      <c r="A180" s="1"/>
      <c r="B180" s="1" t="s">
        <v>194</v>
      </c>
      <c r="C180" s="16" t="s">
        <v>174</v>
      </c>
      <c r="D180" s="11">
        <v>411.02639296187681</v>
      </c>
      <c r="E180" s="11">
        <v>18.476128188358402</v>
      </c>
      <c r="F180" s="11">
        <v>2.269457161543492</v>
      </c>
      <c r="G180" s="1">
        <v>375.7297297297298</v>
      </c>
      <c r="H180" s="1">
        <v>38.610038610038607</v>
      </c>
      <c r="I180" s="1">
        <v>4.2342342342342336</v>
      </c>
    </row>
    <row r="181" spans="1:9" x14ac:dyDescent="0.25">
      <c r="A181" s="1"/>
      <c r="B181" s="1" t="s">
        <v>55</v>
      </c>
      <c r="C181" s="16" t="s">
        <v>174</v>
      </c>
      <c r="D181" s="11">
        <v>404.70967741935488</v>
      </c>
      <c r="E181" s="11">
        <v>21.04922279792746</v>
      </c>
      <c r="F181" s="11">
        <v>1.6709844559585489</v>
      </c>
      <c r="G181" s="1">
        <v>408.86227544910184</v>
      </c>
      <c r="H181" s="1">
        <v>30.612244897959187</v>
      </c>
      <c r="I181" s="1">
        <v>3.1632653061224492</v>
      </c>
    </row>
    <row r="182" spans="1:9" x14ac:dyDescent="0.25">
      <c r="A182" s="1"/>
      <c r="B182" s="1" t="s">
        <v>176</v>
      </c>
      <c r="C182" s="16" t="s">
        <v>174</v>
      </c>
      <c r="D182" s="11">
        <v>411.12540192926053</v>
      </c>
      <c r="E182" s="11">
        <v>8.6928525434642641</v>
      </c>
      <c r="F182" s="11">
        <v>1.1268512556342563</v>
      </c>
      <c r="G182" s="1">
        <v>427.45098039215691</v>
      </c>
      <c r="H182" s="1">
        <v>12.709137709137709</v>
      </c>
      <c r="I182" s="1">
        <v>1.1711711711711712</v>
      </c>
    </row>
    <row r="183" spans="1:9" x14ac:dyDescent="0.25">
      <c r="A183" s="1"/>
      <c r="B183" s="1" t="s">
        <v>200</v>
      </c>
      <c r="C183" s="16" t="s">
        <v>174</v>
      </c>
      <c r="D183" s="11">
        <v>385.631067961165</v>
      </c>
      <c r="E183" s="11">
        <v>16.622340425531913</v>
      </c>
      <c r="F183" s="11">
        <v>1.8949468085106378</v>
      </c>
      <c r="G183" s="1">
        <v>362.74193548387103</v>
      </c>
      <c r="H183" s="1">
        <v>27.704047777040476</v>
      </c>
      <c r="I183" s="1">
        <v>2.2362309223623091</v>
      </c>
    </row>
    <row r="184" spans="1:9" x14ac:dyDescent="0.25">
      <c r="A184" s="1" t="s">
        <v>160</v>
      </c>
      <c r="B184" s="1" t="s">
        <v>194</v>
      </c>
      <c r="C184" s="16" t="s">
        <v>174</v>
      </c>
      <c r="D184" s="11">
        <v>427.54716981132077</v>
      </c>
      <c r="E184" s="11">
        <v>16.940789473684209</v>
      </c>
      <c r="F184" s="11">
        <v>1.9605263157894737</v>
      </c>
      <c r="G184" s="1">
        <v>410.42016806722694</v>
      </c>
      <c r="H184" s="1">
        <v>31.064111037673499</v>
      </c>
      <c r="I184" s="1">
        <v>1.8770654329147392</v>
      </c>
    </row>
    <row r="185" spans="1:9" x14ac:dyDescent="0.25">
      <c r="A185" s="1"/>
      <c r="B185" s="1" t="s">
        <v>197</v>
      </c>
      <c r="C185" s="16" t="s">
        <v>174</v>
      </c>
      <c r="D185" s="11">
        <v>342.80104712041896</v>
      </c>
      <c r="E185" s="11">
        <v>18.902038132807363</v>
      </c>
      <c r="F185" s="11">
        <v>1.4135437212360284</v>
      </c>
      <c r="G185" s="1">
        <v>331.27868852459022</v>
      </c>
      <c r="H185" s="1">
        <v>25.429326287978864</v>
      </c>
      <c r="I185" s="1">
        <v>1.0105680317040953</v>
      </c>
    </row>
    <row r="186" spans="1:9" x14ac:dyDescent="0.25">
      <c r="A186" s="1"/>
      <c r="B186" s="1" t="s">
        <v>196</v>
      </c>
      <c r="C186" s="16" t="s">
        <v>174</v>
      </c>
      <c r="D186" s="11">
        <v>436.65644171779149</v>
      </c>
      <c r="E186" s="11">
        <v>12.905360688285903</v>
      </c>
      <c r="F186" s="11">
        <v>1.6876240900066177</v>
      </c>
      <c r="G186" s="1">
        <v>444.51827242524917</v>
      </c>
      <c r="H186" s="1">
        <v>20.930232558139533</v>
      </c>
      <c r="I186" s="1">
        <v>1.1960132890365447</v>
      </c>
    </row>
    <row r="187" spans="1:9" x14ac:dyDescent="0.25">
      <c r="A187" s="1"/>
      <c r="B187" s="1" t="s">
        <v>63</v>
      </c>
      <c r="C187" s="16" t="s">
        <v>174</v>
      </c>
      <c r="D187" s="11">
        <v>319.23076923076928</v>
      </c>
      <c r="E187" s="11">
        <v>17.06374758531874</v>
      </c>
      <c r="F187" s="11">
        <v>0.84352865421764334</v>
      </c>
      <c r="G187" s="1">
        <v>310.82568807339453</v>
      </c>
      <c r="H187" s="1">
        <v>19.419060052219315</v>
      </c>
      <c r="I187" s="1">
        <v>0.443864229765013</v>
      </c>
    </row>
    <row r="188" spans="1:9" x14ac:dyDescent="0.25">
      <c r="A188" s="1" t="s">
        <v>161</v>
      </c>
      <c r="B188" s="1" t="s">
        <v>195</v>
      </c>
      <c r="C188" s="16" t="s">
        <v>174</v>
      </c>
      <c r="D188" s="11">
        <v>400.66844919786104</v>
      </c>
      <c r="E188" s="11">
        <v>17.313915857605178</v>
      </c>
      <c r="F188" s="11">
        <v>1.741100323624595</v>
      </c>
      <c r="G188" s="1">
        <v>412.97468354430384</v>
      </c>
      <c r="H188" s="1">
        <v>29.773785761809712</v>
      </c>
      <c r="I188" s="1">
        <v>2.9673985362608128</v>
      </c>
    </row>
    <row r="189" spans="1:9" x14ac:dyDescent="0.25">
      <c r="A189" s="1"/>
      <c r="B189" s="1" t="s">
        <v>194</v>
      </c>
      <c r="C189" s="16" t="s">
        <v>174</v>
      </c>
      <c r="D189" s="11">
        <v>430.32786885245901</v>
      </c>
      <c r="E189" s="11">
        <v>18.554062699936022</v>
      </c>
      <c r="F189" s="11">
        <v>2.1497120921305175</v>
      </c>
      <c r="G189" s="1">
        <v>391.28939828080235</v>
      </c>
      <c r="H189" s="1">
        <v>31.290743155149933</v>
      </c>
      <c r="I189" s="1">
        <v>3.4159061277705343</v>
      </c>
    </row>
    <row r="190" spans="1:9" x14ac:dyDescent="0.25">
      <c r="A190" s="1"/>
      <c r="B190" s="1" t="s">
        <v>197</v>
      </c>
      <c r="C190" s="16" t="s">
        <v>174</v>
      </c>
      <c r="D190" s="11">
        <v>332.34375000000006</v>
      </c>
      <c r="E190" s="11">
        <v>18.964379947229549</v>
      </c>
      <c r="F190" s="11">
        <v>1.1741424802110818</v>
      </c>
      <c r="G190" s="1">
        <v>334.98542274052483</v>
      </c>
      <c r="H190" s="1">
        <v>29.421221864951768</v>
      </c>
      <c r="I190" s="1">
        <v>1.157556270096463</v>
      </c>
    </row>
    <row r="191" spans="1:9" x14ac:dyDescent="0.25">
      <c r="A191" s="1"/>
      <c r="B191" s="1" t="s">
        <v>52</v>
      </c>
      <c r="C191" s="16" t="s">
        <v>174</v>
      </c>
      <c r="D191" s="11">
        <v>303.47682119205297</v>
      </c>
      <c r="E191" s="11">
        <v>20.833333333333336</v>
      </c>
      <c r="F191" s="11">
        <v>1.744791666666667</v>
      </c>
      <c r="G191" s="1">
        <v>301.96721311475414</v>
      </c>
      <c r="H191" s="1">
        <v>32.362459546925564</v>
      </c>
      <c r="I191" s="1">
        <v>1.0679611650485439</v>
      </c>
    </row>
    <row r="192" spans="1:9" x14ac:dyDescent="0.25">
      <c r="A192" s="1"/>
      <c r="B192" s="1" t="s">
        <v>176</v>
      </c>
      <c r="C192" s="16" t="s">
        <v>174</v>
      </c>
      <c r="D192" s="18">
        <v>0</v>
      </c>
      <c r="E192" s="18">
        <v>0</v>
      </c>
      <c r="F192" s="18">
        <v>0</v>
      </c>
      <c r="G192" s="1">
        <v>388.1868131868132</v>
      </c>
      <c r="H192" s="1">
        <v>28.438303341902316</v>
      </c>
      <c r="I192" s="1">
        <v>2.8406169665809773</v>
      </c>
    </row>
    <row r="193" spans="1:9" x14ac:dyDescent="0.25">
      <c r="A193" s="1" t="s">
        <v>162</v>
      </c>
      <c r="B193" s="1" t="s">
        <v>198</v>
      </c>
      <c r="C193" s="16" t="s">
        <v>174</v>
      </c>
      <c r="D193" s="11">
        <v>353.25732899022802</v>
      </c>
      <c r="E193" s="11">
        <v>12.845849802371543</v>
      </c>
      <c r="F193" s="11">
        <v>1.2714097496706196</v>
      </c>
      <c r="G193" s="1">
        <v>317.23237597911225</v>
      </c>
      <c r="H193" s="1">
        <v>16.744031830238729</v>
      </c>
      <c r="I193" s="1">
        <v>6.6312997347480085E-2</v>
      </c>
    </row>
    <row r="194" spans="1:9" x14ac:dyDescent="0.25">
      <c r="A194" s="1"/>
      <c r="B194" s="1" t="s">
        <v>195</v>
      </c>
      <c r="C194" s="16" t="s">
        <v>174</v>
      </c>
      <c r="D194" s="11">
        <v>304.32065217391312</v>
      </c>
      <c r="E194" s="11">
        <v>19.871794871794872</v>
      </c>
      <c r="F194" s="11">
        <v>1.5448717948717947</v>
      </c>
      <c r="G194" s="1">
        <v>290.0552486187845</v>
      </c>
      <c r="H194" s="1">
        <v>29.961340206185568</v>
      </c>
      <c r="I194" s="1">
        <v>1.3273195876288659</v>
      </c>
    </row>
    <row r="195" spans="1:9" x14ac:dyDescent="0.25">
      <c r="A195" s="1"/>
      <c r="B195" s="1" t="s">
        <v>194</v>
      </c>
      <c r="C195" s="16" t="s">
        <v>174</v>
      </c>
      <c r="D195" s="11">
        <v>414.67741935483872</v>
      </c>
      <c r="E195" s="11">
        <v>18.459579885423299</v>
      </c>
      <c r="F195" s="11">
        <v>2.0623806492679821</v>
      </c>
      <c r="G195" s="1">
        <v>411.06796116504859</v>
      </c>
      <c r="H195" s="1">
        <v>32.389322916666671</v>
      </c>
      <c r="I195" s="1">
        <v>2.096354166666667</v>
      </c>
    </row>
    <row r="196" spans="1:9" x14ac:dyDescent="0.25">
      <c r="A196" s="1"/>
      <c r="B196" s="1" t="s">
        <v>63</v>
      </c>
      <c r="C196" s="16" t="s">
        <v>174</v>
      </c>
      <c r="D196" s="11">
        <v>321.15987460815057</v>
      </c>
      <c r="E196" s="11">
        <v>23.157208088714938</v>
      </c>
      <c r="F196" s="11">
        <v>2.0808871493802998</v>
      </c>
      <c r="G196" s="1">
        <v>290.75630252100842</v>
      </c>
      <c r="H196" s="1">
        <v>34.906914893617014</v>
      </c>
      <c r="I196" s="1">
        <v>2.1808510638297873</v>
      </c>
    </row>
    <row r="197" spans="1:9" x14ac:dyDescent="0.25">
      <c r="A197" s="1"/>
      <c r="B197" s="1" t="s">
        <v>197</v>
      </c>
      <c r="C197" s="16" t="s">
        <v>174</v>
      </c>
      <c r="D197" s="11">
        <v>293.58552631578948</v>
      </c>
      <c r="E197" s="11">
        <v>20.50524934383202</v>
      </c>
      <c r="F197" s="11">
        <v>1.7782152230971127</v>
      </c>
      <c r="G197" s="1">
        <v>292.01238390092885</v>
      </c>
      <c r="H197" s="1">
        <v>25.95099935525468</v>
      </c>
      <c r="I197" s="1">
        <v>1.3926499032882014</v>
      </c>
    </row>
    <row r="198" spans="1:9" x14ac:dyDescent="0.25">
      <c r="A198" s="1" t="s">
        <v>163</v>
      </c>
      <c r="B198" s="1" t="s">
        <v>194</v>
      </c>
      <c r="C198" s="16" t="s">
        <v>174</v>
      </c>
      <c r="D198" s="11">
        <v>419.51612903225805</v>
      </c>
      <c r="E198" s="11">
        <v>16.393442622950822</v>
      </c>
      <c r="F198" s="11">
        <v>1.9278688524590162</v>
      </c>
      <c r="G198" s="1">
        <v>397.37704918032796</v>
      </c>
      <c r="H198" s="1">
        <v>26.837996096291477</v>
      </c>
      <c r="I198" s="1">
        <v>2.3812621990891349</v>
      </c>
    </row>
    <row r="199" spans="1:9" x14ac:dyDescent="0.25">
      <c r="A199" s="1"/>
      <c r="B199" s="1" t="s">
        <v>197</v>
      </c>
      <c r="C199" s="16" t="s">
        <v>174</v>
      </c>
      <c r="D199" s="11">
        <v>317.3239436619719</v>
      </c>
      <c r="E199" s="11">
        <v>15.685640362225099</v>
      </c>
      <c r="F199" s="11">
        <v>1.4230271668822769</v>
      </c>
      <c r="G199" s="1">
        <v>346.52307692307704</v>
      </c>
      <c r="H199" s="1">
        <v>21.304067140090382</v>
      </c>
      <c r="I199" s="1">
        <v>0.89735313105229197</v>
      </c>
    </row>
    <row r="200" spans="1:9" x14ac:dyDescent="0.25">
      <c r="A200" s="1"/>
      <c r="B200" s="1" t="s">
        <v>55</v>
      </c>
      <c r="C200" s="16" t="s">
        <v>174</v>
      </c>
      <c r="D200" s="11">
        <v>417.44479495268143</v>
      </c>
      <c r="E200" s="11">
        <v>12.848984771573605</v>
      </c>
      <c r="F200" s="11">
        <v>1.0723350253807107</v>
      </c>
      <c r="G200" s="1">
        <v>453.85074626865679</v>
      </c>
      <c r="H200" s="1">
        <v>28.252299605781868</v>
      </c>
      <c r="I200" s="1">
        <v>0.96583442838370592</v>
      </c>
    </row>
    <row r="201" spans="1:9" x14ac:dyDescent="0.25">
      <c r="A201" s="1"/>
      <c r="B201" s="1" t="s">
        <v>201</v>
      </c>
      <c r="C201" s="16" t="s">
        <v>174</v>
      </c>
      <c r="D201" s="11">
        <v>393.51906158357781</v>
      </c>
      <c r="E201" s="11">
        <v>19.701986754966882</v>
      </c>
      <c r="F201" s="11">
        <v>2.3642384105960264</v>
      </c>
      <c r="G201" s="1">
        <v>428.83435582822096</v>
      </c>
      <c r="H201" s="1">
        <v>35.311671087533156</v>
      </c>
      <c r="I201" s="1">
        <v>2.3342175066313002</v>
      </c>
    </row>
    <row r="202" spans="1:9" x14ac:dyDescent="0.25">
      <c r="A202" s="1"/>
      <c r="B202" s="1" t="s">
        <v>185</v>
      </c>
      <c r="C202" s="16" t="s">
        <v>174</v>
      </c>
      <c r="D202" s="11">
        <v>401.23867069486414</v>
      </c>
      <c r="E202" s="11">
        <v>19.09150757077024</v>
      </c>
      <c r="F202" s="11">
        <v>1.3232389730085581</v>
      </c>
      <c r="G202" s="1">
        <v>411.89710610932485</v>
      </c>
      <c r="H202" s="1">
        <v>28.345418589321028</v>
      </c>
      <c r="I202" s="1">
        <v>0.67237969676994069</v>
      </c>
    </row>
    <row r="203" spans="1:9" x14ac:dyDescent="0.25">
      <c r="A203" s="1"/>
      <c r="B203" s="1" t="s">
        <v>202</v>
      </c>
      <c r="C203" s="16" t="s">
        <v>174</v>
      </c>
      <c r="D203" s="11">
        <v>332.80519480519479</v>
      </c>
      <c r="E203" s="11">
        <v>10.230179028132993</v>
      </c>
      <c r="F203" s="11">
        <v>1.707161125319693</v>
      </c>
      <c r="G203" s="1">
        <v>303.43750000000006</v>
      </c>
      <c r="H203" s="1">
        <v>15.111695137976342</v>
      </c>
      <c r="I203" s="1">
        <v>0.62417871222076227</v>
      </c>
    </row>
    <row r="204" spans="1:9" x14ac:dyDescent="0.25">
      <c r="A204" s="1"/>
      <c r="B204" s="1" t="s">
        <v>195</v>
      </c>
      <c r="C204" s="16" t="s">
        <v>174</v>
      </c>
      <c r="D204" s="11">
        <v>413.90909090909088</v>
      </c>
      <c r="E204" s="11">
        <v>16.785022595222724</v>
      </c>
      <c r="F204" s="11">
        <v>1.8076178179470621</v>
      </c>
      <c r="G204" s="1">
        <v>446.68831168831167</v>
      </c>
      <c r="H204" s="1">
        <v>27.508090614886733</v>
      </c>
      <c r="I204" s="1">
        <v>1.6569579288025891</v>
      </c>
    </row>
    <row r="205" spans="1:9" x14ac:dyDescent="0.25">
      <c r="A205" s="1" t="s">
        <v>164</v>
      </c>
      <c r="B205" s="1" t="s">
        <v>194</v>
      </c>
      <c r="C205" s="16" t="s">
        <v>174</v>
      </c>
      <c r="D205" s="11">
        <v>413.90322580645159</v>
      </c>
      <c r="E205" s="11">
        <v>17.361111111111111</v>
      </c>
      <c r="F205" s="11">
        <v>2.0202020202020203</v>
      </c>
      <c r="G205" s="1">
        <v>391.78807947019868</v>
      </c>
      <c r="H205" s="1">
        <v>28.794940079893468</v>
      </c>
      <c r="I205" s="1">
        <v>1.9107856191744341</v>
      </c>
    </row>
    <row r="206" spans="1:9" x14ac:dyDescent="0.25">
      <c r="A206" s="1"/>
      <c r="B206" s="1" t="s">
        <v>195</v>
      </c>
      <c r="C206" s="16" t="s">
        <v>174</v>
      </c>
      <c r="D206" s="11">
        <v>395.27932960893861</v>
      </c>
      <c r="E206" s="11">
        <v>20.570670205706701</v>
      </c>
      <c r="F206" s="11">
        <v>2.6808228268082286</v>
      </c>
      <c r="G206" s="1">
        <v>370.90909090909093</v>
      </c>
      <c r="H206" s="1">
        <v>34.017971758664956</v>
      </c>
      <c r="I206" s="1">
        <v>2.7214377406931973</v>
      </c>
    </row>
    <row r="207" spans="1:9" x14ac:dyDescent="0.25">
      <c r="A207" s="1"/>
      <c r="B207" s="1" t="s">
        <v>63</v>
      </c>
      <c r="C207" s="16" t="s">
        <v>174</v>
      </c>
      <c r="D207" s="11">
        <v>333.70689655172418</v>
      </c>
      <c r="E207" s="11">
        <v>20.032051282051281</v>
      </c>
      <c r="F207" s="11">
        <v>3.416666666666667</v>
      </c>
      <c r="G207" s="1">
        <v>362.70096463022514</v>
      </c>
      <c r="H207" s="1">
        <v>28.942115768463072</v>
      </c>
      <c r="I207" s="1">
        <v>2.4085163007318693</v>
      </c>
    </row>
    <row r="208" spans="1:9" x14ac:dyDescent="0.25">
      <c r="A208" s="1" t="s">
        <v>165</v>
      </c>
      <c r="B208" s="1" t="s">
        <v>60</v>
      </c>
      <c r="C208" s="16" t="s">
        <v>174</v>
      </c>
      <c r="D208" s="11">
        <v>322.19814241486074</v>
      </c>
      <c r="E208" s="11">
        <v>11.143410852713179</v>
      </c>
      <c r="F208" s="11">
        <v>1.1950904392764858</v>
      </c>
      <c r="G208" s="1">
        <v>268.29896907216499</v>
      </c>
      <c r="H208" s="1">
        <v>18.141311266709096</v>
      </c>
      <c r="I208" s="1">
        <v>0.80840229153405485</v>
      </c>
    </row>
    <row r="209" spans="1:9" x14ac:dyDescent="0.25">
      <c r="A209" s="1"/>
      <c r="B209" s="1" t="s">
        <v>52</v>
      </c>
      <c r="C209" s="16" t="s">
        <v>174</v>
      </c>
      <c r="D209" s="11">
        <v>353.32460732984305</v>
      </c>
      <c r="E209" s="11">
        <v>18.382352941176467</v>
      </c>
      <c r="F209" s="11">
        <v>1.9437340153452685</v>
      </c>
      <c r="G209" s="1">
        <v>408.83280757097793</v>
      </c>
      <c r="H209" s="1">
        <v>29.166666666666668</v>
      </c>
      <c r="I209" s="1">
        <v>1.3846153846153846</v>
      </c>
    </row>
    <row r="210" spans="1:9" x14ac:dyDescent="0.25">
      <c r="A210" s="1"/>
      <c r="B210" s="1" t="s">
        <v>63</v>
      </c>
      <c r="C210" s="16" t="s">
        <v>174</v>
      </c>
      <c r="D210" s="11">
        <v>333.49854227405262</v>
      </c>
      <c r="E210" s="11">
        <v>19.142670157068064</v>
      </c>
      <c r="F210" s="11">
        <v>1.9960732984293195</v>
      </c>
      <c r="G210" s="1">
        <v>315.53133514986376</v>
      </c>
      <c r="H210" s="1">
        <v>22.842639593908626</v>
      </c>
      <c r="I210" s="1">
        <v>8.2487309644670034E-2</v>
      </c>
    </row>
    <row r="211" spans="1:9" x14ac:dyDescent="0.25">
      <c r="A211" s="1"/>
      <c r="B211" s="1" t="s">
        <v>194</v>
      </c>
      <c r="C211" s="16" t="s">
        <v>174</v>
      </c>
      <c r="D211" s="11">
        <v>422.94303797468365</v>
      </c>
      <c r="E211" s="11">
        <v>16.805377720870677</v>
      </c>
      <c r="F211" s="11">
        <v>1.6965428937259921</v>
      </c>
      <c r="G211" s="1">
        <v>413.27433628318596</v>
      </c>
      <c r="H211" s="1">
        <v>29.769526248399487</v>
      </c>
      <c r="I211" s="1">
        <v>1.3124199743918055</v>
      </c>
    </row>
    <row r="212" spans="1:9" x14ac:dyDescent="0.25">
      <c r="A212" s="1" t="s">
        <v>166</v>
      </c>
      <c r="B212" s="1" t="s">
        <v>63</v>
      </c>
      <c r="C212" s="16" t="s">
        <v>174</v>
      </c>
      <c r="D212" s="11">
        <v>318.05555555555566</v>
      </c>
      <c r="E212" s="11">
        <v>24.069319640564828</v>
      </c>
      <c r="F212" s="11">
        <v>2.0860077021822852</v>
      </c>
      <c r="G212" s="1">
        <v>339.29203539823015</v>
      </c>
      <c r="H212" s="1">
        <v>30.61548223350254</v>
      </c>
      <c r="I212" s="1">
        <v>0.53934010152284273</v>
      </c>
    </row>
    <row r="213" spans="1:9" x14ac:dyDescent="0.25">
      <c r="A213" s="1"/>
      <c r="B213" s="1" t="s">
        <v>51</v>
      </c>
      <c r="C213" s="16" t="s">
        <v>174</v>
      </c>
      <c r="D213" s="11">
        <v>403.46534653465346</v>
      </c>
      <c r="E213" s="11">
        <v>27.166882276843463</v>
      </c>
      <c r="F213" s="11">
        <v>2.535575679172057</v>
      </c>
      <c r="G213" s="1">
        <v>402.05278592375373</v>
      </c>
      <c r="H213" s="1">
        <v>32.637075718015666</v>
      </c>
      <c r="I213" s="1">
        <v>1.5013054830287209</v>
      </c>
    </row>
    <row r="214" spans="1:9" x14ac:dyDescent="0.25">
      <c r="A214" s="1"/>
      <c r="B214" s="1" t="s">
        <v>197</v>
      </c>
      <c r="C214" s="16" t="s">
        <v>174</v>
      </c>
      <c r="D214" s="11">
        <v>294.86413043478262</v>
      </c>
      <c r="E214" s="11">
        <v>16.916070266753415</v>
      </c>
      <c r="F214" s="11">
        <v>1.6916070266753414</v>
      </c>
      <c r="G214" s="1">
        <v>220.28571428571428</v>
      </c>
      <c r="H214" s="1">
        <v>18.481848184818482</v>
      </c>
      <c r="I214" s="1">
        <v>0.86468646864686471</v>
      </c>
    </row>
    <row r="215" spans="1:9" x14ac:dyDescent="0.25">
      <c r="A215" s="1"/>
      <c r="B215" s="1" t="s">
        <v>194</v>
      </c>
      <c r="C215" s="16" t="s">
        <v>174</v>
      </c>
      <c r="D215" s="11">
        <v>378.57142857142856</v>
      </c>
      <c r="E215" s="11">
        <v>20.993589743589745</v>
      </c>
      <c r="F215" s="11">
        <v>2.4935897435897432</v>
      </c>
      <c r="G215" s="1">
        <v>313.10924369747903</v>
      </c>
      <c r="H215" s="1">
        <v>26.015228426395939</v>
      </c>
      <c r="I215" s="1">
        <v>1.25</v>
      </c>
    </row>
    <row r="216" spans="1:9" x14ac:dyDescent="0.25">
      <c r="A216" s="1"/>
      <c r="B216" s="11"/>
      <c r="C216" s="17"/>
    </row>
    <row r="217" spans="1:9" x14ac:dyDescent="0.25">
      <c r="A217" s="1"/>
      <c r="B217" s="11"/>
      <c r="C217" s="17"/>
    </row>
    <row r="218" spans="1:9" x14ac:dyDescent="0.25">
      <c r="A218" s="1"/>
      <c r="B218" s="11"/>
      <c r="C218" s="17"/>
    </row>
    <row r="219" spans="1:9" x14ac:dyDescent="0.25">
      <c r="A219" s="1"/>
      <c r="B219" s="11"/>
      <c r="C219" s="17"/>
    </row>
    <row r="220" spans="1:9" x14ac:dyDescent="0.25">
      <c r="A220" s="1"/>
      <c r="B220" s="11"/>
      <c r="C220" s="17"/>
    </row>
    <row r="221" spans="1:9" x14ac:dyDescent="0.25">
      <c r="A221" s="1"/>
      <c r="B221" s="11"/>
      <c r="C221" s="17"/>
    </row>
    <row r="222" spans="1:9" x14ac:dyDescent="0.25">
      <c r="A222" s="1"/>
      <c r="B222" s="11"/>
      <c r="C222" s="17"/>
    </row>
    <row r="223" spans="1:9" x14ac:dyDescent="0.25">
      <c r="A223" s="1"/>
      <c r="B223" s="11"/>
      <c r="C223" s="17"/>
    </row>
    <row r="224" spans="1:9" x14ac:dyDescent="0.25">
      <c r="A224" s="1"/>
      <c r="B224" s="11"/>
      <c r="C224" s="17"/>
    </row>
    <row r="225" spans="1:3" x14ac:dyDescent="0.25">
      <c r="A225" s="1"/>
      <c r="B225" s="11"/>
      <c r="C225" s="17"/>
    </row>
    <row r="226" spans="1:3" x14ac:dyDescent="0.25">
      <c r="A226" s="1"/>
      <c r="B226" s="11"/>
      <c r="C226" s="17"/>
    </row>
    <row r="227" spans="1:3" x14ac:dyDescent="0.25">
      <c r="A227" s="1"/>
      <c r="B227" s="11"/>
      <c r="C227" s="17"/>
    </row>
    <row r="228" spans="1:3" x14ac:dyDescent="0.25">
      <c r="A228" s="1"/>
      <c r="B228" s="11"/>
      <c r="C228" s="17"/>
    </row>
    <row r="229" spans="1:3" x14ac:dyDescent="0.25">
      <c r="A229" s="1"/>
      <c r="B229" s="11"/>
      <c r="C229" s="17"/>
    </row>
    <row r="230" spans="1:3" x14ac:dyDescent="0.25">
      <c r="A230" s="1"/>
      <c r="B230" s="11"/>
      <c r="C230" s="17"/>
    </row>
    <row r="231" spans="1:3" x14ac:dyDescent="0.25">
      <c r="A231" s="1"/>
      <c r="B231" s="11"/>
      <c r="C231" s="17"/>
    </row>
    <row r="232" spans="1:3" x14ac:dyDescent="0.25">
      <c r="A232" s="1"/>
      <c r="B232" s="11"/>
      <c r="C232" s="17"/>
    </row>
    <row r="233" spans="1:3" x14ac:dyDescent="0.25">
      <c r="A233" s="1"/>
      <c r="B233" s="11"/>
      <c r="C233" s="17"/>
    </row>
    <row r="234" spans="1:3" x14ac:dyDescent="0.25">
      <c r="A234" s="1"/>
      <c r="B234" s="11"/>
      <c r="C234" s="17"/>
    </row>
    <row r="235" spans="1:3" x14ac:dyDescent="0.25">
      <c r="A235" s="1"/>
      <c r="B235" s="11"/>
      <c r="C235" s="17"/>
    </row>
    <row r="236" spans="1:3" x14ac:dyDescent="0.25">
      <c r="A236" s="1"/>
      <c r="B236" s="11"/>
      <c r="C236" s="17"/>
    </row>
    <row r="237" spans="1:3" x14ac:dyDescent="0.25">
      <c r="A237" s="1"/>
      <c r="B237" s="11"/>
      <c r="C237" s="17"/>
    </row>
    <row r="238" spans="1:3" x14ac:dyDescent="0.25">
      <c r="A238" s="1"/>
      <c r="B238" s="11"/>
      <c r="C238" s="17"/>
    </row>
    <row r="239" spans="1:3" x14ac:dyDescent="0.25">
      <c r="A239" s="1"/>
      <c r="B239" s="11"/>
      <c r="C239" s="17"/>
    </row>
    <row r="240" spans="1:3" x14ac:dyDescent="0.25">
      <c r="A240" s="1"/>
      <c r="B240" s="11"/>
      <c r="C240" s="17"/>
    </row>
    <row r="241" spans="1:3" x14ac:dyDescent="0.25">
      <c r="A241" s="1"/>
      <c r="B241" s="11"/>
      <c r="C241" s="17"/>
    </row>
    <row r="242" spans="1:3" x14ac:dyDescent="0.25">
      <c r="A242" s="1"/>
      <c r="B242" s="11"/>
      <c r="C242" s="17"/>
    </row>
    <row r="243" spans="1:3" x14ac:dyDescent="0.25">
      <c r="A243" s="1"/>
      <c r="B243" s="11"/>
      <c r="C243" s="17"/>
    </row>
    <row r="244" spans="1:3" x14ac:dyDescent="0.25">
      <c r="A244" s="1"/>
      <c r="B244" s="11"/>
      <c r="C244" s="17"/>
    </row>
    <row r="245" spans="1:3" x14ac:dyDescent="0.25">
      <c r="A245" s="1"/>
      <c r="B245" s="11"/>
      <c r="C245" s="17"/>
    </row>
    <row r="246" spans="1:3" x14ac:dyDescent="0.25">
      <c r="A246" s="1"/>
      <c r="B246" s="11"/>
      <c r="C246" s="17"/>
    </row>
    <row r="247" spans="1:3" x14ac:dyDescent="0.25">
      <c r="A247" s="1"/>
      <c r="B247" s="11"/>
      <c r="C247" s="17"/>
    </row>
    <row r="248" spans="1:3" x14ac:dyDescent="0.25">
      <c r="A248" s="1"/>
      <c r="B248" s="11"/>
      <c r="C248" s="17"/>
    </row>
    <row r="249" spans="1:3" x14ac:dyDescent="0.25">
      <c r="A249" s="1"/>
      <c r="B249" s="11"/>
      <c r="C249" s="17"/>
    </row>
    <row r="250" spans="1:3" x14ac:dyDescent="0.25">
      <c r="A250" s="1"/>
      <c r="B250" s="11"/>
      <c r="C250" s="17"/>
    </row>
    <row r="251" spans="1:3" x14ac:dyDescent="0.25">
      <c r="A251" s="1"/>
      <c r="B251" s="11"/>
      <c r="C251" s="17"/>
    </row>
    <row r="252" spans="1:3" x14ac:dyDescent="0.25">
      <c r="A252" s="1"/>
      <c r="B252" s="11"/>
      <c r="C252" s="17"/>
    </row>
    <row r="253" spans="1:3" x14ac:dyDescent="0.25">
      <c r="A253" s="1"/>
      <c r="B253" s="11"/>
      <c r="C253" s="17"/>
    </row>
    <row r="254" spans="1:3" x14ac:dyDescent="0.25">
      <c r="A254" s="1"/>
      <c r="B254" s="11"/>
      <c r="C254" s="17"/>
    </row>
    <row r="255" spans="1:3" x14ac:dyDescent="0.25">
      <c r="A255" s="1"/>
      <c r="B255" s="11"/>
      <c r="C255" s="17"/>
    </row>
    <row r="256" spans="1:3" x14ac:dyDescent="0.25">
      <c r="A256" s="1"/>
      <c r="B256" s="11"/>
      <c r="C256" s="17"/>
    </row>
    <row r="257" spans="1:3" x14ac:dyDescent="0.25">
      <c r="A257" s="1"/>
      <c r="B257" s="11"/>
      <c r="C257" s="17"/>
    </row>
    <row r="258" spans="1:3" x14ac:dyDescent="0.25">
      <c r="A258" s="1"/>
      <c r="B258" s="11"/>
      <c r="C258" s="17"/>
    </row>
    <row r="259" spans="1:3" x14ac:dyDescent="0.25">
      <c r="A259" s="1"/>
      <c r="B259" s="11"/>
      <c r="C259" s="17"/>
    </row>
    <row r="260" spans="1:3" x14ac:dyDescent="0.25">
      <c r="A260" s="1"/>
      <c r="B260" s="11"/>
      <c r="C260" s="17"/>
    </row>
    <row r="261" spans="1:3" x14ac:dyDescent="0.25">
      <c r="A261" s="1"/>
      <c r="B261" s="11"/>
      <c r="C261" s="17"/>
    </row>
    <row r="262" spans="1:3" x14ac:dyDescent="0.25">
      <c r="A262" s="1"/>
      <c r="B262" s="11"/>
      <c r="C262" s="17"/>
    </row>
    <row r="263" spans="1:3" x14ac:dyDescent="0.25">
      <c r="A263" s="1"/>
      <c r="B263" s="11"/>
      <c r="C263" s="17"/>
    </row>
    <row r="264" spans="1:3" x14ac:dyDescent="0.25">
      <c r="A264" s="1"/>
      <c r="B264" s="11"/>
      <c r="C264" s="17"/>
    </row>
    <row r="265" spans="1:3" x14ac:dyDescent="0.25">
      <c r="A265" s="1"/>
      <c r="B265" s="11"/>
      <c r="C265" s="17"/>
    </row>
    <row r="266" spans="1:3" x14ac:dyDescent="0.25">
      <c r="A266" s="1"/>
      <c r="B266" s="11"/>
      <c r="C266" s="17"/>
    </row>
    <row r="267" spans="1:3" x14ac:dyDescent="0.25">
      <c r="A267" s="1"/>
      <c r="B267" s="11"/>
      <c r="C267" s="17"/>
    </row>
    <row r="268" spans="1:3" x14ac:dyDescent="0.25">
      <c r="A268" s="1"/>
      <c r="B268" s="11"/>
      <c r="C268" s="17"/>
    </row>
    <row r="269" spans="1:3" x14ac:dyDescent="0.25">
      <c r="A269" s="1"/>
      <c r="B269" s="11"/>
      <c r="C269" s="17"/>
    </row>
    <row r="270" spans="1:3" x14ac:dyDescent="0.25">
      <c r="A270" s="1"/>
      <c r="B270" s="11"/>
      <c r="C270" s="17"/>
    </row>
    <row r="271" spans="1:3" x14ac:dyDescent="0.25">
      <c r="A271" s="1"/>
      <c r="B271" s="11"/>
      <c r="C271" s="17"/>
    </row>
    <row r="272" spans="1:3" x14ac:dyDescent="0.25">
      <c r="A272" s="1"/>
      <c r="B272" s="11"/>
      <c r="C272" s="17"/>
    </row>
    <row r="273" spans="1:3" x14ac:dyDescent="0.25">
      <c r="A273" s="1"/>
      <c r="B273" s="11"/>
      <c r="C273" s="17"/>
    </row>
    <row r="274" spans="1:3" x14ac:dyDescent="0.25">
      <c r="A274" s="1"/>
      <c r="B274" s="11"/>
      <c r="C274" s="17"/>
    </row>
    <row r="275" spans="1:3" x14ac:dyDescent="0.25">
      <c r="A275" s="1"/>
      <c r="B275" s="11"/>
      <c r="C275" s="17"/>
    </row>
    <row r="276" spans="1:3" x14ac:dyDescent="0.25">
      <c r="A276" s="1"/>
      <c r="B276" s="11"/>
      <c r="C276" s="17"/>
    </row>
    <row r="277" spans="1:3" x14ac:dyDescent="0.25">
      <c r="A277" s="1"/>
      <c r="B277" s="11"/>
      <c r="C277" s="17"/>
    </row>
    <row r="278" spans="1:3" x14ac:dyDescent="0.25">
      <c r="A278" s="1"/>
      <c r="B278" s="11"/>
      <c r="C278" s="17"/>
    </row>
    <row r="279" spans="1:3" x14ac:dyDescent="0.25">
      <c r="A279" s="1"/>
      <c r="B279" s="11"/>
      <c r="C279" s="17"/>
    </row>
    <row r="280" spans="1:3" x14ac:dyDescent="0.25">
      <c r="A280" s="1"/>
      <c r="B280" s="11"/>
      <c r="C280" s="17"/>
    </row>
    <row r="281" spans="1:3" x14ac:dyDescent="0.25">
      <c r="A281" s="1"/>
      <c r="B281" s="11"/>
      <c r="C281" s="17"/>
    </row>
    <row r="282" spans="1:3" x14ac:dyDescent="0.25">
      <c r="A282" s="1"/>
      <c r="B282" s="11"/>
      <c r="C282" s="17"/>
    </row>
    <row r="283" spans="1:3" x14ac:dyDescent="0.25">
      <c r="A283" s="1"/>
      <c r="B283" s="11"/>
      <c r="C283" s="17"/>
    </row>
    <row r="284" spans="1:3" x14ac:dyDescent="0.25">
      <c r="A284" s="1"/>
      <c r="B284" s="11"/>
      <c r="C284" s="17"/>
    </row>
    <row r="285" spans="1:3" x14ac:dyDescent="0.25">
      <c r="A285" s="1"/>
      <c r="B285" s="11"/>
      <c r="C285" s="17"/>
    </row>
    <row r="286" spans="1:3" x14ac:dyDescent="0.25">
      <c r="A286" s="1"/>
      <c r="B286" s="1"/>
      <c r="C286" s="16"/>
    </row>
    <row r="287" spans="1:3" x14ac:dyDescent="0.25">
      <c r="A287" s="1"/>
      <c r="B287" s="1"/>
      <c r="C287" s="16"/>
    </row>
    <row r="288" spans="1:3" x14ac:dyDescent="0.25">
      <c r="A288" s="1"/>
      <c r="B288" s="1"/>
      <c r="C288" s="16"/>
    </row>
    <row r="289" spans="1:3" x14ac:dyDescent="0.25">
      <c r="A289" s="1"/>
      <c r="B289" s="1"/>
      <c r="C289" s="16"/>
    </row>
    <row r="290" spans="1:3" x14ac:dyDescent="0.25">
      <c r="A290" s="1"/>
      <c r="B290" s="1"/>
      <c r="C290" s="16"/>
    </row>
    <row r="291" spans="1:3" x14ac:dyDescent="0.25">
      <c r="A291" s="1"/>
      <c r="B291" s="1"/>
      <c r="C291" s="16"/>
    </row>
    <row r="292" spans="1:3" x14ac:dyDescent="0.25">
      <c r="A292" s="1"/>
      <c r="B292" s="1"/>
      <c r="C292" s="16"/>
    </row>
    <row r="293" spans="1:3" x14ac:dyDescent="0.25">
      <c r="A293" s="1"/>
      <c r="B293" s="1"/>
      <c r="C293" s="16"/>
    </row>
    <row r="294" spans="1:3" x14ac:dyDescent="0.25">
      <c r="A294" s="1"/>
      <c r="B294" s="1"/>
      <c r="C294" s="16"/>
    </row>
    <row r="295" spans="1:3" x14ac:dyDescent="0.25">
      <c r="A295" s="1"/>
      <c r="B295" s="1"/>
      <c r="C295" s="16"/>
    </row>
    <row r="296" spans="1:3" x14ac:dyDescent="0.25">
      <c r="A296" s="1"/>
      <c r="B296" s="1"/>
      <c r="C296" s="16"/>
    </row>
    <row r="297" spans="1:3" x14ac:dyDescent="0.25">
      <c r="A297" s="1"/>
      <c r="B297" s="1"/>
      <c r="C297" s="16"/>
    </row>
    <row r="298" spans="1:3" x14ac:dyDescent="0.25">
      <c r="A298" s="1"/>
      <c r="B298" s="1"/>
      <c r="C298" s="16"/>
    </row>
    <row r="299" spans="1:3" x14ac:dyDescent="0.25">
      <c r="A299" s="1"/>
      <c r="B299" s="1"/>
      <c r="C299" s="16"/>
    </row>
    <row r="300" spans="1:3" x14ac:dyDescent="0.25">
      <c r="A300" s="1"/>
      <c r="B300" s="1"/>
      <c r="C300" s="16"/>
    </row>
    <row r="301" spans="1:3" x14ac:dyDescent="0.25">
      <c r="A301" s="1"/>
      <c r="B301" s="1"/>
      <c r="C301" s="16"/>
    </row>
    <row r="302" spans="1:3" x14ac:dyDescent="0.25">
      <c r="A302" s="1"/>
      <c r="B302" s="1"/>
      <c r="C302" s="16"/>
    </row>
    <row r="303" spans="1:3" x14ac:dyDescent="0.25">
      <c r="A303" s="1"/>
      <c r="B303" s="1"/>
      <c r="C303" s="16"/>
    </row>
    <row r="304" spans="1:3" x14ac:dyDescent="0.25">
      <c r="A304" s="1"/>
      <c r="B304" s="1"/>
      <c r="C304" s="16"/>
    </row>
    <row r="305" spans="1:3" x14ac:dyDescent="0.25">
      <c r="A305" s="1"/>
      <c r="B305" s="1"/>
      <c r="C305" s="16"/>
    </row>
    <row r="306" spans="1:3" x14ac:dyDescent="0.25">
      <c r="A306" s="1"/>
      <c r="B306" s="1"/>
      <c r="C306" s="16"/>
    </row>
    <row r="307" spans="1:3" x14ac:dyDescent="0.25">
      <c r="A307" s="1"/>
      <c r="B307" s="1"/>
      <c r="C307" s="16"/>
    </row>
    <row r="308" spans="1:3" x14ac:dyDescent="0.25">
      <c r="A308" s="1"/>
      <c r="B308" s="1"/>
      <c r="C308" s="16"/>
    </row>
    <row r="309" spans="1:3" x14ac:dyDescent="0.25">
      <c r="A309" s="1"/>
      <c r="B309" s="1"/>
      <c r="C309" s="16"/>
    </row>
    <row r="310" spans="1:3" x14ac:dyDescent="0.25">
      <c r="A310" s="1"/>
      <c r="B310" s="1"/>
      <c r="C310" s="16"/>
    </row>
    <row r="311" spans="1:3" x14ac:dyDescent="0.25">
      <c r="A311" s="1"/>
      <c r="B311" s="1"/>
      <c r="C311" s="16"/>
    </row>
    <row r="312" spans="1:3" x14ac:dyDescent="0.25">
      <c r="A312" s="1"/>
      <c r="B312" s="1"/>
      <c r="C312" s="16"/>
    </row>
    <row r="313" spans="1:3" x14ac:dyDescent="0.25">
      <c r="A313" s="1"/>
      <c r="B313" s="1"/>
      <c r="C313" s="16"/>
    </row>
    <row r="314" spans="1:3" x14ac:dyDescent="0.25">
      <c r="A314" s="1"/>
      <c r="B314" s="1"/>
      <c r="C314" s="16"/>
    </row>
    <row r="315" spans="1:3" x14ac:dyDescent="0.25">
      <c r="A315" s="1"/>
      <c r="B315" s="1"/>
      <c r="C315" s="16"/>
    </row>
    <row r="316" spans="1:3" x14ac:dyDescent="0.25">
      <c r="A316" s="1"/>
      <c r="B316" s="1"/>
      <c r="C316" s="16"/>
    </row>
    <row r="317" spans="1:3" x14ac:dyDescent="0.25">
      <c r="A317" s="1"/>
      <c r="B317" s="1"/>
      <c r="C317" s="16"/>
    </row>
    <row r="318" spans="1:3" x14ac:dyDescent="0.25">
      <c r="A318" s="1"/>
      <c r="B318" s="1"/>
      <c r="C318" s="16"/>
    </row>
    <row r="319" spans="1:3" x14ac:dyDescent="0.25">
      <c r="A319" s="1"/>
      <c r="B319" s="1"/>
      <c r="C319" s="16"/>
    </row>
    <row r="320" spans="1:3" x14ac:dyDescent="0.25">
      <c r="A320" s="1"/>
      <c r="B320" s="1"/>
      <c r="C320" s="16"/>
    </row>
    <row r="321" spans="1:3" x14ac:dyDescent="0.25">
      <c r="A321" s="1"/>
      <c r="B321" s="1"/>
      <c r="C321" s="16"/>
    </row>
    <row r="322" spans="1:3" x14ac:dyDescent="0.25">
      <c r="A322" s="1"/>
      <c r="B322" s="1"/>
      <c r="C322" s="16"/>
    </row>
    <row r="323" spans="1:3" x14ac:dyDescent="0.25">
      <c r="A323" s="1"/>
      <c r="B323" s="1"/>
      <c r="C323" s="16"/>
    </row>
    <row r="324" spans="1:3" x14ac:dyDescent="0.25">
      <c r="A324" s="1"/>
      <c r="B324" s="1"/>
      <c r="C324" s="16"/>
    </row>
    <row r="325" spans="1:3" x14ac:dyDescent="0.25">
      <c r="A325" s="1"/>
      <c r="B325" s="1"/>
      <c r="C325" s="16"/>
    </row>
    <row r="326" spans="1:3" x14ac:dyDescent="0.25">
      <c r="A326" s="1"/>
      <c r="B326" s="1"/>
      <c r="C326" s="16"/>
    </row>
    <row r="327" spans="1:3" x14ac:dyDescent="0.25">
      <c r="A327" s="1"/>
      <c r="B327" s="1"/>
      <c r="C327" s="16"/>
    </row>
    <row r="328" spans="1:3" x14ac:dyDescent="0.25">
      <c r="A328" s="1"/>
      <c r="B328" s="1"/>
      <c r="C328" s="16"/>
    </row>
    <row r="329" spans="1:3" x14ac:dyDescent="0.25">
      <c r="A329" s="1"/>
      <c r="B329" s="1"/>
      <c r="C329" s="16"/>
    </row>
    <row r="330" spans="1:3" x14ac:dyDescent="0.25">
      <c r="A330" s="1"/>
      <c r="B330" s="1"/>
      <c r="C330" s="16"/>
    </row>
    <row r="331" spans="1:3" x14ac:dyDescent="0.25">
      <c r="A331" s="1"/>
      <c r="B331" s="1"/>
      <c r="C331" s="16"/>
    </row>
    <row r="332" spans="1:3" x14ac:dyDescent="0.25">
      <c r="A332" s="1"/>
      <c r="B332" s="1"/>
      <c r="C332" s="16"/>
    </row>
    <row r="333" spans="1:3" x14ac:dyDescent="0.25">
      <c r="A333" s="1"/>
      <c r="B333" s="1"/>
      <c r="C333" s="16"/>
    </row>
    <row r="334" spans="1:3" x14ac:dyDescent="0.25">
      <c r="A334" s="1"/>
      <c r="B334" s="1"/>
      <c r="C334" s="16"/>
    </row>
    <row r="335" spans="1:3" x14ac:dyDescent="0.25">
      <c r="A335" s="1"/>
      <c r="B335" s="1"/>
      <c r="C335" s="16"/>
    </row>
    <row r="336" spans="1:3" x14ac:dyDescent="0.25">
      <c r="A336" s="1"/>
      <c r="B336" s="1"/>
      <c r="C336" s="16"/>
    </row>
    <row r="337" spans="1:3" x14ac:dyDescent="0.25">
      <c r="A337" s="1"/>
      <c r="B337" s="1"/>
      <c r="C337" s="16"/>
    </row>
    <row r="338" spans="1:3" x14ac:dyDescent="0.25">
      <c r="A338" s="1"/>
      <c r="B338" s="1"/>
      <c r="C338" s="16"/>
    </row>
    <row r="339" spans="1:3" x14ac:dyDescent="0.25">
      <c r="A339" s="1"/>
      <c r="B339" s="1"/>
      <c r="C339" s="16"/>
    </row>
    <row r="340" spans="1:3" x14ac:dyDescent="0.25">
      <c r="A340" s="1"/>
      <c r="B340" s="1"/>
      <c r="C340" s="16"/>
    </row>
    <row r="341" spans="1:3" x14ac:dyDescent="0.25">
      <c r="A341" s="1"/>
      <c r="B341" s="1"/>
      <c r="C341" s="16"/>
    </row>
    <row r="342" spans="1:3" x14ac:dyDescent="0.25">
      <c r="A342" s="1"/>
      <c r="B342" s="1"/>
      <c r="C342" s="16"/>
    </row>
    <row r="343" spans="1:3" x14ac:dyDescent="0.25">
      <c r="A343" s="1"/>
      <c r="B343" s="1"/>
      <c r="C343" s="16"/>
    </row>
    <row r="344" spans="1:3" x14ac:dyDescent="0.25">
      <c r="A344" s="1"/>
      <c r="B344" s="1"/>
      <c r="C344" s="16"/>
    </row>
    <row r="345" spans="1:3" x14ac:dyDescent="0.25">
      <c r="A345" s="1"/>
      <c r="B345" s="1"/>
      <c r="C345" s="16"/>
    </row>
    <row r="346" spans="1:3" x14ac:dyDescent="0.25">
      <c r="A346" s="1"/>
      <c r="B346" s="1"/>
      <c r="C346" s="16"/>
    </row>
    <row r="347" spans="1:3" x14ac:dyDescent="0.25">
      <c r="A347" s="1"/>
      <c r="B347" s="1"/>
      <c r="C347" s="16"/>
    </row>
    <row r="348" spans="1:3" x14ac:dyDescent="0.25">
      <c r="A348" s="1"/>
      <c r="B348" s="1"/>
      <c r="C348" s="16"/>
    </row>
    <row r="349" spans="1:3" x14ac:dyDescent="0.25">
      <c r="A349" s="1"/>
      <c r="B349" s="1"/>
      <c r="C349" s="16"/>
    </row>
    <row r="350" spans="1:3" x14ac:dyDescent="0.25">
      <c r="A350" s="1"/>
      <c r="B350" s="1"/>
      <c r="C350" s="16"/>
    </row>
    <row r="351" spans="1:3" x14ac:dyDescent="0.25">
      <c r="A351" s="1"/>
      <c r="B351" s="1"/>
      <c r="C351" s="16"/>
    </row>
    <row r="352" spans="1:3" x14ac:dyDescent="0.25">
      <c r="A352" s="1"/>
      <c r="B352" s="1"/>
      <c r="C352" s="16"/>
    </row>
    <row r="353" spans="1:3" x14ac:dyDescent="0.25">
      <c r="A353" s="1"/>
      <c r="B353" s="1"/>
      <c r="C353" s="16"/>
    </row>
    <row r="354" spans="1:3" x14ac:dyDescent="0.25">
      <c r="A354" s="1"/>
      <c r="B354" s="1"/>
      <c r="C354" s="16"/>
    </row>
    <row r="355" spans="1:3" x14ac:dyDescent="0.25">
      <c r="A355" s="1"/>
      <c r="B355" s="1"/>
      <c r="C355" s="16"/>
    </row>
    <row r="356" spans="1:3" x14ac:dyDescent="0.25">
      <c r="A356" s="1"/>
      <c r="B356" s="1"/>
      <c r="C356" s="16"/>
    </row>
    <row r="357" spans="1:3" x14ac:dyDescent="0.25">
      <c r="A357" s="1"/>
      <c r="B357" s="1"/>
      <c r="C357" s="16"/>
    </row>
    <row r="358" spans="1:3" x14ac:dyDescent="0.25">
      <c r="A358" s="1"/>
      <c r="B358" s="1"/>
      <c r="C358" s="16"/>
    </row>
    <row r="359" spans="1:3" x14ac:dyDescent="0.25">
      <c r="A359" s="1"/>
      <c r="B359" s="1"/>
      <c r="C359" s="16"/>
    </row>
    <row r="360" spans="1:3" x14ac:dyDescent="0.25">
      <c r="A360" s="1"/>
      <c r="B360" s="1"/>
      <c r="C360" s="16"/>
    </row>
    <row r="361" spans="1:3" x14ac:dyDescent="0.25">
      <c r="A361" s="1"/>
      <c r="B361" s="1"/>
      <c r="C361" s="16"/>
    </row>
    <row r="362" spans="1:3" x14ac:dyDescent="0.25">
      <c r="A362" s="1"/>
      <c r="B362" s="1"/>
      <c r="C362" s="16"/>
    </row>
    <row r="363" spans="1:3" x14ac:dyDescent="0.25">
      <c r="A363" s="1"/>
      <c r="B363" s="1"/>
      <c r="C363" s="16"/>
    </row>
    <row r="364" spans="1:3" x14ac:dyDescent="0.25">
      <c r="A364" s="1"/>
      <c r="B364" s="1"/>
      <c r="C364" s="16"/>
    </row>
    <row r="365" spans="1:3" x14ac:dyDescent="0.25">
      <c r="A365" s="1"/>
      <c r="B365" s="1"/>
      <c r="C365" s="16"/>
    </row>
    <row r="366" spans="1:3" x14ac:dyDescent="0.25">
      <c r="A366" s="1"/>
      <c r="B366" s="1"/>
      <c r="C366" s="16"/>
    </row>
    <row r="367" spans="1:3" x14ac:dyDescent="0.25">
      <c r="A367" s="1"/>
      <c r="B367" s="1"/>
      <c r="C367" s="16"/>
    </row>
    <row r="368" spans="1:3" x14ac:dyDescent="0.25">
      <c r="A368" s="1"/>
      <c r="B368" s="1"/>
      <c r="C368" s="16"/>
    </row>
    <row r="369" spans="1:3" x14ac:dyDescent="0.25">
      <c r="A369" s="1"/>
      <c r="B369" s="1"/>
      <c r="C369" s="16"/>
    </row>
    <row r="370" spans="1:3" x14ac:dyDescent="0.25">
      <c r="A370" s="1"/>
      <c r="B370" s="1"/>
      <c r="C370" s="16"/>
    </row>
    <row r="371" spans="1:3" x14ac:dyDescent="0.25">
      <c r="A371" s="1"/>
      <c r="B371" s="1"/>
      <c r="C371" s="16"/>
    </row>
    <row r="372" spans="1:3" x14ac:dyDescent="0.25">
      <c r="A372" s="1"/>
      <c r="B372" s="1"/>
      <c r="C372" s="16"/>
    </row>
    <row r="373" spans="1:3" x14ac:dyDescent="0.25">
      <c r="A373" s="1"/>
      <c r="B373" s="1"/>
      <c r="C373" s="16"/>
    </row>
    <row r="374" spans="1:3" x14ac:dyDescent="0.25">
      <c r="A374" s="1"/>
      <c r="B374" s="1"/>
      <c r="C374" s="16"/>
    </row>
    <row r="375" spans="1:3" x14ac:dyDescent="0.25">
      <c r="A375" s="1"/>
      <c r="B375" s="1"/>
      <c r="C375" s="16"/>
    </row>
    <row r="376" spans="1:3" x14ac:dyDescent="0.25">
      <c r="A376" s="1"/>
      <c r="B376" s="1"/>
      <c r="C376" s="16"/>
    </row>
    <row r="377" spans="1:3" x14ac:dyDescent="0.25">
      <c r="A377" s="1"/>
      <c r="B377" s="1"/>
      <c r="C377" s="16"/>
    </row>
    <row r="378" spans="1:3" x14ac:dyDescent="0.25">
      <c r="A378" s="1"/>
      <c r="B378" s="1"/>
      <c r="C378" s="16"/>
    </row>
    <row r="379" spans="1:3" x14ac:dyDescent="0.25">
      <c r="A379" s="1"/>
      <c r="B379" s="1"/>
      <c r="C379" s="16"/>
    </row>
    <row r="380" spans="1:3" x14ac:dyDescent="0.25">
      <c r="A380" s="1"/>
      <c r="B380" s="1"/>
      <c r="C380" s="16"/>
    </row>
    <row r="381" spans="1:3" x14ac:dyDescent="0.25">
      <c r="A381" s="1"/>
      <c r="B381" s="1"/>
      <c r="C381" s="16"/>
    </row>
    <row r="382" spans="1:3" x14ac:dyDescent="0.25">
      <c r="A382" s="1"/>
      <c r="B382" s="1"/>
      <c r="C382" s="16"/>
    </row>
    <row r="383" spans="1:3" x14ac:dyDescent="0.25">
      <c r="A383" s="1"/>
      <c r="B383" s="1"/>
      <c r="C383" s="16"/>
    </row>
    <row r="384" spans="1:3" x14ac:dyDescent="0.25">
      <c r="A384" s="1"/>
      <c r="B384" s="1"/>
      <c r="C384" s="16"/>
    </row>
    <row r="385" spans="1:3" x14ac:dyDescent="0.25">
      <c r="A385" s="1"/>
      <c r="B385" s="1"/>
      <c r="C385" s="16"/>
    </row>
    <row r="386" spans="1:3" x14ac:dyDescent="0.25">
      <c r="A386" s="1"/>
      <c r="B386" s="1"/>
      <c r="C386" s="16"/>
    </row>
    <row r="387" spans="1:3" x14ac:dyDescent="0.25">
      <c r="A387" s="1"/>
      <c r="B387" s="1"/>
      <c r="C387" s="16"/>
    </row>
    <row r="388" spans="1:3" x14ac:dyDescent="0.25">
      <c r="A388" s="1"/>
      <c r="B388" s="1"/>
      <c r="C388" s="16"/>
    </row>
    <row r="389" spans="1:3" x14ac:dyDescent="0.25">
      <c r="A389" s="1"/>
      <c r="B389" s="1"/>
      <c r="C389" s="16"/>
    </row>
    <row r="390" spans="1:3" x14ac:dyDescent="0.25">
      <c r="A390" s="1"/>
      <c r="B390" s="1"/>
      <c r="C390" s="16"/>
    </row>
    <row r="391" spans="1:3" x14ac:dyDescent="0.25">
      <c r="A391" s="1"/>
      <c r="B391" s="1"/>
      <c r="C391" s="16"/>
    </row>
    <row r="392" spans="1:3" x14ac:dyDescent="0.25">
      <c r="A392" s="1"/>
      <c r="B392" s="1"/>
      <c r="C392" s="16"/>
    </row>
    <row r="393" spans="1:3" x14ac:dyDescent="0.25">
      <c r="A393" s="1"/>
      <c r="B393" s="1"/>
      <c r="C393" s="16"/>
    </row>
    <row r="394" spans="1:3" x14ac:dyDescent="0.25">
      <c r="A394" s="1"/>
      <c r="B394" s="1"/>
      <c r="C394" s="16"/>
    </row>
    <row r="395" spans="1:3" x14ac:dyDescent="0.25">
      <c r="A395" s="1"/>
      <c r="B395" s="1"/>
      <c r="C395" s="16"/>
    </row>
    <row r="396" spans="1:3" x14ac:dyDescent="0.25">
      <c r="A396" s="1"/>
      <c r="B396" s="1"/>
      <c r="C396" s="16"/>
    </row>
    <row r="397" spans="1:3" x14ac:dyDescent="0.25">
      <c r="A397" s="1"/>
      <c r="B397" s="1"/>
      <c r="C397" s="16"/>
    </row>
    <row r="398" spans="1:3" x14ac:dyDescent="0.25">
      <c r="A398" s="1"/>
      <c r="B398" s="1"/>
      <c r="C398" s="16"/>
    </row>
    <row r="399" spans="1:3" x14ac:dyDescent="0.25">
      <c r="A399" s="1"/>
      <c r="B399" s="1"/>
      <c r="C399" s="16"/>
    </row>
    <row r="400" spans="1:3" x14ac:dyDescent="0.25">
      <c r="A400" s="1"/>
      <c r="B400" s="1"/>
      <c r="C400" s="16"/>
    </row>
    <row r="401" spans="1:3" x14ac:dyDescent="0.25">
      <c r="A401" s="1"/>
      <c r="B401" s="1"/>
      <c r="C401" s="16"/>
    </row>
    <row r="402" spans="1:3" x14ac:dyDescent="0.25">
      <c r="A402" s="1"/>
      <c r="B402" s="1"/>
      <c r="C402" s="16"/>
    </row>
    <row r="403" spans="1:3" x14ac:dyDescent="0.25">
      <c r="A403" s="1"/>
      <c r="B403" s="1"/>
      <c r="C403" s="16"/>
    </row>
    <row r="404" spans="1:3" x14ac:dyDescent="0.25">
      <c r="A404" s="1"/>
      <c r="B404" s="1"/>
      <c r="C404" s="16"/>
    </row>
    <row r="405" spans="1:3" x14ac:dyDescent="0.25">
      <c r="A405" s="1"/>
      <c r="B405" s="1"/>
      <c r="C405" s="16"/>
    </row>
    <row r="406" spans="1:3" x14ac:dyDescent="0.25">
      <c r="A406" s="1"/>
      <c r="B406" s="1"/>
      <c r="C406" s="16"/>
    </row>
    <row r="407" spans="1:3" x14ac:dyDescent="0.25">
      <c r="A407" s="1"/>
      <c r="B407" s="1"/>
      <c r="C407" s="16"/>
    </row>
    <row r="408" spans="1:3" x14ac:dyDescent="0.25">
      <c r="A408" s="1"/>
      <c r="B408" s="1"/>
      <c r="C408" s="16"/>
    </row>
    <row r="409" spans="1:3" x14ac:dyDescent="0.25">
      <c r="A409" s="1"/>
      <c r="B409" s="1"/>
      <c r="C409" s="16"/>
    </row>
    <row r="410" spans="1:3" x14ac:dyDescent="0.25">
      <c r="A410" s="1"/>
      <c r="B410" s="1"/>
      <c r="C410" s="16"/>
    </row>
    <row r="411" spans="1:3" x14ac:dyDescent="0.25">
      <c r="A411" s="1"/>
      <c r="B411" s="1"/>
      <c r="C411" s="16"/>
    </row>
    <row r="412" spans="1:3" x14ac:dyDescent="0.25">
      <c r="A412" s="1"/>
      <c r="B412" s="1"/>
      <c r="C412" s="16"/>
    </row>
    <row r="413" spans="1:3" x14ac:dyDescent="0.25">
      <c r="A413" s="1"/>
      <c r="B413" s="1"/>
      <c r="C413" s="16"/>
    </row>
    <row r="414" spans="1:3" x14ac:dyDescent="0.25">
      <c r="A414" s="1"/>
      <c r="B414" s="1"/>
      <c r="C414" s="16"/>
    </row>
    <row r="415" spans="1:3" x14ac:dyDescent="0.25">
      <c r="A415" s="1"/>
      <c r="B415" s="1"/>
      <c r="C415" s="16"/>
    </row>
    <row r="416" spans="1:3" x14ac:dyDescent="0.25">
      <c r="A416" s="1"/>
      <c r="B416" s="1"/>
      <c r="C416" s="16"/>
    </row>
    <row r="417" spans="1:3" x14ac:dyDescent="0.25">
      <c r="A417" s="1"/>
      <c r="B417" s="1"/>
      <c r="C417" s="16"/>
    </row>
    <row r="418" spans="1:3" x14ac:dyDescent="0.25">
      <c r="A418" s="1"/>
      <c r="B418" s="1"/>
      <c r="C418" s="16"/>
    </row>
    <row r="419" spans="1:3" x14ac:dyDescent="0.25">
      <c r="A419" s="1"/>
      <c r="B419" s="1"/>
      <c r="C419" s="16"/>
    </row>
    <row r="420" spans="1:3" x14ac:dyDescent="0.25">
      <c r="A420" s="1"/>
      <c r="B420" s="1"/>
      <c r="C420" s="16"/>
    </row>
    <row r="421" spans="1:3" x14ac:dyDescent="0.25">
      <c r="A421" s="1"/>
      <c r="B421" s="1"/>
      <c r="C421" s="16"/>
    </row>
    <row r="422" spans="1:3" x14ac:dyDescent="0.25">
      <c r="A422" s="1"/>
      <c r="B422" s="1"/>
      <c r="C422" s="16"/>
    </row>
    <row r="423" spans="1:3" x14ac:dyDescent="0.25">
      <c r="A423" s="1"/>
      <c r="B423" s="1"/>
      <c r="C423" s="16"/>
    </row>
    <row r="424" spans="1:3" x14ac:dyDescent="0.25">
      <c r="A424" s="1"/>
      <c r="B424" s="1"/>
      <c r="C424" s="16"/>
    </row>
    <row r="425" spans="1:3" x14ac:dyDescent="0.25">
      <c r="A425" s="1"/>
      <c r="B425" s="1"/>
      <c r="C425" s="16"/>
    </row>
    <row r="426" spans="1:3" x14ac:dyDescent="0.25">
      <c r="A426" s="1"/>
      <c r="B426" s="1"/>
      <c r="C426" s="16"/>
    </row>
    <row r="427" spans="1:3" x14ac:dyDescent="0.25">
      <c r="A427" s="1"/>
      <c r="B427" s="1"/>
      <c r="C427" s="16"/>
    </row>
    <row r="428" spans="1:3" x14ac:dyDescent="0.25">
      <c r="A428" s="1"/>
      <c r="B428" s="1"/>
      <c r="C428" s="1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21A32-9808-4DE0-BB27-922E2905A14D}">
  <dimension ref="A1:B46"/>
  <sheetViews>
    <sheetView workbookViewId="0">
      <selection activeCell="K10" sqref="K10"/>
    </sheetView>
  </sheetViews>
  <sheetFormatPr defaultRowHeight="13.95" x14ac:dyDescent="0.25"/>
  <cols>
    <col min="1" max="1" width="8.88671875" style="10"/>
    <col min="2" max="2" width="12.88671875" style="10" bestFit="1" customWidth="1"/>
  </cols>
  <sheetData>
    <row r="1" spans="1:2" x14ac:dyDescent="0.25">
      <c r="A1" s="10" t="s">
        <v>78</v>
      </c>
      <c r="B1" s="10" t="s">
        <v>131</v>
      </c>
    </row>
    <row r="2" spans="1:2" x14ac:dyDescent="0.25">
      <c r="A2" s="10" t="s">
        <v>132</v>
      </c>
      <c r="B2" s="10">
        <v>122.08</v>
      </c>
    </row>
    <row r="3" spans="1:2" x14ac:dyDescent="0.25">
      <c r="A3" s="10" t="s">
        <v>133</v>
      </c>
      <c r="B3" s="10">
        <v>75.339999999999989</v>
      </c>
    </row>
    <row r="4" spans="1:2" x14ac:dyDescent="0.25">
      <c r="A4" s="10" t="s">
        <v>134</v>
      </c>
      <c r="B4" s="10">
        <v>9.2700000000000014</v>
      </c>
    </row>
    <row r="5" spans="1:2" x14ac:dyDescent="0.25">
      <c r="A5" s="10" t="s">
        <v>135</v>
      </c>
      <c r="B5" s="10">
        <v>146.82</v>
      </c>
    </row>
    <row r="6" spans="1:2" x14ac:dyDescent="0.25">
      <c r="A6" s="10" t="s">
        <v>136</v>
      </c>
      <c r="B6" s="10">
        <v>154.83999999999997</v>
      </c>
    </row>
    <row r="7" spans="1:2" x14ac:dyDescent="0.25">
      <c r="A7" s="10" t="s">
        <v>137</v>
      </c>
      <c r="B7" s="10">
        <v>78.02</v>
      </c>
    </row>
    <row r="8" spans="1:2" x14ac:dyDescent="0.25">
      <c r="A8" s="10" t="s">
        <v>138</v>
      </c>
      <c r="B8" s="10">
        <v>107.37</v>
      </c>
    </row>
    <row r="9" spans="1:2" x14ac:dyDescent="0.25">
      <c r="A9" s="10" t="s">
        <v>139</v>
      </c>
      <c r="B9" s="10">
        <v>69.990000000000009</v>
      </c>
    </row>
    <row r="10" spans="1:2" x14ac:dyDescent="0.25">
      <c r="A10" s="10" t="s">
        <v>140</v>
      </c>
      <c r="B10" s="10">
        <v>164.69</v>
      </c>
    </row>
    <row r="11" spans="1:2" x14ac:dyDescent="0.25">
      <c r="A11" s="10" t="s">
        <v>141</v>
      </c>
      <c r="B11" s="10">
        <v>157.59</v>
      </c>
    </row>
    <row r="12" spans="1:2" x14ac:dyDescent="0.25">
      <c r="A12" s="10" t="s">
        <v>142</v>
      </c>
      <c r="B12" s="10">
        <v>265.63</v>
      </c>
    </row>
    <row r="13" spans="1:2" x14ac:dyDescent="0.25">
      <c r="A13" s="10" t="s">
        <v>143</v>
      </c>
      <c r="B13" s="10">
        <v>181.61999999999998</v>
      </c>
    </row>
    <row r="14" spans="1:2" x14ac:dyDescent="0.25">
      <c r="A14" s="10" t="s">
        <v>144</v>
      </c>
      <c r="B14" s="10">
        <v>171.01</v>
      </c>
    </row>
    <row r="15" spans="1:2" x14ac:dyDescent="0.25">
      <c r="A15" s="10" t="s">
        <v>145</v>
      </c>
      <c r="B15" s="10">
        <v>114.59</v>
      </c>
    </row>
    <row r="16" spans="1:2" x14ac:dyDescent="0.25">
      <c r="A16" s="10" t="s">
        <v>146</v>
      </c>
      <c r="B16" s="10">
        <v>87.87</v>
      </c>
    </row>
    <row r="17" spans="1:2" x14ac:dyDescent="0.25">
      <c r="A17" s="10" t="s">
        <v>43</v>
      </c>
      <c r="B17" s="10">
        <v>29.74</v>
      </c>
    </row>
    <row r="18" spans="1:2" x14ac:dyDescent="0.25">
      <c r="A18" s="10" t="s">
        <v>48</v>
      </c>
      <c r="B18" s="10">
        <v>98.18</v>
      </c>
    </row>
    <row r="19" spans="1:2" x14ac:dyDescent="0.25">
      <c r="A19" s="10" t="s">
        <v>50</v>
      </c>
      <c r="B19" s="10">
        <v>144.35</v>
      </c>
    </row>
    <row r="20" spans="1:2" x14ac:dyDescent="0.25">
      <c r="A20" s="10" t="s">
        <v>54</v>
      </c>
      <c r="B20" s="10">
        <v>76.430000000000007</v>
      </c>
    </row>
    <row r="21" spans="1:2" x14ac:dyDescent="0.25">
      <c r="A21" s="10" t="s">
        <v>58</v>
      </c>
      <c r="B21" s="10">
        <v>84.050000000000011</v>
      </c>
    </row>
    <row r="22" spans="1:2" x14ac:dyDescent="0.25">
      <c r="A22" s="10" t="s">
        <v>61</v>
      </c>
      <c r="B22" s="10">
        <v>78.900000000000006</v>
      </c>
    </row>
    <row r="23" spans="1:2" x14ac:dyDescent="0.25">
      <c r="A23" s="10" t="s">
        <v>62</v>
      </c>
      <c r="B23" s="10">
        <v>157.24</v>
      </c>
    </row>
    <row r="24" spans="1:2" x14ac:dyDescent="0.25">
      <c r="A24" s="10" t="s">
        <v>65</v>
      </c>
      <c r="B24" s="10">
        <v>84.89</v>
      </c>
    </row>
    <row r="25" spans="1:2" x14ac:dyDescent="0.25">
      <c r="A25" s="10" t="s">
        <v>67</v>
      </c>
      <c r="B25" s="10">
        <v>85.26</v>
      </c>
    </row>
    <row r="26" spans="1:2" x14ac:dyDescent="0.25">
      <c r="A26" s="10" t="s">
        <v>68</v>
      </c>
      <c r="B26" s="10">
        <v>148.47</v>
      </c>
    </row>
    <row r="27" spans="1:2" x14ac:dyDescent="0.25">
      <c r="A27" s="10" t="s">
        <v>147</v>
      </c>
      <c r="B27" s="10">
        <v>43.93</v>
      </c>
    </row>
    <row r="28" spans="1:2" x14ac:dyDescent="0.25">
      <c r="A28" s="10" t="s">
        <v>148</v>
      </c>
      <c r="B28" s="10">
        <v>37.590000000000003</v>
      </c>
    </row>
    <row r="29" spans="1:2" x14ac:dyDescent="0.25">
      <c r="A29" s="10" t="s">
        <v>149</v>
      </c>
      <c r="B29" s="10">
        <v>77.430000000000007</v>
      </c>
    </row>
    <row r="30" spans="1:2" x14ac:dyDescent="0.25">
      <c r="A30" s="10" t="s">
        <v>150</v>
      </c>
      <c r="B30" s="10">
        <v>42.37</v>
      </c>
    </row>
    <row r="31" spans="1:2" x14ac:dyDescent="0.25">
      <c r="A31" s="10" t="s">
        <v>151</v>
      </c>
      <c r="B31" s="10">
        <v>70.570000000000007</v>
      </c>
    </row>
    <row r="32" spans="1:2" x14ac:dyDescent="0.25">
      <c r="A32" s="10" t="s">
        <v>152</v>
      </c>
      <c r="B32" s="10">
        <v>185.29000000000002</v>
      </c>
    </row>
    <row r="33" spans="1:2" x14ac:dyDescent="0.25">
      <c r="A33" s="10" t="s">
        <v>153</v>
      </c>
      <c r="B33" s="10">
        <v>161.52000000000001</v>
      </c>
    </row>
    <row r="34" spans="1:2" x14ac:dyDescent="0.25">
      <c r="A34" s="10" t="s">
        <v>154</v>
      </c>
      <c r="B34" s="10">
        <v>119.78</v>
      </c>
    </row>
    <row r="35" spans="1:2" x14ac:dyDescent="0.25">
      <c r="A35" s="10" t="s">
        <v>155</v>
      </c>
      <c r="B35" s="10">
        <v>235.42000000000002</v>
      </c>
    </row>
    <row r="36" spans="1:2" x14ac:dyDescent="0.25">
      <c r="A36" s="10" t="s">
        <v>156</v>
      </c>
      <c r="B36" s="10">
        <v>76.27000000000001</v>
      </c>
    </row>
    <row r="37" spans="1:2" x14ac:dyDescent="0.25">
      <c r="A37" s="10" t="s">
        <v>157</v>
      </c>
      <c r="B37" s="10">
        <v>68.87</v>
      </c>
    </row>
    <row r="38" spans="1:2" x14ac:dyDescent="0.25">
      <c r="A38" s="10" t="s">
        <v>158</v>
      </c>
      <c r="B38" s="10">
        <v>67.37</v>
      </c>
    </row>
    <row r="39" spans="1:2" x14ac:dyDescent="0.25">
      <c r="A39" s="10" t="s">
        <v>159</v>
      </c>
      <c r="B39" s="10">
        <v>46.59</v>
      </c>
    </row>
    <row r="40" spans="1:2" x14ac:dyDescent="0.25">
      <c r="A40" s="10" t="s">
        <v>160</v>
      </c>
      <c r="B40" s="10">
        <v>41.03</v>
      </c>
    </row>
    <row r="41" spans="1:2" x14ac:dyDescent="0.25">
      <c r="A41" s="10" t="s">
        <v>161</v>
      </c>
      <c r="B41" s="10">
        <v>122.32000000000001</v>
      </c>
    </row>
    <row r="42" spans="1:2" x14ac:dyDescent="0.25">
      <c r="A42" s="10" t="s">
        <v>162</v>
      </c>
      <c r="B42" s="10">
        <v>180.64000000000001</v>
      </c>
    </row>
    <row r="43" spans="1:2" x14ac:dyDescent="0.25">
      <c r="A43" s="10" t="s">
        <v>163</v>
      </c>
      <c r="B43" s="10">
        <v>85.320000000000007</v>
      </c>
    </row>
    <row r="44" spans="1:2" x14ac:dyDescent="0.25">
      <c r="A44" s="10" t="s">
        <v>164</v>
      </c>
      <c r="B44" s="10">
        <v>163.81</v>
      </c>
    </row>
    <row r="45" spans="1:2" x14ac:dyDescent="0.25">
      <c r="A45" s="10" t="s">
        <v>165</v>
      </c>
      <c r="B45" s="10">
        <v>94.65</v>
      </c>
    </row>
    <row r="46" spans="1:2" x14ac:dyDescent="0.25">
      <c r="A46" s="10" t="s">
        <v>166</v>
      </c>
      <c r="B46" s="10">
        <v>91.58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F354-4F75-4A4F-8F07-6767B81FE812}">
  <dimension ref="A1:AJ76"/>
  <sheetViews>
    <sheetView tabSelected="1" topLeftCell="A40" workbookViewId="0">
      <selection activeCell="O50" sqref="O50"/>
    </sheetView>
  </sheetViews>
  <sheetFormatPr defaultRowHeight="13.95" x14ac:dyDescent="0.25"/>
  <cols>
    <col min="1" max="1" width="8.88671875" style="26"/>
    <col min="2" max="2" width="8.88671875" style="10"/>
    <col min="3" max="3" width="19.33203125" style="10" bestFit="1" customWidth="1"/>
    <col min="4" max="4" width="20.33203125" style="10" bestFit="1" customWidth="1"/>
    <col min="5" max="5" width="17.5546875" style="10" bestFit="1" customWidth="1"/>
    <col min="6" max="14" width="12.77734375" style="10" bestFit="1" customWidth="1"/>
    <col min="23" max="23" width="17.6640625" style="10" bestFit="1" customWidth="1"/>
    <col min="25" max="25" width="20.33203125" bestFit="1" customWidth="1"/>
    <col min="26" max="26" width="12.77734375" bestFit="1" customWidth="1"/>
    <col min="28" max="28" width="12.77734375" bestFit="1" customWidth="1"/>
    <col min="30" max="30" width="12.77734375" bestFit="1" customWidth="1"/>
    <col min="32" max="32" width="12.77734375" bestFit="1" customWidth="1"/>
    <col min="34" max="34" width="12.77734375" bestFit="1" customWidth="1"/>
  </cols>
  <sheetData>
    <row r="1" spans="1:36" x14ac:dyDescent="0.25">
      <c r="B1" s="10" t="s">
        <v>233</v>
      </c>
      <c r="C1" s="10" t="s">
        <v>234</v>
      </c>
      <c r="D1" s="10" t="s">
        <v>235</v>
      </c>
      <c r="E1" s="10" t="s">
        <v>237</v>
      </c>
      <c r="F1" s="10" t="s">
        <v>238</v>
      </c>
      <c r="G1" s="10" t="s">
        <v>297</v>
      </c>
      <c r="H1" s="10" t="s">
        <v>298</v>
      </c>
      <c r="I1" s="10" t="s">
        <v>299</v>
      </c>
      <c r="J1" s="10" t="s">
        <v>300</v>
      </c>
      <c r="K1" s="10" t="s">
        <v>301</v>
      </c>
      <c r="L1" s="10" t="s">
        <v>302</v>
      </c>
      <c r="M1" s="10" t="s">
        <v>303</v>
      </c>
      <c r="N1" s="10" t="s">
        <v>304</v>
      </c>
      <c r="P1" t="s">
        <v>329</v>
      </c>
      <c r="Q1" t="s">
        <v>345</v>
      </c>
      <c r="R1" t="s">
        <v>347</v>
      </c>
      <c r="S1" t="s">
        <v>349</v>
      </c>
      <c r="T1" s="10" t="s">
        <v>284</v>
      </c>
      <c r="U1" s="10" t="s">
        <v>282</v>
      </c>
      <c r="W1" s="10" t="s">
        <v>236</v>
      </c>
    </row>
    <row r="2" spans="1:36" x14ac:dyDescent="0.25">
      <c r="A2" s="26" t="s">
        <v>132</v>
      </c>
      <c r="B2" s="10">
        <v>4</v>
      </c>
      <c r="C2" s="10">
        <v>3.7786676490090798</v>
      </c>
      <c r="D2" s="10">
        <v>0.60839898889327704</v>
      </c>
      <c r="E2" s="10">
        <v>1.0839508068935</v>
      </c>
      <c r="F2" s="10">
        <v>2.1169622058701201</v>
      </c>
      <c r="G2" s="10">
        <v>36.991526604623097</v>
      </c>
      <c r="H2" s="10">
        <v>0.105305877415672</v>
      </c>
      <c r="I2" s="10">
        <v>14.5959701463433</v>
      </c>
      <c r="J2" s="10">
        <v>0.68340795993432801</v>
      </c>
      <c r="K2" s="10">
        <v>293.307374478209</v>
      </c>
      <c r="L2" s="10">
        <v>19.746860384089601</v>
      </c>
      <c r="M2" s="10">
        <v>3.15939291041642</v>
      </c>
      <c r="N2" s="10">
        <v>22.221107249595502</v>
      </c>
      <c r="P2">
        <v>0.9743587427935898</v>
      </c>
      <c r="Q2">
        <v>13.871969905135423</v>
      </c>
      <c r="R2">
        <v>11.405437950122201</v>
      </c>
      <c r="S2">
        <v>9.4771971623844191</v>
      </c>
      <c r="T2" s="10" t="s">
        <v>283</v>
      </c>
      <c r="U2" t="s">
        <v>296</v>
      </c>
      <c r="W2" s="10">
        <v>0.94410757005023405</v>
      </c>
    </row>
    <row r="3" spans="1:36" x14ac:dyDescent="0.25">
      <c r="A3" s="26" t="s">
        <v>133</v>
      </c>
      <c r="B3" s="10">
        <v>11</v>
      </c>
      <c r="C3" s="10">
        <v>16.5922246220026</v>
      </c>
      <c r="D3" s="10">
        <v>0.47274974731964198</v>
      </c>
      <c r="E3" s="10">
        <v>2.1435608528282599</v>
      </c>
      <c r="F3" s="10">
        <v>6.3303571755225398</v>
      </c>
      <c r="G3" s="10">
        <v>231.475701601775</v>
      </c>
      <c r="H3" s="10">
        <v>0.16229940055983999</v>
      </c>
      <c r="I3" s="10">
        <v>19.4614804964149</v>
      </c>
      <c r="J3" s="10">
        <v>0.26878546117154301</v>
      </c>
      <c r="K3" s="10">
        <v>342.223117001064</v>
      </c>
      <c r="L3" s="10">
        <v>19.078999880066501</v>
      </c>
      <c r="M3" s="10">
        <v>3.4667296308603701</v>
      </c>
      <c r="N3" s="10">
        <v>209.758187205024</v>
      </c>
      <c r="P3">
        <v>0.58484786678625278</v>
      </c>
      <c r="Q3">
        <v>9.1626545028440454</v>
      </c>
      <c r="R3">
        <v>5.3715969044345506</v>
      </c>
      <c r="S3">
        <v>2.5921839357465202</v>
      </c>
      <c r="T3" s="10" t="s">
        <v>285</v>
      </c>
      <c r="U3" t="s">
        <v>295</v>
      </c>
      <c r="W3" s="10">
        <v>0.65927135241701096</v>
      </c>
    </row>
    <row r="4" spans="1:36" x14ac:dyDescent="0.25">
      <c r="A4" s="26" t="s">
        <v>134</v>
      </c>
      <c r="B4" s="10">
        <v>7</v>
      </c>
      <c r="C4" s="10">
        <v>5.5762279783096096</v>
      </c>
      <c r="D4" s="10">
        <v>0.47130422630089402</v>
      </c>
      <c r="E4" s="10">
        <v>1.46183068545756</v>
      </c>
      <c r="F4" s="10">
        <v>2.5428051591454701</v>
      </c>
      <c r="G4" s="10">
        <v>102.660458180237</v>
      </c>
      <c r="H4" s="10">
        <v>0.22574620638596499</v>
      </c>
      <c r="I4" s="10">
        <v>48.110233919035103</v>
      </c>
      <c r="J4" s="10">
        <v>0.233691520342105</v>
      </c>
      <c r="K4" s="10">
        <v>374.43682533596501</v>
      </c>
      <c r="L4" s="10">
        <v>24.4407753641228</v>
      </c>
      <c r="M4" s="10">
        <v>3.2008272852193</v>
      </c>
      <c r="N4" s="10">
        <v>1098.38240942778</v>
      </c>
      <c r="P4">
        <v>-5.150349121751766E-3</v>
      </c>
      <c r="Q4">
        <v>6.0795733999258559</v>
      </c>
      <c r="R4">
        <v>5.4213972060581774</v>
      </c>
      <c r="S4">
        <v>3.8187890201676895</v>
      </c>
      <c r="T4" s="10" t="s">
        <v>286</v>
      </c>
      <c r="U4" t="s">
        <v>294</v>
      </c>
      <c r="W4" s="10">
        <v>0.98375964459642795</v>
      </c>
    </row>
    <row r="5" spans="1:36" x14ac:dyDescent="0.25">
      <c r="A5" s="26" t="s">
        <v>135</v>
      </c>
      <c r="B5" s="10">
        <v>2</v>
      </c>
      <c r="C5" s="27">
        <f>AVERAGEA(C6:C7,C2:C4)</f>
        <v>5.6383312884277546</v>
      </c>
      <c r="D5" s="27">
        <f>AVERAGEA(D6:D7,D2:D4)</f>
        <v>0.46177038903099943</v>
      </c>
      <c r="E5" s="10">
        <v>0.73085475114263798</v>
      </c>
      <c r="F5" s="10">
        <v>1.04530903475647</v>
      </c>
      <c r="G5" s="10">
        <v>31.699634752588999</v>
      </c>
      <c r="H5" s="10">
        <v>0.10732520575089</v>
      </c>
      <c r="I5" s="10">
        <v>27.616103200516001</v>
      </c>
      <c r="J5" s="10">
        <v>0.269101423720641</v>
      </c>
      <c r="K5" s="10">
        <v>346.94327535729502</v>
      </c>
      <c r="L5" s="10">
        <v>20.677248187081901</v>
      </c>
      <c r="M5" s="10">
        <v>3.46899004871619</v>
      </c>
      <c r="N5" s="10">
        <v>10.670617510573001</v>
      </c>
      <c r="P5">
        <v>-8.9133814609698908E-2</v>
      </c>
      <c r="Q5">
        <v>3.6757312048952175</v>
      </c>
      <c r="R5">
        <v>3.1682360816185269</v>
      </c>
      <c r="S5">
        <v>1.09579415017106</v>
      </c>
      <c r="T5" s="10" t="s">
        <v>287</v>
      </c>
      <c r="U5" t="s">
        <v>291</v>
      </c>
      <c r="W5" s="27">
        <f>AVERAGEA(W6:W7,W2:W4)</f>
        <v>0.8435630826852325</v>
      </c>
    </row>
    <row r="6" spans="1:36" x14ac:dyDescent="0.25">
      <c r="A6" s="26" t="s">
        <v>136</v>
      </c>
      <c r="B6" s="10">
        <v>3</v>
      </c>
      <c r="C6" s="10">
        <v>1.94397313655245</v>
      </c>
      <c r="D6" s="10">
        <v>0.51076293748518198</v>
      </c>
      <c r="E6" s="10">
        <v>1.2935036051992601</v>
      </c>
      <c r="F6" s="10">
        <v>2.15769949480093</v>
      </c>
      <c r="G6" s="10">
        <v>49.1014983845253</v>
      </c>
      <c r="H6" s="10">
        <v>0.16203532482133301</v>
      </c>
      <c r="I6" s="10">
        <v>28.182933330000001</v>
      </c>
      <c r="J6" s="10">
        <v>0.22720444437866699</v>
      </c>
      <c r="K6" s="10">
        <v>320.22129917000001</v>
      </c>
      <c r="L6" s="10">
        <v>19.691184673666701</v>
      </c>
      <c r="M6" s="10">
        <v>2.7924757825106701</v>
      </c>
      <c r="N6" s="10">
        <v>77.385596185250705</v>
      </c>
      <c r="P6">
        <v>-2.4558381893372876E-2</v>
      </c>
      <c r="Q6">
        <v>4.741497467836556</v>
      </c>
      <c r="R6">
        <v>3.5601446520136308</v>
      </c>
      <c r="S6">
        <v>1.20304883350612</v>
      </c>
      <c r="T6" s="10" t="s">
        <v>290</v>
      </c>
      <c r="U6" t="s">
        <v>292</v>
      </c>
      <c r="W6" s="10">
        <v>0.88719484282942096</v>
      </c>
    </row>
    <row r="7" spans="1:36" x14ac:dyDescent="0.25">
      <c r="A7" s="26" t="s">
        <v>137</v>
      </c>
      <c r="B7" s="10">
        <v>4</v>
      </c>
      <c r="C7" s="10">
        <v>0.30056305626503199</v>
      </c>
      <c r="D7" s="10">
        <v>0.24563604515600199</v>
      </c>
      <c r="E7" s="10">
        <v>0.37568858699662999</v>
      </c>
      <c r="F7" s="10">
        <v>0.297022668573725</v>
      </c>
      <c r="G7" s="10">
        <v>345.91601633781801</v>
      </c>
      <c r="H7" s="10">
        <v>0.169981446254545</v>
      </c>
      <c r="I7" s="10">
        <v>36.498597402327299</v>
      </c>
      <c r="J7" s="10">
        <v>0.12380432882181799</v>
      </c>
      <c r="K7" s="10">
        <v>356.799509900727</v>
      </c>
      <c r="L7" s="10">
        <v>17.9639809938182</v>
      </c>
      <c r="M7" s="10">
        <v>3.68981139305455</v>
      </c>
      <c r="N7" s="10">
        <v>0.24743912609090901</v>
      </c>
      <c r="P7">
        <v>0.42386130260977184</v>
      </c>
      <c r="Q7">
        <v>8.4927769765509691</v>
      </c>
      <c r="R7">
        <v>5.9479958729215401</v>
      </c>
      <c r="S7">
        <v>3.56354647329879</v>
      </c>
      <c r="T7" s="10" t="s">
        <v>288</v>
      </c>
      <c r="U7" t="s">
        <v>293</v>
      </c>
      <c r="W7" s="10">
        <v>0.74348200353306804</v>
      </c>
    </row>
    <row r="8" spans="1:36" x14ac:dyDescent="0.25">
      <c r="A8" s="26" t="s">
        <v>138</v>
      </c>
      <c r="B8" s="10">
        <v>6</v>
      </c>
      <c r="C8" s="10">
        <v>11.6026278049381</v>
      </c>
      <c r="D8" s="10">
        <v>0.27964918549964402</v>
      </c>
      <c r="E8" s="10">
        <v>1.98685576387359</v>
      </c>
      <c r="F8" s="10">
        <v>7.5830464711379104</v>
      </c>
      <c r="G8" s="10">
        <v>102.779913635006</v>
      </c>
      <c r="H8" s="10">
        <v>0.222692349286705</v>
      </c>
      <c r="I8" s="10">
        <v>24.719075144832399</v>
      </c>
      <c r="J8" s="10">
        <v>0.36828901712716799</v>
      </c>
      <c r="K8" s="10">
        <v>339.13941651317901</v>
      </c>
      <c r="L8" s="10">
        <v>21.277908168682099</v>
      </c>
      <c r="M8" s="10">
        <v>3.6212356270682098</v>
      </c>
      <c r="N8" s="10">
        <v>0.88312229430867095</v>
      </c>
      <c r="P8">
        <v>-0.20093198195869361</v>
      </c>
      <c r="Q8">
        <v>2.1282853697800972</v>
      </c>
      <c r="R8">
        <v>1.6921959633532619</v>
      </c>
      <c r="S8">
        <v>1.6921959633532619</v>
      </c>
      <c r="T8" s="10" t="s">
        <v>289</v>
      </c>
      <c r="U8" t="s">
        <v>323</v>
      </c>
      <c r="W8" s="10">
        <v>0.804372077297141</v>
      </c>
    </row>
    <row r="9" spans="1:36" x14ac:dyDescent="0.25">
      <c r="A9" s="26" t="s">
        <v>139</v>
      </c>
      <c r="B9" s="10">
        <v>4</v>
      </c>
      <c r="C9" s="10">
        <v>2.5209088504469199</v>
      </c>
      <c r="D9" s="10">
        <v>0.76018105124970203</v>
      </c>
      <c r="E9" s="10">
        <v>1.64747803742555</v>
      </c>
      <c r="F9" s="10">
        <v>3.1544187665966898</v>
      </c>
      <c r="G9" s="10">
        <v>40.077800841632097</v>
      </c>
      <c r="H9" s="10">
        <v>0.15875681412408801</v>
      </c>
      <c r="I9" s="10">
        <v>25.973041365167902</v>
      </c>
      <c r="J9" s="10">
        <v>0.519951338055474</v>
      </c>
      <c r="K9" s="10">
        <v>305.87800316189799</v>
      </c>
      <c r="L9" s="10">
        <v>19.568227357605799</v>
      </c>
      <c r="M9" s="10">
        <v>3.9173323097664201</v>
      </c>
      <c r="N9" s="10">
        <v>155.66975990976101</v>
      </c>
      <c r="P9">
        <v>0.11501410087608736</v>
      </c>
      <c r="Q9">
        <v>4.6357000331600373</v>
      </c>
      <c r="R9">
        <v>4.0732416618560121</v>
      </c>
      <c r="S9">
        <v>3.3066673376644728</v>
      </c>
      <c r="W9" s="10">
        <v>0.90345011467087699</v>
      </c>
    </row>
    <row r="10" spans="1:36" x14ac:dyDescent="0.25">
      <c r="A10" s="26" t="s">
        <v>140</v>
      </c>
      <c r="B10" s="10">
        <v>5</v>
      </c>
      <c r="C10" s="10">
        <v>2.64605204743867</v>
      </c>
      <c r="D10" s="10">
        <v>0.53074150705258505</v>
      </c>
      <c r="E10" s="10">
        <v>1.5319489745091901</v>
      </c>
      <c r="F10" s="10">
        <v>2.8852931509756501</v>
      </c>
      <c r="G10" s="10">
        <v>93.113127779419202</v>
      </c>
      <c r="H10" s="10">
        <v>0.106164641744949</v>
      </c>
      <c r="I10" s="10">
        <v>26.3572390586111</v>
      </c>
      <c r="J10" s="10">
        <v>0.43166666682701998</v>
      </c>
      <c r="K10" s="10">
        <v>364.26626624646502</v>
      </c>
      <c r="L10" s="10">
        <v>17.776945154949502</v>
      </c>
      <c r="M10" s="10">
        <v>2.1453823426477299</v>
      </c>
      <c r="N10" s="10">
        <v>0.383548753767677</v>
      </c>
      <c r="P10">
        <v>0.45770231393283262</v>
      </c>
      <c r="Q10">
        <v>8.4841367765822113</v>
      </c>
      <c r="R10">
        <v>6.3033687261518399</v>
      </c>
      <c r="S10">
        <v>5.2999593561090101</v>
      </c>
      <c r="W10" s="10">
        <v>0.85093143285262596</v>
      </c>
    </row>
    <row r="11" spans="1:36" x14ac:dyDescent="0.25">
      <c r="A11" s="26" t="s">
        <v>141</v>
      </c>
      <c r="B11" s="10">
        <v>2</v>
      </c>
      <c r="C11" s="27">
        <f>AVERAGEA(C8:C10,C13)</f>
        <v>4.5412434995484503</v>
      </c>
      <c r="D11" s="27">
        <f>AVERAGEA(D8:D10,D13)</f>
        <v>0.56580111986037251</v>
      </c>
      <c r="E11" s="10">
        <v>0.70973329299497301</v>
      </c>
      <c r="F11" s="10">
        <v>1.70359634729607</v>
      </c>
      <c r="G11" s="10">
        <v>84.369863426089907</v>
      </c>
      <c r="H11" s="10">
        <v>8.3641926998637595E-2</v>
      </c>
      <c r="I11" s="10">
        <v>18.544822891348801</v>
      </c>
      <c r="J11" s="10">
        <v>1.1825022703296999</v>
      </c>
      <c r="K11" s="10">
        <v>262.59317827833797</v>
      </c>
      <c r="L11" s="10">
        <v>13.1054852612807</v>
      </c>
      <c r="M11" s="10">
        <v>1.7943095655613099</v>
      </c>
      <c r="N11" s="10">
        <v>0.119901149873297</v>
      </c>
      <c r="P11">
        <v>0.54157727934600053</v>
      </c>
      <c r="Q11">
        <v>9.8920659251130107</v>
      </c>
      <c r="R11">
        <v>5.75645316808194</v>
      </c>
      <c r="S11">
        <v>3.6972622871648899</v>
      </c>
      <c r="W11" s="27">
        <f>AVERAGEA(W8:W10,W13)</f>
        <v>0.84998527076148878</v>
      </c>
      <c r="Y11" s="1"/>
      <c r="Z11" s="1" t="s">
        <v>360</v>
      </c>
      <c r="AA11" s="1" t="s">
        <v>361</v>
      </c>
      <c r="AB11" s="1" t="s">
        <v>362</v>
      </c>
      <c r="AC11" s="1" t="s">
        <v>363</v>
      </c>
      <c r="AD11" s="1" t="s">
        <v>364</v>
      </c>
      <c r="AE11" s="1" t="s">
        <v>365</v>
      </c>
      <c r="AF11" s="1" t="s">
        <v>366</v>
      </c>
      <c r="AG11" s="1" t="s">
        <v>367</v>
      </c>
      <c r="AH11" s="1" t="s">
        <v>368</v>
      </c>
      <c r="AI11" s="1" t="s">
        <v>369</v>
      </c>
    </row>
    <row r="12" spans="1:36" x14ac:dyDescent="0.25">
      <c r="A12" s="26" t="s">
        <v>142</v>
      </c>
      <c r="B12" s="10">
        <v>2</v>
      </c>
      <c r="C12" s="28">
        <f>AVERAGEA(C6:C10,C13)</f>
        <v>3.4015850318352139</v>
      </c>
      <c r="D12" s="28">
        <f>AVERAGEA(D6:D10,D13)</f>
        <v>0.50326724368044573</v>
      </c>
      <c r="E12" s="10">
        <v>0.20967769863941799</v>
      </c>
      <c r="F12" s="10">
        <v>0.31511312392527402</v>
      </c>
      <c r="G12" s="10">
        <v>24.5267968465756</v>
      </c>
      <c r="H12" s="10">
        <v>8.7185409113690701E-2</v>
      </c>
      <c r="I12" s="10">
        <v>11.9790941132161</v>
      </c>
      <c r="J12" s="10">
        <v>0.34143507452987398</v>
      </c>
      <c r="K12" s="10">
        <v>271.97079982407001</v>
      </c>
      <c r="L12" s="10">
        <v>21.2446965560362</v>
      </c>
      <c r="M12" s="10">
        <v>2.9157413539013302</v>
      </c>
      <c r="N12" s="10">
        <v>1.51552255952407</v>
      </c>
      <c r="P12">
        <v>1.0599074934198027</v>
      </c>
      <c r="Q12">
        <v>16.710722925505713</v>
      </c>
      <c r="R12">
        <v>11.76293659833958</v>
      </c>
      <c r="S12">
        <v>8.3174687558875195</v>
      </c>
      <c r="W12" s="28">
        <f>AVERAGEA(W6:W10,W13)</f>
        <v>0.83843632156807402</v>
      </c>
      <c r="Y12" s="10" t="s">
        <v>372</v>
      </c>
      <c r="Z12" s="33">
        <v>4.148215579444444</v>
      </c>
      <c r="AA12" s="34">
        <v>5.0153690585406965</v>
      </c>
      <c r="AB12" s="36">
        <v>2.7179439300000001</v>
      </c>
      <c r="AC12" s="37">
        <v>2.4196351788780501</v>
      </c>
      <c r="AD12" s="36">
        <v>3.2209216514444443</v>
      </c>
      <c r="AE12" s="37">
        <v>3.5073816362118975</v>
      </c>
      <c r="AF12" s="36">
        <v>2.2534071904444448</v>
      </c>
      <c r="AG12" s="37">
        <v>1.3584090608895927</v>
      </c>
      <c r="AH12" s="36">
        <v>2.2534071904444448</v>
      </c>
      <c r="AI12" s="37">
        <v>1.3584090608895927</v>
      </c>
      <c r="AJ12" s="35" t="s">
        <v>320</v>
      </c>
    </row>
    <row r="13" spans="1:36" x14ac:dyDescent="0.25">
      <c r="A13" s="26" t="s">
        <v>143</v>
      </c>
      <c r="B13" s="10">
        <v>5</v>
      </c>
      <c r="C13" s="10">
        <v>1.39538529537011</v>
      </c>
      <c r="D13" s="10">
        <v>0.69263273563955896</v>
      </c>
      <c r="E13" s="10">
        <v>1.1482921886478601</v>
      </c>
      <c r="F13" s="10">
        <v>2.9862258793171601</v>
      </c>
      <c r="G13" s="10">
        <v>67.814896201888999</v>
      </c>
      <c r="H13" s="10">
        <v>0.14680698683471499</v>
      </c>
      <c r="I13" s="10">
        <v>20.591697360400602</v>
      </c>
      <c r="J13" s="10">
        <v>0.39389349322790101</v>
      </c>
      <c r="K13" s="10">
        <v>348.980721275414</v>
      </c>
      <c r="L13" s="10">
        <v>19.707626340814901</v>
      </c>
      <c r="M13" s="10">
        <v>3.6398530034341601</v>
      </c>
      <c r="N13" s="10">
        <v>0.57016936569659304</v>
      </c>
      <c r="P13">
        <v>0.22803426289492204</v>
      </c>
      <c r="Q13">
        <v>4.4516767782693902</v>
      </c>
      <c r="R13">
        <v>4.4516767782693902</v>
      </c>
      <c r="S13">
        <v>1.97353715413696</v>
      </c>
      <c r="W13" s="10">
        <v>0.84118745822531105</v>
      </c>
      <c r="Y13" s="10" t="s">
        <v>373</v>
      </c>
      <c r="Z13" s="33">
        <v>0.60316639555555562</v>
      </c>
      <c r="AA13" s="34">
        <v>0.24318967057210583</v>
      </c>
      <c r="AB13" s="36">
        <v>0.53430773855555558</v>
      </c>
      <c r="AC13" s="37">
        <v>0.18144504397653341</v>
      </c>
      <c r="AD13" s="36">
        <v>0.64455238011111116</v>
      </c>
      <c r="AE13" s="37">
        <v>0.18002845955650776</v>
      </c>
      <c r="AF13" s="36">
        <v>0.60397257466666665</v>
      </c>
      <c r="AG13" s="37">
        <v>0.2060088677819859</v>
      </c>
      <c r="AH13" s="36">
        <v>0.60016639177777775</v>
      </c>
      <c r="AI13" s="37">
        <v>0.22971585485795815</v>
      </c>
      <c r="AJ13" s="35" t="s">
        <v>320</v>
      </c>
    </row>
    <row r="14" spans="1:36" x14ac:dyDescent="0.25">
      <c r="A14" s="26" t="s">
        <v>144</v>
      </c>
      <c r="B14" s="10">
        <v>5</v>
      </c>
      <c r="C14" s="10">
        <v>3.9568176582808299</v>
      </c>
      <c r="D14" s="10">
        <v>0.33461539156401399</v>
      </c>
      <c r="E14" s="10">
        <v>1.6839923952762299</v>
      </c>
      <c r="F14" s="10">
        <v>4.7656264228913896</v>
      </c>
      <c r="G14" s="10">
        <v>19.323962324436401</v>
      </c>
      <c r="H14" s="10">
        <v>0.278132974789017</v>
      </c>
      <c r="I14" s="10">
        <v>35.428709053063599</v>
      </c>
      <c r="J14" s="10">
        <v>0.47290944150867098</v>
      </c>
      <c r="K14" s="10">
        <v>377.81216296820799</v>
      </c>
      <c r="L14" s="10">
        <v>17.337074382427701</v>
      </c>
      <c r="M14" s="10">
        <v>3.2414179566791899</v>
      </c>
      <c r="N14" s="10">
        <v>310.96396455027701</v>
      </c>
      <c r="P14">
        <v>0.34868755742101765</v>
      </c>
      <c r="Q14">
        <v>5.7644833211065487</v>
      </c>
      <c r="R14">
        <v>3.3461302389388399</v>
      </c>
      <c r="S14">
        <v>3.3461302389388399</v>
      </c>
      <c r="W14" s="10">
        <v>0.95438497949345302</v>
      </c>
      <c r="Y14" s="10" t="s">
        <v>374</v>
      </c>
      <c r="Z14" s="33">
        <v>1.5594273581111109</v>
      </c>
      <c r="AA14" s="34">
        <v>0.63300219529121537</v>
      </c>
      <c r="AB14" s="36">
        <v>1.3483391728888892</v>
      </c>
      <c r="AC14" s="37">
        <v>0.67686822648366962</v>
      </c>
      <c r="AD14" s="36">
        <v>1.7649214776666666</v>
      </c>
      <c r="AE14" s="37">
        <v>0.427601506723775</v>
      </c>
      <c r="AF14" s="36">
        <v>1.1504831298888889</v>
      </c>
      <c r="AG14" s="37">
        <v>0.54353058094402429</v>
      </c>
      <c r="AH14" s="36">
        <v>1.9044207764444445</v>
      </c>
      <c r="AI14" s="37">
        <v>0.70622660518259406</v>
      </c>
      <c r="AJ14" s="35" t="s">
        <v>370</v>
      </c>
    </row>
    <row r="15" spans="1:36" x14ac:dyDescent="0.25">
      <c r="A15" s="26" t="s">
        <v>145</v>
      </c>
      <c r="B15" s="10">
        <v>4</v>
      </c>
      <c r="C15" s="10">
        <v>6.0025982222722396</v>
      </c>
      <c r="D15" s="10">
        <v>0.65015773817835898</v>
      </c>
      <c r="E15" s="10">
        <v>1.88550391336828</v>
      </c>
      <c r="F15" s="10">
        <v>4.7367221387239002</v>
      </c>
      <c r="G15" s="10">
        <v>50.353244501119597</v>
      </c>
      <c r="H15" s="10">
        <v>0.268848705093301</v>
      </c>
      <c r="I15" s="10">
        <v>46.405183413373202</v>
      </c>
      <c r="J15" s="10">
        <v>0.25115629969378001</v>
      </c>
      <c r="K15" s="10">
        <v>445.76566084593298</v>
      </c>
      <c r="L15" s="10">
        <v>21.102304553181799</v>
      </c>
      <c r="M15" s="10">
        <v>4.5215735315574204</v>
      </c>
      <c r="N15" s="10">
        <v>78.583906184411504</v>
      </c>
      <c r="P15">
        <v>1.1211205206005963</v>
      </c>
      <c r="Q15">
        <v>13.88182768806111</v>
      </c>
      <c r="R15">
        <v>9.52217200691965</v>
      </c>
      <c r="S15">
        <v>3.6477811599216601</v>
      </c>
      <c r="W15" s="10">
        <v>0.93613506736067997</v>
      </c>
      <c r="Y15" s="10" t="s">
        <v>375</v>
      </c>
      <c r="Z15" s="33">
        <v>3.7881914431111108</v>
      </c>
      <c r="AA15" s="34">
        <v>2.1806024015962953</v>
      </c>
      <c r="AB15" s="36">
        <v>2.0285995040000002</v>
      </c>
      <c r="AC15" s="37">
        <v>1.6118155240707441</v>
      </c>
      <c r="AD15" s="36">
        <v>4.1613274249999996</v>
      </c>
      <c r="AE15" s="37">
        <v>2.005701309617884</v>
      </c>
      <c r="AF15" s="36">
        <v>1.7704655062222223</v>
      </c>
      <c r="AG15" s="37">
        <v>0.95888506915729355</v>
      </c>
      <c r="AH15" s="36">
        <v>5.7999176721111105</v>
      </c>
      <c r="AI15" s="37">
        <v>5.6085063692146369</v>
      </c>
      <c r="AJ15" s="35" t="s">
        <v>371</v>
      </c>
    </row>
    <row r="16" spans="1:36" x14ac:dyDescent="0.25">
      <c r="A16" s="26" t="s">
        <v>146</v>
      </c>
      <c r="B16" s="10">
        <v>6</v>
      </c>
      <c r="C16" s="10">
        <v>4.4448925273534199</v>
      </c>
      <c r="D16" s="10">
        <v>0.32247518043297502</v>
      </c>
      <c r="E16" s="10">
        <v>1.0673667358614001</v>
      </c>
      <c r="F16" s="10">
        <v>1.9090564813509801</v>
      </c>
      <c r="G16" s="10">
        <v>78.370015266399605</v>
      </c>
      <c r="H16" s="10">
        <v>0.27706053518864099</v>
      </c>
      <c r="I16" s="10">
        <v>40.218796487099397</v>
      </c>
      <c r="J16" s="10">
        <v>0.36538201517241398</v>
      </c>
      <c r="K16" s="10">
        <v>398.16953635496998</v>
      </c>
      <c r="L16" s="10">
        <v>18.181719907788999</v>
      </c>
      <c r="M16" s="10">
        <v>3.02746391564503</v>
      </c>
      <c r="N16" s="10">
        <v>77.779059671251503</v>
      </c>
      <c r="P16">
        <v>0.79360253179585982</v>
      </c>
      <c r="Q16">
        <v>12.274655030414049</v>
      </c>
      <c r="R16">
        <v>10.445476502739345</v>
      </c>
      <c r="S16">
        <v>6.7230969021394493</v>
      </c>
      <c r="W16" s="10">
        <v>0.97689391657883395</v>
      </c>
      <c r="Y16" s="10" t="s">
        <v>297</v>
      </c>
      <c r="Z16" s="33">
        <v>111.07292554855557</v>
      </c>
      <c r="AA16" s="34">
        <v>77.129567826504328</v>
      </c>
      <c r="AB16" s="36">
        <v>125.89223002111112</v>
      </c>
      <c r="AC16" s="37">
        <v>110.37962306526258</v>
      </c>
      <c r="AD16" s="36">
        <v>220.0888420988889</v>
      </c>
      <c r="AE16" s="37">
        <v>331.29631364685571</v>
      </c>
      <c r="AF16" s="36">
        <v>108.26137368444445</v>
      </c>
      <c r="AG16" s="37">
        <v>67.800257148350752</v>
      </c>
      <c r="AH16" s="36">
        <v>108.4168653311111</v>
      </c>
      <c r="AI16" s="37">
        <v>80.93261859973444</v>
      </c>
      <c r="AJ16" s="35" t="s">
        <v>320</v>
      </c>
    </row>
    <row r="17" spans="1:36" x14ac:dyDescent="0.25">
      <c r="A17" s="26" t="s">
        <v>43</v>
      </c>
      <c r="B17" s="10">
        <v>4</v>
      </c>
      <c r="C17" s="10">
        <v>0.19148535493414801</v>
      </c>
      <c r="D17" s="10">
        <v>0.96270152152289801</v>
      </c>
      <c r="E17" s="10">
        <v>1.6634928301949901</v>
      </c>
      <c r="F17" s="10">
        <v>2.1169622058701201</v>
      </c>
      <c r="G17" s="10">
        <v>0.42066443726666702</v>
      </c>
      <c r="H17" s="10">
        <v>0.3182846446</v>
      </c>
      <c r="I17" s="10">
        <v>35.806888887333301</v>
      </c>
      <c r="J17" s="10">
        <v>0.25088888906666701</v>
      </c>
      <c r="K17" s="10">
        <v>334.722865206667</v>
      </c>
      <c r="L17" s="10">
        <v>15.303924944</v>
      </c>
      <c r="M17" s="10">
        <v>1.8998965696666701</v>
      </c>
      <c r="N17" s="10">
        <v>454.51828640786698</v>
      </c>
      <c r="P17">
        <v>0.41630372009663169</v>
      </c>
      <c r="Q17">
        <v>8.8612945457659897</v>
      </c>
      <c r="R17">
        <v>4.6141803817377802</v>
      </c>
      <c r="S17">
        <v>4.6141803817377802</v>
      </c>
      <c r="W17" s="10">
        <v>0.40901583040175399</v>
      </c>
      <c r="Y17" s="10" t="s">
        <v>298</v>
      </c>
      <c r="Z17" s="33">
        <v>0.21232677788888887</v>
      </c>
      <c r="AA17" s="34">
        <v>8.1501920865065719E-2</v>
      </c>
      <c r="AB17" s="36">
        <v>0.18798683533333332</v>
      </c>
      <c r="AC17" s="37">
        <v>8.3551645474864114E-2</v>
      </c>
      <c r="AD17" s="36">
        <v>0.16410204644444443</v>
      </c>
      <c r="AE17" s="37">
        <v>4.4131555484418869E-2</v>
      </c>
      <c r="AF17" s="36">
        <v>0.15674460555555553</v>
      </c>
      <c r="AG17" s="37">
        <v>6.2132655828910921E-2</v>
      </c>
      <c r="AH17" s="36">
        <v>0.21441179855555556</v>
      </c>
      <c r="AI17" s="37">
        <v>7.5506523502944553E-2</v>
      </c>
      <c r="AJ17" s="35" t="s">
        <v>320</v>
      </c>
    </row>
    <row r="18" spans="1:36" x14ac:dyDescent="0.25">
      <c r="A18" s="26" t="s">
        <v>48</v>
      </c>
      <c r="B18" s="10">
        <v>4</v>
      </c>
      <c r="C18" s="10">
        <v>2.7357041146148502</v>
      </c>
      <c r="D18" s="10">
        <v>0.77183044705384996</v>
      </c>
      <c r="E18" s="10">
        <v>1.5680521401626599</v>
      </c>
      <c r="F18" s="10">
        <v>6.3303571755225398</v>
      </c>
      <c r="G18" s="10">
        <v>177.15255282682801</v>
      </c>
      <c r="H18" s="10">
        <v>0.28125462696551701</v>
      </c>
      <c r="I18" s="10">
        <v>34.325134099655202</v>
      </c>
      <c r="J18" s="10">
        <v>0.27191570889655198</v>
      </c>
      <c r="K18" s="10">
        <v>391.06600828620702</v>
      </c>
      <c r="L18" s="10">
        <v>13.051687942758599</v>
      </c>
      <c r="M18" s="10">
        <v>1.4414529585862099</v>
      </c>
      <c r="N18" s="10">
        <v>148.227761810207</v>
      </c>
      <c r="P18">
        <v>0.56107384486728962</v>
      </c>
      <c r="Q18">
        <v>8.2290612493837543</v>
      </c>
      <c r="R18">
        <v>5.9622800545244896</v>
      </c>
      <c r="S18">
        <v>3.58387369853802</v>
      </c>
      <c r="W18" s="10">
        <v>0.92521714755388096</v>
      </c>
      <c r="Y18" s="10" t="s">
        <v>299</v>
      </c>
      <c r="Z18" s="33">
        <v>32.572099907999998</v>
      </c>
      <c r="AA18" s="34">
        <v>17.030939940360661</v>
      </c>
      <c r="AB18" s="36">
        <v>32.921045458888884</v>
      </c>
      <c r="AC18" s="37">
        <v>7.5673480461213449</v>
      </c>
      <c r="AD18" s="36">
        <v>28.945478099999995</v>
      </c>
      <c r="AE18" s="37">
        <v>9.9712219682783534</v>
      </c>
      <c r="AF18" s="36">
        <v>26.215844315555554</v>
      </c>
      <c r="AG18" s="37">
        <v>13.601081817696087</v>
      </c>
      <c r="AH18" s="36">
        <v>35.757847407777781</v>
      </c>
      <c r="AI18" s="37">
        <v>8.6328180897526003</v>
      </c>
      <c r="AJ18" s="35" t="s">
        <v>320</v>
      </c>
    </row>
    <row r="19" spans="1:36" x14ac:dyDescent="0.25">
      <c r="A19" s="26" t="s">
        <v>50</v>
      </c>
      <c r="B19" s="10">
        <v>5</v>
      </c>
      <c r="C19" s="10">
        <v>1.1457222389175199</v>
      </c>
      <c r="D19" s="10">
        <v>0.44272159476886203</v>
      </c>
      <c r="E19" s="10">
        <v>0.91761583948055803</v>
      </c>
      <c r="F19" s="10">
        <v>2.5428051591454701</v>
      </c>
      <c r="G19" s="10">
        <v>44.381315542279403</v>
      </c>
      <c r="H19" s="10">
        <v>0.112101818926471</v>
      </c>
      <c r="I19" s="10">
        <v>8.8259803919558806</v>
      </c>
      <c r="J19" s="10">
        <v>0.31392156894117601</v>
      </c>
      <c r="K19" s="10">
        <v>295.94104267794103</v>
      </c>
      <c r="L19" s="10">
        <v>19.409227625882401</v>
      </c>
      <c r="M19" s="10">
        <v>1.6598151836764701</v>
      </c>
      <c r="N19" s="10">
        <v>7.8794843095882303</v>
      </c>
      <c r="P19">
        <v>0.68710512523757816</v>
      </c>
      <c r="Q19">
        <v>10.226725121255591</v>
      </c>
      <c r="R19">
        <v>9.1066282109417909</v>
      </c>
      <c r="S19">
        <v>3.06606449326009</v>
      </c>
      <c r="W19" s="10">
        <v>0.97263357294116104</v>
      </c>
      <c r="Y19" s="10" t="s">
        <v>300</v>
      </c>
      <c r="Z19" s="33">
        <v>0.28753205588888897</v>
      </c>
      <c r="AA19" s="34">
        <v>0.15492337697055256</v>
      </c>
      <c r="AB19" s="36">
        <v>0.22598697033333334</v>
      </c>
      <c r="AC19" s="37">
        <v>4.9602279180683322E-2</v>
      </c>
      <c r="AD19" s="36">
        <v>0.36965376466666666</v>
      </c>
      <c r="AE19" s="37">
        <v>7.749224027732142E-2</v>
      </c>
      <c r="AF19" s="36">
        <v>0.36502290511111113</v>
      </c>
      <c r="AG19" s="37">
        <v>0.31503478383183631</v>
      </c>
      <c r="AH19" s="36">
        <v>0.34249371822222219</v>
      </c>
      <c r="AI19" s="37">
        <v>0.15657909671880241</v>
      </c>
      <c r="AJ19" s="35" t="s">
        <v>320</v>
      </c>
    </row>
    <row r="20" spans="1:36" x14ac:dyDescent="0.25">
      <c r="A20" s="26" t="s">
        <v>54</v>
      </c>
      <c r="B20" s="10">
        <v>6</v>
      </c>
      <c r="C20" s="10">
        <v>2.1300464729968702</v>
      </c>
      <c r="D20" s="10">
        <v>0.79621103798664705</v>
      </c>
      <c r="E20" s="10">
        <v>1.8120799871758499</v>
      </c>
      <c r="F20" s="10">
        <v>1.04530903475647</v>
      </c>
      <c r="G20" s="10">
        <v>97.353999174473699</v>
      </c>
      <c r="H20" s="10">
        <v>0.32164592334210501</v>
      </c>
      <c r="I20" s="10">
        <v>30.0052631573684</v>
      </c>
      <c r="J20" s="10">
        <v>0.22342105271052601</v>
      </c>
      <c r="K20" s="10">
        <v>373.85260565526301</v>
      </c>
      <c r="L20" s="10">
        <v>14.891503837105301</v>
      </c>
      <c r="M20" s="10">
        <v>1.6456414911052599</v>
      </c>
      <c r="N20" s="10">
        <v>512.60378555307898</v>
      </c>
      <c r="P20">
        <v>-0.17541903778268875</v>
      </c>
      <c r="Q20">
        <v>2.7399011374412447</v>
      </c>
      <c r="R20">
        <v>2.7399011374412447</v>
      </c>
      <c r="S20">
        <v>1.2133593861365799</v>
      </c>
      <c r="W20" s="10">
        <v>0.723705343090568</v>
      </c>
      <c r="Y20" s="10" t="s">
        <v>301</v>
      </c>
      <c r="Z20" s="33">
        <v>357.74004331111109</v>
      </c>
      <c r="AA20" s="34">
        <v>43.489148693605031</v>
      </c>
      <c r="AB20" s="36">
        <v>352.32933347777777</v>
      </c>
      <c r="AC20" s="37">
        <v>37.038868554569447</v>
      </c>
      <c r="AD20" s="36">
        <v>343.45201265555556</v>
      </c>
      <c r="AE20" s="37">
        <v>45.488071577744236</v>
      </c>
      <c r="AF20" s="36">
        <v>337.9667895</v>
      </c>
      <c r="AG20" s="37">
        <v>55.153095843192681</v>
      </c>
      <c r="AH20" s="36">
        <v>365.27441336666664</v>
      </c>
      <c r="AI20" s="37">
        <v>49.452540768299677</v>
      </c>
      <c r="AJ20" s="35" t="s">
        <v>320</v>
      </c>
    </row>
    <row r="21" spans="1:36" x14ac:dyDescent="0.25">
      <c r="A21" s="26" t="s">
        <v>58</v>
      </c>
      <c r="B21" s="10">
        <v>6</v>
      </c>
      <c r="C21" s="10">
        <v>5.1556315559848702</v>
      </c>
      <c r="D21" s="10">
        <v>0.51585441834463097</v>
      </c>
      <c r="E21" s="10">
        <v>2.0742863039139601</v>
      </c>
      <c r="F21" s="10">
        <v>2.15769949480093</v>
      </c>
      <c r="G21" s="10">
        <v>23.054764781904801</v>
      </c>
      <c r="H21" s="10">
        <v>0.32835495699047601</v>
      </c>
      <c r="I21" s="10">
        <v>33.533015873666699</v>
      </c>
      <c r="J21" s="10">
        <v>0.29619047615238098</v>
      </c>
      <c r="K21" s="10">
        <v>297.04372213333301</v>
      </c>
      <c r="L21" s="10">
        <v>22.5369050707619</v>
      </c>
      <c r="M21" s="10">
        <v>1.1681002545714301</v>
      </c>
      <c r="N21" s="10">
        <v>5.6478334246190496</v>
      </c>
      <c r="P21">
        <v>8.9983937398798258E-2</v>
      </c>
      <c r="Q21">
        <v>3.4588995306984178</v>
      </c>
      <c r="R21">
        <v>1.7391980198824999</v>
      </c>
      <c r="S21">
        <v>1.7391980198824999</v>
      </c>
      <c r="W21" s="10">
        <v>0.60016263897701505</v>
      </c>
      <c r="Y21" s="10" t="s">
        <v>302</v>
      </c>
      <c r="Z21" s="33">
        <v>20.979070608888893</v>
      </c>
      <c r="AA21" s="34">
        <v>5.4871086035443151</v>
      </c>
      <c r="AB21" s="36">
        <v>21.187992437777773</v>
      </c>
      <c r="AC21" s="37">
        <v>4.3546582959691609</v>
      </c>
      <c r="AD21" s="36">
        <v>22.186410325555553</v>
      </c>
      <c r="AE21" s="37">
        <v>3.3648984176525301</v>
      </c>
      <c r="AF21" s="36">
        <v>21.429815765555556</v>
      </c>
      <c r="AG21" s="37">
        <v>4.8755003025284367</v>
      </c>
      <c r="AH21" s="36">
        <v>24.595743088888888</v>
      </c>
      <c r="AI21" s="37">
        <v>8.8940560249338478</v>
      </c>
      <c r="AJ21" s="35" t="s">
        <v>320</v>
      </c>
    </row>
    <row r="22" spans="1:36" x14ac:dyDescent="0.25">
      <c r="A22" s="26" t="s">
        <v>61</v>
      </c>
      <c r="B22" s="10">
        <v>3</v>
      </c>
      <c r="C22" s="10">
        <v>0.10010462318145701</v>
      </c>
      <c r="D22" s="10">
        <v>0.33112083098956901</v>
      </c>
      <c r="E22" s="10">
        <v>0.48057839170246902</v>
      </c>
      <c r="F22" s="10">
        <v>0.297022668573725</v>
      </c>
      <c r="G22" s="10">
        <v>31.114413812931002</v>
      </c>
      <c r="H22" s="10">
        <v>9.2805988672413797E-2</v>
      </c>
      <c r="I22" s="10">
        <v>22.879885056206898</v>
      </c>
      <c r="J22" s="10">
        <v>0.256724137775862</v>
      </c>
      <c r="K22" s="10">
        <v>307.81277687586203</v>
      </c>
      <c r="L22" s="10">
        <v>17.5831129860345</v>
      </c>
      <c r="M22" s="10">
        <v>0.81843695953448303</v>
      </c>
      <c r="N22" s="10">
        <v>2.6993580716896601</v>
      </c>
      <c r="P22">
        <v>0.41269626530126191</v>
      </c>
      <c r="Q22">
        <v>7.4693621232074197</v>
      </c>
      <c r="R22">
        <v>6.0354860147142801</v>
      </c>
      <c r="S22">
        <v>3.7704493610858498</v>
      </c>
      <c r="W22" s="10">
        <v>0.61035900744992999</v>
      </c>
      <c r="Y22" s="10" t="s">
        <v>303</v>
      </c>
      <c r="Z22" s="33">
        <v>2.1368198652222223</v>
      </c>
      <c r="AA22" s="34">
        <v>0.93991059913629715</v>
      </c>
      <c r="AB22" s="36">
        <v>2.0080410067777779</v>
      </c>
      <c r="AC22" s="37">
        <v>1.0638000758502055</v>
      </c>
      <c r="AD22" s="36">
        <v>2.3554623028888892</v>
      </c>
      <c r="AE22" s="37">
        <v>0.98991221741564273</v>
      </c>
      <c r="AF22" s="36">
        <v>2.483739806</v>
      </c>
      <c r="AG22" s="37">
        <v>0.86520026846661069</v>
      </c>
      <c r="AH22" s="36">
        <v>2.2753483295555554</v>
      </c>
      <c r="AI22" s="37">
        <v>1.1718069407547571</v>
      </c>
      <c r="AJ22" s="35" t="s">
        <v>320</v>
      </c>
    </row>
    <row r="23" spans="1:36" x14ac:dyDescent="0.25">
      <c r="A23" s="26" t="s">
        <v>62</v>
      </c>
      <c r="B23" s="10">
        <v>5</v>
      </c>
      <c r="C23" s="10">
        <v>0.69296131558651497</v>
      </c>
      <c r="D23" s="10">
        <v>0.79626756224062201</v>
      </c>
      <c r="E23" s="10">
        <v>1.2730984149401601</v>
      </c>
      <c r="F23" s="10">
        <v>7.5830464711379104</v>
      </c>
      <c r="G23" s="10">
        <v>104.391913970291</v>
      </c>
      <c r="H23" s="10">
        <v>0.11210529039011</v>
      </c>
      <c r="I23" s="10">
        <v>34.397252747527503</v>
      </c>
      <c r="J23" s="10">
        <v>0.39575091590109901</v>
      </c>
      <c r="K23" s="10">
        <v>288.56943983241803</v>
      </c>
      <c r="L23" s="10">
        <v>23.234013586758198</v>
      </c>
      <c r="M23" s="10">
        <v>1.2293812366043999</v>
      </c>
      <c r="N23" s="10">
        <v>1.9002088881208801</v>
      </c>
      <c r="P23">
        <v>0.7170037384036263</v>
      </c>
      <c r="Q23">
        <v>10.736943957386647</v>
      </c>
      <c r="R23">
        <v>8.6202698168029102</v>
      </c>
      <c r="S23">
        <v>6.3146023182201905</v>
      </c>
      <c r="W23" s="10">
        <v>0.79347761059627997</v>
      </c>
      <c r="Y23" s="10" t="s">
        <v>304</v>
      </c>
      <c r="Z23" s="33">
        <v>388.92330980222221</v>
      </c>
      <c r="AA23" s="34">
        <v>541.22928509893939</v>
      </c>
      <c r="AB23" s="36">
        <v>108.35840361266668</v>
      </c>
      <c r="AC23" s="37">
        <v>183.97975937738209</v>
      </c>
      <c r="AD23" s="35">
        <v>27.6371</v>
      </c>
      <c r="AE23">
        <v>51.251600000000003</v>
      </c>
      <c r="AF23" s="36">
        <v>47.243894342111119</v>
      </c>
      <c r="AG23" s="37">
        <v>71.970993806295155</v>
      </c>
      <c r="AH23" s="36">
        <v>137.27456382211113</v>
      </c>
      <c r="AI23" s="37">
        <v>168.36584066518992</v>
      </c>
      <c r="AJ23" s="35" t="s">
        <v>322</v>
      </c>
    </row>
    <row r="24" spans="1:36" x14ac:dyDescent="0.25">
      <c r="A24" s="26" t="s">
        <v>65</v>
      </c>
      <c r="B24" s="10">
        <v>5</v>
      </c>
      <c r="C24" s="10">
        <v>3.3237657448979401</v>
      </c>
      <c r="D24" s="10">
        <v>0.49382203645818201</v>
      </c>
      <c r="E24" s="10">
        <v>1.7091448196589301</v>
      </c>
      <c r="F24" s="10">
        <v>3.1544187665966898</v>
      </c>
      <c r="G24" s="10">
        <v>181.9497428702</v>
      </c>
      <c r="H24" s="10">
        <v>0.221527650861538</v>
      </c>
      <c r="I24" s="10">
        <v>37.5820512790769</v>
      </c>
      <c r="J24" s="10">
        <v>0.32882051276923102</v>
      </c>
      <c r="K24" s="10">
        <v>307.65446567999999</v>
      </c>
      <c r="L24" s="10">
        <v>17.863522986769201</v>
      </c>
      <c r="M24" s="10">
        <v>1.5097658627999999</v>
      </c>
      <c r="N24" s="10">
        <v>21.851577108969199</v>
      </c>
      <c r="P24">
        <v>-0.28914754324683845</v>
      </c>
      <c r="Q24">
        <v>0.92186048816815302</v>
      </c>
      <c r="R24">
        <v>0.92186048816815302</v>
      </c>
      <c r="S24">
        <v>0.59491588683159702</v>
      </c>
      <c r="W24" s="10">
        <v>0.81836084084862404</v>
      </c>
    </row>
    <row r="25" spans="1:36" x14ac:dyDescent="0.25">
      <c r="A25" s="26" t="s">
        <v>67</v>
      </c>
      <c r="B25" s="10">
        <v>4</v>
      </c>
      <c r="C25" s="10">
        <v>5.3218059381555296</v>
      </c>
      <c r="D25" s="10">
        <v>0.64490544076591505</v>
      </c>
      <c r="E25" s="10">
        <v>2.6803248215308999</v>
      </c>
      <c r="F25" s="10">
        <v>2.8852931509756501</v>
      </c>
      <c r="G25" s="10">
        <v>1097.4979674973099</v>
      </c>
      <c r="H25" s="10">
        <v>0.13568610131481501</v>
      </c>
      <c r="I25" s="10">
        <v>17.847530867222201</v>
      </c>
      <c r="J25" s="10">
        <v>0.38962962931481498</v>
      </c>
      <c r="K25" s="10">
        <v>411.246629651852</v>
      </c>
      <c r="L25" s="10">
        <v>22.348156833333299</v>
      </c>
      <c r="M25" s="10">
        <v>3.0335844545000001</v>
      </c>
      <c r="N25" s="10">
        <v>0.97056074603703701</v>
      </c>
      <c r="P25">
        <v>-0.15985358762292776</v>
      </c>
      <c r="Q25">
        <v>2.0144461586039677</v>
      </c>
      <c r="R25">
        <v>2.0144461586039677</v>
      </c>
      <c r="S25">
        <v>0.84896555015124897</v>
      </c>
      <c r="W25" s="10">
        <v>0.94547264581681301</v>
      </c>
    </row>
    <row r="26" spans="1:36" x14ac:dyDescent="0.25">
      <c r="A26" s="26" t="s">
        <v>68</v>
      </c>
      <c r="B26" s="10">
        <v>4</v>
      </c>
      <c r="C26" s="10">
        <v>1.1636087270190401</v>
      </c>
      <c r="D26" s="10">
        <v>0.130390151316255</v>
      </c>
      <c r="E26" s="10">
        <v>0.77125664269656002</v>
      </c>
      <c r="F26" s="10">
        <v>1.70359634729607</v>
      </c>
      <c r="G26" s="10">
        <v>232.59460924276701</v>
      </c>
      <c r="H26" s="10">
        <v>0.17967261735616399</v>
      </c>
      <c r="I26" s="10">
        <v>11.2114155248219</v>
      </c>
      <c r="J26" s="10">
        <v>0.24817351569863</v>
      </c>
      <c r="K26" s="10">
        <v>421.20523972876703</v>
      </c>
      <c r="L26" s="10">
        <v>20.374990492328799</v>
      </c>
      <c r="M26" s="10">
        <v>2.33276625409589</v>
      </c>
      <c r="N26" s="10">
        <v>200.093105417521</v>
      </c>
      <c r="P26">
        <v>0.20006577933592931</v>
      </c>
      <c r="Q26">
        <v>5.2074277487750145</v>
      </c>
      <c r="R26">
        <v>4.4964520766927301</v>
      </c>
      <c r="S26">
        <v>3.2817076068153703</v>
      </c>
      <c r="W26" s="10">
        <v>0.96829003403973801</v>
      </c>
    </row>
    <row r="27" spans="1:36" x14ac:dyDescent="0.25">
      <c r="A27" s="26" t="s">
        <v>147</v>
      </c>
      <c r="B27" s="10">
        <v>5</v>
      </c>
      <c r="C27" s="10">
        <v>3.8986757661523099</v>
      </c>
      <c r="D27" s="10">
        <v>0.817813469636822</v>
      </c>
      <c r="E27" s="10">
        <v>1.77653650384757</v>
      </c>
      <c r="F27" s="10">
        <v>0.31511312392527402</v>
      </c>
      <c r="G27" s="10">
        <v>154.91886464000001</v>
      </c>
      <c r="H27" s="10">
        <v>0.192813491645833</v>
      </c>
      <c r="I27" s="10">
        <v>28.7638888902083</v>
      </c>
      <c r="J27" s="10">
        <v>0.226875000083333</v>
      </c>
      <c r="K27" s="10">
        <v>374.72299823541698</v>
      </c>
      <c r="L27" s="10">
        <v>19.576022161458301</v>
      </c>
      <c r="M27" s="10">
        <v>3.7774260237083301</v>
      </c>
      <c r="N27" s="10">
        <v>59.022867459812502</v>
      </c>
      <c r="P27">
        <v>-0.36280419634058758</v>
      </c>
      <c r="Q27">
        <v>1.460211952015338</v>
      </c>
      <c r="R27">
        <v>1.0497852435433701</v>
      </c>
      <c r="S27">
        <v>1.0497852435433701</v>
      </c>
      <c r="W27" s="10">
        <v>0.72259001636713105</v>
      </c>
    </row>
    <row r="28" spans="1:36" x14ac:dyDescent="0.25">
      <c r="A28" s="26" t="s">
        <v>148</v>
      </c>
      <c r="B28" s="10">
        <v>5</v>
      </c>
      <c r="C28" s="10">
        <v>2.3042675416648501</v>
      </c>
      <c r="D28" s="10">
        <v>0.54228763690125903</v>
      </c>
      <c r="E28" s="10">
        <v>1.9862126626221801</v>
      </c>
      <c r="F28" s="10">
        <v>2.9862258793171601</v>
      </c>
      <c r="G28" s="10">
        <v>122.03386391190899</v>
      </c>
      <c r="H28" s="10">
        <v>0.28718169181818198</v>
      </c>
      <c r="I28" s="10">
        <v>56.328787875454502</v>
      </c>
      <c r="J28" s="10">
        <v>0.21772727293181801</v>
      </c>
      <c r="K28" s="10">
        <v>290.96802746590902</v>
      </c>
      <c r="L28" s="10">
        <v>18.116410834772701</v>
      </c>
      <c r="M28" s="10">
        <v>2.5998179698863599</v>
      </c>
      <c r="N28" s="10">
        <v>132.81009402452301</v>
      </c>
      <c r="P28">
        <v>-0.61799352915751549</v>
      </c>
      <c r="Q28">
        <v>3.0839377980562599</v>
      </c>
      <c r="R28">
        <v>3.0839377980562599</v>
      </c>
      <c r="S28">
        <v>3.0839377980562599</v>
      </c>
      <c r="W28" s="10">
        <v>0.71876081359710098</v>
      </c>
    </row>
    <row r="29" spans="1:36" x14ac:dyDescent="0.25">
      <c r="A29" s="26" t="s">
        <v>149</v>
      </c>
      <c r="B29" s="10">
        <v>3</v>
      </c>
      <c r="C29" s="10">
        <v>2.5509140495182599E-2</v>
      </c>
      <c r="D29" s="10">
        <v>0.81892467016103299</v>
      </c>
      <c r="E29" s="10">
        <v>1.95691099343518</v>
      </c>
      <c r="F29" s="10">
        <v>4.7656264228913896</v>
      </c>
      <c r="G29" s="10">
        <v>62.705834584999998</v>
      </c>
      <c r="H29" s="10">
        <v>0.11857908154761899</v>
      </c>
      <c r="I29" s="10">
        <v>25.343915342857098</v>
      </c>
      <c r="J29" s="10">
        <v>0.41222222200000003</v>
      </c>
      <c r="K29" s="10">
        <v>372.79675989047598</v>
      </c>
      <c r="L29" s="10">
        <v>46.6970990571429</v>
      </c>
      <c r="M29" s="10">
        <v>2.56963329530952</v>
      </c>
      <c r="N29" s="10">
        <v>0.64616785649999997</v>
      </c>
      <c r="P29">
        <v>-0.47617983380474044</v>
      </c>
      <c r="Q29">
        <v>0.92013717500635706</v>
      </c>
      <c r="R29">
        <v>0.92013717500635706</v>
      </c>
      <c r="S29">
        <v>0.92013717500635706</v>
      </c>
      <c r="W29" s="10">
        <v>0.83953591453712695</v>
      </c>
    </row>
    <row r="30" spans="1:36" x14ac:dyDescent="0.25">
      <c r="A30" s="26" t="s">
        <v>150</v>
      </c>
      <c r="B30" s="10">
        <v>3</v>
      </c>
      <c r="C30" s="10">
        <v>2.7098997196116001</v>
      </c>
      <c r="D30" s="10">
        <v>0.98097291006981302</v>
      </c>
      <c r="E30" s="10">
        <v>2.0709199008391099</v>
      </c>
      <c r="F30" s="10">
        <v>4.7367221387239002</v>
      </c>
      <c r="G30" s="10">
        <v>208.33956943726901</v>
      </c>
      <c r="H30" s="10">
        <v>0.282578571192308</v>
      </c>
      <c r="I30" s="10">
        <v>22.826923078461501</v>
      </c>
      <c r="J30" s="10">
        <v>0.19820512811538499</v>
      </c>
      <c r="K30" s="10">
        <v>335.32682814230799</v>
      </c>
      <c r="L30" s="10">
        <v>21.5928550088462</v>
      </c>
      <c r="M30" s="10">
        <v>1.90253813942308</v>
      </c>
      <c r="N30" s="10">
        <v>457.937790985346</v>
      </c>
      <c r="P30">
        <v>-0.16620264299977811</v>
      </c>
      <c r="Q30">
        <v>2.3442869795146848</v>
      </c>
      <c r="R30">
        <v>2.3442869795146848</v>
      </c>
      <c r="S30">
        <v>1.7718538581638081</v>
      </c>
      <c r="W30" s="10">
        <v>0.78994699628393705</v>
      </c>
    </row>
    <row r="31" spans="1:36" x14ac:dyDescent="0.25">
      <c r="A31" s="26" t="s">
        <v>151</v>
      </c>
      <c r="B31" s="10">
        <v>4</v>
      </c>
      <c r="C31" s="10">
        <v>2.8164896217077202</v>
      </c>
      <c r="D31" s="10">
        <v>0.57522299841179003</v>
      </c>
      <c r="E31" s="10">
        <v>1.24404562167328</v>
      </c>
      <c r="F31" s="10">
        <v>1.9090564813509801</v>
      </c>
      <c r="G31" s="10">
        <v>144.534901626595</v>
      </c>
      <c r="H31" s="10">
        <v>0.27861803978378402</v>
      </c>
      <c r="I31" s="10">
        <v>37.817117116216203</v>
      </c>
      <c r="J31" s="10">
        <v>0.263513513648649</v>
      </c>
      <c r="K31" s="10">
        <v>376.34828140810799</v>
      </c>
      <c r="L31" s="10">
        <v>20.429140276756801</v>
      </c>
      <c r="M31" s="10">
        <v>1.4540885457297299</v>
      </c>
      <c r="N31" s="10">
        <v>277.91242972394599</v>
      </c>
      <c r="P31">
        <v>-0.54703714039376161</v>
      </c>
      <c r="Q31">
        <v>0.55613111906058599</v>
      </c>
      <c r="R31">
        <v>0.55613111906058599</v>
      </c>
      <c r="S31">
        <v>0.55613111906058599</v>
      </c>
      <c r="W31" s="10">
        <v>0.78550606208954799</v>
      </c>
    </row>
    <row r="32" spans="1:36" x14ac:dyDescent="0.25">
      <c r="A32" s="26" t="s">
        <v>152</v>
      </c>
      <c r="B32" s="10">
        <v>8</v>
      </c>
      <c r="C32" s="10">
        <v>1.8417013722166</v>
      </c>
      <c r="D32" s="10">
        <v>0.85566697344468601</v>
      </c>
      <c r="E32" s="10">
        <v>2.08972070684736</v>
      </c>
      <c r="F32" s="10">
        <v>4.3920054630801104</v>
      </c>
      <c r="G32" s="10">
        <v>184.10991378974299</v>
      </c>
      <c r="H32" s="10">
        <v>0.24531253631428601</v>
      </c>
      <c r="I32" s="10">
        <v>38.175714284571399</v>
      </c>
      <c r="J32" s="10">
        <v>0.18685714282857099</v>
      </c>
      <c r="K32" s="10">
        <v>388.94549679714299</v>
      </c>
      <c r="L32" s="10">
        <v>27.7721300448571</v>
      </c>
      <c r="M32" s="10">
        <v>2.2754531551428601</v>
      </c>
      <c r="N32" s="10">
        <v>68.773271037485699</v>
      </c>
      <c r="P32">
        <v>-0.18301558790534717</v>
      </c>
      <c r="Q32">
        <v>4.080796294269736</v>
      </c>
      <c r="R32">
        <v>3.2871206305318399</v>
      </c>
      <c r="S32">
        <v>1.91230964655639</v>
      </c>
      <c r="W32" s="10">
        <v>0.73682199850524799</v>
      </c>
    </row>
    <row r="33" spans="1:23" x14ac:dyDescent="0.25">
      <c r="A33" s="26" t="s">
        <v>153</v>
      </c>
      <c r="B33" s="10">
        <v>3</v>
      </c>
      <c r="C33" s="10">
        <v>0.70777036682267103</v>
      </c>
      <c r="D33" s="10">
        <v>0.171028822395414</v>
      </c>
      <c r="E33" s="10">
        <v>0.57234039989136598</v>
      </c>
      <c r="F33" s="10">
        <v>1.02772373436122</v>
      </c>
      <c r="G33" s="10">
        <v>135.14283781020401</v>
      </c>
      <c r="H33" s="10">
        <v>0.15533252161224501</v>
      </c>
      <c r="I33" s="10">
        <v>63.7047619016327</v>
      </c>
      <c r="J33" s="10">
        <v>0.17755102067346901</v>
      </c>
      <c r="K33" s="10">
        <v>383.12664799795903</v>
      </c>
      <c r="L33" s="10">
        <v>29.887342880612199</v>
      </c>
      <c r="M33" s="10">
        <v>1.1910223451020401</v>
      </c>
      <c r="N33" s="10">
        <v>0.41552022016326501</v>
      </c>
      <c r="P33">
        <v>-0.48577024127364027</v>
      </c>
      <c r="Q33">
        <v>1.5591059063852901</v>
      </c>
      <c r="R33">
        <v>1.5591059063852901</v>
      </c>
      <c r="S33">
        <v>0.94625679158814602</v>
      </c>
      <c r="W33" s="10">
        <v>0.93611831210279495</v>
      </c>
    </row>
    <row r="34" spans="1:23" x14ac:dyDescent="0.25">
      <c r="A34" s="26" t="s">
        <v>154</v>
      </c>
      <c r="B34" s="10">
        <v>6</v>
      </c>
      <c r="C34" s="10">
        <v>4.7644365199987302</v>
      </c>
      <c r="D34" s="10">
        <v>0.67209523935605697</v>
      </c>
      <c r="E34" s="10">
        <v>2.5342819619714798</v>
      </c>
      <c r="F34" s="10">
        <v>6.6937447088072499</v>
      </c>
      <c r="G34" s="10">
        <v>87.321359160051301</v>
      </c>
      <c r="H34" s="10">
        <v>0.30530336833333299</v>
      </c>
      <c r="I34" s="10">
        <v>30.142735041359</v>
      </c>
      <c r="J34" s="10">
        <v>0.20076923079487199</v>
      </c>
      <c r="K34" s="10">
        <v>415.89101199999999</v>
      </c>
      <c r="L34" s="10">
        <v>20.120686430512801</v>
      </c>
      <c r="M34" s="10">
        <v>0.93678874823076896</v>
      </c>
      <c r="N34" s="10">
        <v>1490.133761238</v>
      </c>
      <c r="P34">
        <v>-0.72643087451527077</v>
      </c>
      <c r="Q34">
        <v>0.63704426971081096</v>
      </c>
      <c r="R34">
        <v>0.44332647645022499</v>
      </c>
      <c r="S34">
        <v>0.44332647645022499</v>
      </c>
      <c r="W34" s="10">
        <v>0.68530956228054396</v>
      </c>
    </row>
    <row r="35" spans="1:23" x14ac:dyDescent="0.25">
      <c r="A35" s="26" t="s">
        <v>155</v>
      </c>
      <c r="B35" s="10">
        <v>5</v>
      </c>
      <c r="C35" s="10">
        <v>1.2958798002096099</v>
      </c>
      <c r="D35" s="10">
        <v>0.56220003579334898</v>
      </c>
      <c r="E35" s="10">
        <v>2.0569787093234901</v>
      </c>
      <c r="F35" s="10">
        <v>4.5618966032440298</v>
      </c>
      <c r="G35" s="10">
        <v>140.637151884286</v>
      </c>
      <c r="H35" s="10">
        <v>0.14781104978571399</v>
      </c>
      <c r="I35" s="10">
        <v>49.675595236964298</v>
      </c>
      <c r="J35" s="10">
        <v>0.22041666700000001</v>
      </c>
      <c r="K35" s="10">
        <v>398.22984825357099</v>
      </c>
      <c r="L35" s="10">
        <v>29.4789772044643</v>
      </c>
      <c r="M35" s="10">
        <v>1.9672465736071401</v>
      </c>
      <c r="N35" s="10">
        <v>40.226843431035697</v>
      </c>
      <c r="P35">
        <v>-0.55618031880777341</v>
      </c>
      <c r="Q35">
        <v>2.2786150085600401</v>
      </c>
      <c r="R35">
        <v>2.2786150085600401</v>
      </c>
      <c r="S35">
        <v>2.2786150085600401</v>
      </c>
      <c r="W35" s="10">
        <v>0.94171865534139798</v>
      </c>
    </row>
    <row r="36" spans="1:23" x14ac:dyDescent="0.25">
      <c r="A36" s="26" t="s">
        <v>156</v>
      </c>
      <c r="B36" s="10">
        <v>7</v>
      </c>
      <c r="C36" s="10">
        <v>6.5632395871144302</v>
      </c>
      <c r="D36" s="10">
        <v>0.61162241021935104</v>
      </c>
      <c r="E36" s="10">
        <v>1.92837993595587</v>
      </c>
      <c r="F36" s="10">
        <v>4.5564533242098797</v>
      </c>
      <c r="G36" s="10">
        <v>190.98539022310601</v>
      </c>
      <c r="H36" s="10">
        <v>0.18215825454545501</v>
      </c>
      <c r="I36" s="10">
        <v>34.997222222121202</v>
      </c>
      <c r="J36" s="10">
        <v>0.229242424469697</v>
      </c>
      <c r="K36" s="10">
        <v>393.634055227273</v>
      </c>
      <c r="L36" s="10">
        <v>24.445008272878798</v>
      </c>
      <c r="M36" s="10">
        <v>1.03169518910606</v>
      </c>
      <c r="N36" s="10">
        <v>325.483888286227</v>
      </c>
      <c r="P36">
        <v>-0.56524910383304106</v>
      </c>
      <c r="Q36">
        <v>0.58999363561295004</v>
      </c>
      <c r="R36">
        <v>0.58999363561295004</v>
      </c>
      <c r="S36">
        <v>0.38610633112537002</v>
      </c>
      <c r="W36" s="10">
        <v>0.53546203039183404</v>
      </c>
    </row>
    <row r="37" spans="1:23" x14ac:dyDescent="0.25">
      <c r="A37" s="26" t="s">
        <v>157</v>
      </c>
      <c r="B37" s="10">
        <v>8</v>
      </c>
      <c r="C37" s="10">
        <v>1.33372584972916</v>
      </c>
      <c r="D37" s="10">
        <v>0.77359154321826396</v>
      </c>
      <c r="E37" s="10">
        <v>1.38270228481984</v>
      </c>
      <c r="F37" s="10">
        <v>2.1389832108914302</v>
      </c>
      <c r="G37" s="10">
        <v>223.16720091904801</v>
      </c>
      <c r="H37" s="10">
        <v>0.17976336688095201</v>
      </c>
      <c r="I37" s="10">
        <v>32.9007936514286</v>
      </c>
      <c r="J37" s="10">
        <v>0.18777777780952401</v>
      </c>
      <c r="K37" s="10">
        <v>376.42690860476199</v>
      </c>
      <c r="L37" s="10">
        <v>23.4240107233333</v>
      </c>
      <c r="M37" s="10">
        <v>1.48997136745238</v>
      </c>
      <c r="N37" s="10">
        <v>0.260270860547619</v>
      </c>
      <c r="P37">
        <v>-0.74808524713023494</v>
      </c>
      <c r="Q37">
        <v>0</v>
      </c>
      <c r="R37">
        <v>0</v>
      </c>
      <c r="S37">
        <v>0</v>
      </c>
      <c r="W37" s="10">
        <v>0.58248276037364</v>
      </c>
    </row>
    <row r="38" spans="1:23" x14ac:dyDescent="0.25">
      <c r="A38" s="26" t="s">
        <v>158</v>
      </c>
      <c r="B38" s="10">
        <v>5</v>
      </c>
      <c r="C38" s="10">
        <v>0.301526433564339</v>
      </c>
      <c r="D38" s="10">
        <v>0.68894418373078803</v>
      </c>
      <c r="E38" s="10">
        <v>1.4022752982820501</v>
      </c>
      <c r="F38" s="10">
        <v>2.7983017016340299</v>
      </c>
      <c r="G38" s="10">
        <v>123.202469552511</v>
      </c>
      <c r="H38" s="10">
        <v>0.17918161578723399</v>
      </c>
      <c r="I38" s="10">
        <v>13.034751773049599</v>
      </c>
      <c r="J38" s="10">
        <v>0.25120567403546101</v>
      </c>
      <c r="K38" s="10">
        <v>304.83506871560297</v>
      </c>
      <c r="L38" s="10">
        <v>26.676408832283698</v>
      </c>
      <c r="M38" s="10">
        <v>1.7212820402836899</v>
      </c>
      <c r="N38" s="10">
        <v>0.76261737530496498</v>
      </c>
      <c r="P38">
        <v>-0.93247969564060462</v>
      </c>
      <c r="Q38">
        <v>0.27160820874147401</v>
      </c>
      <c r="R38">
        <v>0.27160820874147401</v>
      </c>
      <c r="S38">
        <v>0.27160820874147401</v>
      </c>
      <c r="W38" s="10">
        <v>0.89948314535018303</v>
      </c>
    </row>
    <row r="39" spans="1:23" x14ac:dyDescent="0.25">
      <c r="A39" s="26" t="s">
        <v>159</v>
      </c>
      <c r="B39" s="10">
        <v>5</v>
      </c>
      <c r="C39" s="10">
        <v>1.80914503637548</v>
      </c>
      <c r="D39" s="10">
        <v>0.83272188247225898</v>
      </c>
      <c r="E39" s="10">
        <v>2.07491751906004</v>
      </c>
      <c r="F39" s="10">
        <v>4.4806283915062197</v>
      </c>
      <c r="G39" s="10">
        <v>94.249769266100003</v>
      </c>
      <c r="H39" s="10">
        <v>0.19909880033333299</v>
      </c>
      <c r="I39" s="10">
        <v>36.866666670000001</v>
      </c>
      <c r="J39" s="10">
        <v>0.325777777733333</v>
      </c>
      <c r="K39" s="10">
        <v>405.94602767666697</v>
      </c>
      <c r="L39" s="10">
        <v>26.458941078999999</v>
      </c>
      <c r="M39" s="10">
        <v>2.5896055440999999</v>
      </c>
      <c r="N39" s="10">
        <v>55.210684304133302</v>
      </c>
      <c r="P39">
        <v>-0.80707883118169377</v>
      </c>
      <c r="Q39">
        <v>0.28342505309676203</v>
      </c>
      <c r="R39">
        <v>0.28342505309676203</v>
      </c>
      <c r="S39">
        <v>0.28342505309676203</v>
      </c>
      <c r="W39" s="10">
        <v>0.88790645441843197</v>
      </c>
    </row>
    <row r="40" spans="1:23" x14ac:dyDescent="0.25">
      <c r="A40" s="26" t="s">
        <v>160</v>
      </c>
      <c r="B40" s="10">
        <v>4</v>
      </c>
      <c r="C40" s="10">
        <v>0.76950169723883499</v>
      </c>
      <c r="D40" s="10">
        <v>0.77373857283423197</v>
      </c>
      <c r="E40" s="10">
        <v>1.5782496494940701</v>
      </c>
      <c r="F40" s="10">
        <v>2.9274999531708401</v>
      </c>
      <c r="G40" s="10">
        <v>143.53687385049199</v>
      </c>
      <c r="H40" s="10">
        <v>0.141705155163934</v>
      </c>
      <c r="I40" s="10">
        <v>43.731693990163897</v>
      </c>
      <c r="J40" s="10">
        <v>0.31579234975409798</v>
      </c>
      <c r="K40" s="10">
        <v>363.53279636557397</v>
      </c>
      <c r="L40" s="10">
        <v>24.473568934426201</v>
      </c>
      <c r="M40" s="10">
        <v>1.4315913072786901</v>
      </c>
      <c r="N40" s="10">
        <v>11.1017809350164</v>
      </c>
      <c r="P40">
        <v>-0.68621915747464246</v>
      </c>
      <c r="Q40">
        <v>0.45958209546574602</v>
      </c>
      <c r="R40">
        <v>0.45958209546574602</v>
      </c>
      <c r="S40">
        <v>0.29524189745204998</v>
      </c>
      <c r="W40" s="10">
        <v>0.704284082283687</v>
      </c>
    </row>
    <row r="41" spans="1:23" x14ac:dyDescent="0.25">
      <c r="A41" s="26" t="s">
        <v>161</v>
      </c>
      <c r="B41" s="10">
        <v>5</v>
      </c>
      <c r="C41" s="10">
        <v>0.990285231950079</v>
      </c>
      <c r="D41" s="10">
        <v>0.73196684584026495</v>
      </c>
      <c r="E41" s="10">
        <v>1.14253920617905</v>
      </c>
      <c r="F41" s="10">
        <v>2.02404153842709</v>
      </c>
      <c r="G41" s="10">
        <v>67.860398804536999</v>
      </c>
      <c r="H41" s="10">
        <v>0.167055434462963</v>
      </c>
      <c r="I41" s="10">
        <v>28.374382713231501</v>
      </c>
      <c r="J41" s="10">
        <v>0.30783950632407397</v>
      </c>
      <c r="K41" s="10">
        <v>371.67852133888903</v>
      </c>
      <c r="L41" s="10">
        <v>28.644490912870399</v>
      </c>
      <c r="M41" s="10">
        <v>2.4092563769166699</v>
      </c>
      <c r="N41" s="10">
        <v>14.9541936834074</v>
      </c>
      <c r="P41">
        <v>-0.23235310448996066</v>
      </c>
      <c r="Q41">
        <v>2.8766351317076797</v>
      </c>
      <c r="R41">
        <v>2.8766351317076797</v>
      </c>
      <c r="S41">
        <v>1.66718508711813</v>
      </c>
      <c r="W41" s="10">
        <v>0.38370175055875</v>
      </c>
    </row>
    <row r="42" spans="1:23" x14ac:dyDescent="0.25">
      <c r="A42" s="26" t="s">
        <v>162</v>
      </c>
      <c r="B42" s="10">
        <v>5</v>
      </c>
      <c r="C42" s="10">
        <v>1.0326596500458101</v>
      </c>
      <c r="D42" s="10">
        <v>0.71631536772275595</v>
      </c>
      <c r="E42" s="10">
        <v>1.33651044950667</v>
      </c>
      <c r="F42" s="10">
        <v>2.0633381938931499</v>
      </c>
      <c r="G42" s="10">
        <v>46.507104281963002</v>
      </c>
      <c r="H42" s="10">
        <v>0.11667421662963</v>
      </c>
      <c r="I42" s="10">
        <v>32.711111113703701</v>
      </c>
      <c r="J42" s="10">
        <v>0.20098765451851899</v>
      </c>
      <c r="K42" s="10">
        <v>316.08387151851798</v>
      </c>
      <c r="L42" s="10">
        <v>28.000014294074099</v>
      </c>
      <c r="M42" s="10">
        <v>1.67155620855556</v>
      </c>
      <c r="N42" s="10">
        <v>5.7122150530000004</v>
      </c>
      <c r="P42">
        <v>-0.2976478192535949</v>
      </c>
      <c r="Q42">
        <v>2.7610155500875697</v>
      </c>
      <c r="R42">
        <v>2.7610155500875697</v>
      </c>
      <c r="S42">
        <v>2.7610155500875697</v>
      </c>
      <c r="W42" s="10">
        <v>0.85835902306380496</v>
      </c>
    </row>
    <row r="43" spans="1:23" x14ac:dyDescent="0.25">
      <c r="A43" s="26" t="s">
        <v>163</v>
      </c>
      <c r="B43" s="10">
        <v>7</v>
      </c>
      <c r="C43" s="10">
        <v>1.5529539697905701</v>
      </c>
      <c r="D43" s="10">
        <v>0.73527859994087297</v>
      </c>
      <c r="E43" s="10">
        <v>1.27358952173076</v>
      </c>
      <c r="F43" s="10">
        <v>1.8369391236853401</v>
      </c>
      <c r="G43" s="10">
        <v>173.725965851951</v>
      </c>
      <c r="H43" s="10">
        <v>0.14966967482926799</v>
      </c>
      <c r="I43" s="10">
        <v>27.437398372341502</v>
      </c>
      <c r="J43" s="10">
        <v>0.16577235763414599</v>
      </c>
      <c r="K43" s="10">
        <v>383.49774786097601</v>
      </c>
      <c r="L43" s="10">
        <v>24.0986050490244</v>
      </c>
      <c r="M43" s="10">
        <v>1.2129314970731699</v>
      </c>
      <c r="N43" s="10">
        <v>10.396980409560999</v>
      </c>
      <c r="P43">
        <v>-0.42097974748617611</v>
      </c>
      <c r="Q43">
        <v>1.723546617895944</v>
      </c>
      <c r="R43">
        <v>1.3151051635584301</v>
      </c>
      <c r="S43">
        <v>1.3151051635584301</v>
      </c>
      <c r="W43" s="10">
        <v>0.816030439184664</v>
      </c>
    </row>
    <row r="44" spans="1:23" x14ac:dyDescent="0.25">
      <c r="A44" s="26" t="s">
        <v>164</v>
      </c>
      <c r="B44" s="10">
        <v>3</v>
      </c>
      <c r="C44" s="10">
        <v>0.52212200041308299</v>
      </c>
      <c r="D44" s="10">
        <v>0.72427977796230403</v>
      </c>
      <c r="E44" s="10">
        <v>1.58583707496968</v>
      </c>
      <c r="F44" s="10">
        <v>2.6062432161590499</v>
      </c>
      <c r="G44" s="10">
        <v>101.47558676544</v>
      </c>
      <c r="H44" s="10">
        <v>0.16122765480000001</v>
      </c>
      <c r="I44" s="10">
        <v>40.286666665200002</v>
      </c>
      <c r="J44" s="10">
        <v>0.18459999996000001</v>
      </c>
      <c r="K44" s="10">
        <v>322.969874366</v>
      </c>
      <c r="L44" s="10">
        <v>25.3064501078</v>
      </c>
      <c r="M44" s="10">
        <v>1.7733088538399999</v>
      </c>
      <c r="N44" s="10">
        <v>8.8670523502199998</v>
      </c>
      <c r="P44">
        <v>0.54986574627746454</v>
      </c>
      <c r="Q44">
        <v>11.345092460725144</v>
      </c>
      <c r="R44">
        <v>8.7236819527870999</v>
      </c>
      <c r="S44">
        <v>7.1125767762704797</v>
      </c>
      <c r="W44" s="10">
        <v>0.76739215190819099</v>
      </c>
    </row>
    <row r="45" spans="1:23" x14ac:dyDescent="0.25">
      <c r="A45" s="26" t="s">
        <v>165</v>
      </c>
      <c r="B45" s="10">
        <v>3</v>
      </c>
      <c r="C45" s="10">
        <v>3.27694719636788</v>
      </c>
      <c r="D45" s="10">
        <v>0.642371314674544</v>
      </c>
      <c r="E45" s="10">
        <v>2.1203769829338399</v>
      </c>
      <c r="F45" s="10">
        <v>6.6140159571302197</v>
      </c>
      <c r="G45" s="10">
        <v>261.06365451817601</v>
      </c>
      <c r="H45" s="10">
        <v>0.118101862490196</v>
      </c>
      <c r="I45" s="10">
        <v>45.703921571176501</v>
      </c>
      <c r="J45" s="10">
        <v>0.264379085137255</v>
      </c>
      <c r="K45" s="10">
        <v>385.57261210392198</v>
      </c>
      <c r="L45" s="10">
        <v>27.625584423725499</v>
      </c>
      <c r="M45" s="10">
        <v>1.04420680772549</v>
      </c>
      <c r="N45" s="10">
        <v>2.1507035523333302</v>
      </c>
      <c r="P45">
        <v>-3.2320326613165381E-3</v>
      </c>
      <c r="Q45">
        <v>5.2467502395346406</v>
      </c>
      <c r="R45">
        <v>5.2467502395346406</v>
      </c>
      <c r="S45">
        <v>3.412730024924898</v>
      </c>
      <c r="W45" s="10">
        <v>0.524007405805618</v>
      </c>
    </row>
    <row r="46" spans="1:23" x14ac:dyDescent="0.25">
      <c r="A46" s="26" t="s">
        <v>166</v>
      </c>
      <c r="B46" s="10">
        <v>4</v>
      </c>
      <c r="C46" s="10">
        <v>8.6508062766908491</v>
      </c>
      <c r="D46" s="10">
        <v>0.352477544874018</v>
      </c>
      <c r="E46" s="10">
        <v>3.52483337029317</v>
      </c>
      <c r="F46" s="10">
        <v>20.156189791229998</v>
      </c>
      <c r="G46" s="10">
        <v>49.585019000363602</v>
      </c>
      <c r="H46" s="10">
        <v>0.146558761818182</v>
      </c>
      <c r="I46" s="10">
        <v>27.789393940681801</v>
      </c>
      <c r="J46" s="10">
        <v>0.67007575750000004</v>
      </c>
      <c r="K46" s="10">
        <v>272.70800422045397</v>
      </c>
      <c r="L46" s="10">
        <v>23.089460077045501</v>
      </c>
      <c r="M46" s="10">
        <v>0.94390391861363598</v>
      </c>
      <c r="N46" s="10">
        <v>20.629999489113601</v>
      </c>
      <c r="P46">
        <v>-0.52367832880965803</v>
      </c>
      <c r="Q46">
        <v>1.620045303325111</v>
      </c>
      <c r="R46">
        <v>1.620045303325111</v>
      </c>
      <c r="S46">
        <v>1.620045303325111</v>
      </c>
      <c r="W46" s="10">
        <v>0.54047448227753003</v>
      </c>
    </row>
    <row r="48" spans="1:23" x14ac:dyDescent="0.25">
      <c r="C48"/>
      <c r="D48" s="29" t="s">
        <v>308</v>
      </c>
      <c r="E48" s="29" t="s">
        <v>309</v>
      </c>
      <c r="F48" s="29" t="s">
        <v>310</v>
      </c>
      <c r="G48" s="29" t="s">
        <v>311</v>
      </c>
      <c r="H48" s="29" t="s">
        <v>312</v>
      </c>
      <c r="I48" s="29" t="s">
        <v>313</v>
      </c>
      <c r="J48" s="29" t="s">
        <v>314</v>
      </c>
      <c r="K48" s="29" t="s">
        <v>315</v>
      </c>
      <c r="L48" s="29" t="s">
        <v>316</v>
      </c>
      <c r="M48" s="29" t="s">
        <v>317</v>
      </c>
      <c r="N48" s="29" t="s">
        <v>318</v>
      </c>
      <c r="O48" s="29" t="s">
        <v>319</v>
      </c>
      <c r="P48" s="29" t="s">
        <v>329</v>
      </c>
      <c r="Q48" s="29" t="s">
        <v>345</v>
      </c>
      <c r="R48" s="29" t="s">
        <v>347</v>
      </c>
      <c r="S48" s="29" t="s">
        <v>349</v>
      </c>
    </row>
    <row r="49" spans="3:23" ht="14.55" x14ac:dyDescent="0.25">
      <c r="C49" s="30" t="s">
        <v>305</v>
      </c>
      <c r="D49" s="31">
        <f>AVERAGEA(C2:C46)</f>
        <v>3.1882328340555324</v>
      </c>
      <c r="E49" s="31">
        <f t="shared" ref="E49:O49" si="0">AVERAGEA(D2:D46)</f>
        <v>0.59723309618779918</v>
      </c>
      <c r="F49" s="31">
        <f t="shared" si="0"/>
        <v>1.5455183829832757</v>
      </c>
      <c r="G49" s="31">
        <f t="shared" si="0"/>
        <v>3.5097003100710751</v>
      </c>
      <c r="H49" s="31">
        <f t="shared" si="0"/>
        <v>134.74644734931402</v>
      </c>
      <c r="I49" s="31">
        <f t="shared" si="0"/>
        <v>0.18711441274568999</v>
      </c>
      <c r="J49" s="31">
        <f t="shared" si="0"/>
        <v>31.282463038164618</v>
      </c>
      <c r="K49" s="31">
        <f t="shared" si="0"/>
        <v>0.31813788277822769</v>
      </c>
      <c r="L49" s="31">
        <f t="shared" si="0"/>
        <v>351.35251845843499</v>
      </c>
      <c r="M49" s="31">
        <f t="shared" si="0"/>
        <v>22.07580644616068</v>
      </c>
      <c r="N49" s="31">
        <f t="shared" si="0"/>
        <v>2.2518822619836514</v>
      </c>
      <c r="O49" s="31">
        <f t="shared" si="0"/>
        <v>141.88745344792358</v>
      </c>
      <c r="P49" s="31">
        <f>AVERAGEA(P2:P46)</f>
        <v>5.6744732369730219E-17</v>
      </c>
      <c r="Q49" s="31">
        <f>AVERAGEA(Q2:Q46)</f>
        <v>5.0713697814364123</v>
      </c>
      <c r="R49" s="31">
        <f>AVERAGEA(R2:R46)</f>
        <v>3.9588766964967648</v>
      </c>
      <c r="S49" s="31">
        <f>AVERAGEA(S2:S46)</f>
        <v>2.6859859543541185</v>
      </c>
    </row>
    <row r="50" spans="3:23" ht="14.55" x14ac:dyDescent="0.25">
      <c r="C50" s="30" t="s">
        <v>306</v>
      </c>
      <c r="D50" s="57">
        <f t="shared" ref="D50" si="1">D51*100/D49</f>
        <v>98.826831439161069</v>
      </c>
      <c r="E50" s="57">
        <f t="shared" ref="E50:O50" si="2">E51*100/E49</f>
        <v>33.99811840743034</v>
      </c>
      <c r="F50" s="57">
        <f t="shared" si="2"/>
        <v>41.425224106228697</v>
      </c>
      <c r="G50" s="57">
        <f t="shared" si="2"/>
        <v>90.987258007695075</v>
      </c>
      <c r="H50" s="57">
        <f t="shared" si="2"/>
        <v>122.36255217951985</v>
      </c>
      <c r="I50" s="57">
        <f t="shared" si="2"/>
        <v>38.349614118579815</v>
      </c>
      <c r="J50" s="57">
        <f t="shared" si="2"/>
        <v>37.791820852347229</v>
      </c>
      <c r="K50" s="57">
        <f t="shared" si="2"/>
        <v>55.741760927607771</v>
      </c>
      <c r="L50" s="57">
        <f t="shared" si="2"/>
        <v>12.933003784254241</v>
      </c>
      <c r="M50" s="57">
        <f t="shared" si="2"/>
        <v>25.415307393858804</v>
      </c>
      <c r="N50" s="57">
        <f t="shared" si="2"/>
        <v>43.475807679502118</v>
      </c>
      <c r="O50" s="57">
        <f t="shared" si="2"/>
        <v>203.29896528483431</v>
      </c>
      <c r="P50" s="31">
        <f>P51*100/P49</f>
        <v>9.5765803736768947E+17</v>
      </c>
      <c r="Q50" s="31">
        <f>Q51*100/Q49</f>
        <v>85.665821749723605</v>
      </c>
      <c r="R50" s="31">
        <f>R51*100/R49</f>
        <v>80.716385280619363</v>
      </c>
      <c r="S50" s="31">
        <f t="shared" ref="S50" si="3">S51*100/S49</f>
        <v>82.555444396976299</v>
      </c>
      <c r="T50" s="32">
        <f>AVERAGE(Q50:S50)</f>
        <v>82.979217142439751</v>
      </c>
    </row>
    <row r="51" spans="3:23" ht="14.55" x14ac:dyDescent="0.25">
      <c r="C51" s="30" t="s">
        <v>307</v>
      </c>
      <c r="D51" s="31">
        <f>STDEV(C2:C46)</f>
        <v>3.1508294888000488</v>
      </c>
      <c r="E51" s="31">
        <f t="shared" ref="E51:O51" si="4">STDEV(D2:D46)</f>
        <v>0.20304801521029031</v>
      </c>
      <c r="F51" s="31">
        <f t="shared" si="4"/>
        <v>0.64023445375378385</v>
      </c>
      <c r="G51" s="31">
        <f t="shared" si="4"/>
        <v>3.193380076421243</v>
      </c>
      <c r="H51" s="31">
        <f t="shared" si="4"/>
        <v>164.87919194785363</v>
      </c>
      <c r="I51" s="31">
        <f t="shared" si="4"/>
        <v>7.1757655248218838E-2</v>
      </c>
      <c r="J51" s="31">
        <f t="shared" si="4"/>
        <v>11.82221238958491</v>
      </c>
      <c r="K51" s="31">
        <f t="shared" si="4"/>
        <v>0.17733565803839274</v>
      </c>
      <c r="L51" s="31">
        <f t="shared" si="4"/>
        <v>45.440434508301976</v>
      </c>
      <c r="M51" s="31">
        <f t="shared" si="4"/>
        <v>5.6106340679650337</v>
      </c>
      <c r="N51" s="31">
        <f t="shared" si="4"/>
        <v>0.97902400138883439</v>
      </c>
      <c r="O51" s="31">
        <f t="shared" si="4"/>
        <v>288.4557247286296</v>
      </c>
      <c r="P51" s="31">
        <f>STDEV(P2:P46)</f>
        <v>0.54342049032150641</v>
      </c>
      <c r="Q51" s="31">
        <f>STDEV(Q2:Q46)</f>
        <v>4.3444305972346644</v>
      </c>
      <c r="R51" s="31">
        <f>STDEV(R2:R46)</f>
        <v>3.1954621671289845</v>
      </c>
      <c r="S51" s="31">
        <f>STDEV(S2:S46)</f>
        <v>2.2174276410574074</v>
      </c>
    </row>
    <row r="52" spans="3:23" ht="14.55" x14ac:dyDescent="0.25">
      <c r="C52" s="30" t="s">
        <v>357</v>
      </c>
      <c r="D52" s="53">
        <f>AVERAGEA(C2:C16)</f>
        <v>4.9561399112033655</v>
      </c>
      <c r="E52" s="53">
        <f t="shared" ref="E52:O52" si="5">AVERAGEA(D2:D16)</f>
        <v>0.49400956582291017</v>
      </c>
      <c r="F52" s="53">
        <f t="shared" si="5"/>
        <v>1.2640158859409558</v>
      </c>
      <c r="G52" s="53">
        <f t="shared" si="5"/>
        <v>2.9686169680589516</v>
      </c>
      <c r="H52" s="53">
        <f t="shared" si="5"/>
        <v>90.571630445608989</v>
      </c>
      <c r="I52" s="53">
        <f t="shared" si="5"/>
        <v>0.17079892029079927</v>
      </c>
      <c r="J52" s="53">
        <f t="shared" si="5"/>
        <v>28.312198492116643</v>
      </c>
      <c r="K52" s="53">
        <f t="shared" si="5"/>
        <v>0.40887871698940698</v>
      </c>
      <c r="L52" s="53">
        <f t="shared" si="5"/>
        <v>343.23380978078234</v>
      </c>
      <c r="M52" s="53">
        <f t="shared" si="5"/>
        <v>19.393402477707557</v>
      </c>
      <c r="N52" s="53">
        <f t="shared" si="5"/>
        <v>3.2401691104692203</v>
      </c>
      <c r="O52" s="53">
        <f t="shared" si="5"/>
        <v>136.34228740954572</v>
      </c>
    </row>
    <row r="53" spans="3:23" ht="14.55" x14ac:dyDescent="0.25">
      <c r="C53" s="30" t="s">
        <v>358</v>
      </c>
      <c r="D53" s="55">
        <f t="shared" ref="D53:O53" si="6">D54*100/D52</f>
        <v>83.79229724695152</v>
      </c>
      <c r="E53" s="55">
        <f t="shared" ref="E53:O53" si="7">E54*100/E52</f>
        <v>30.561347949668409</v>
      </c>
      <c r="F53" s="55">
        <f t="shared" si="7"/>
        <v>45.810840210482233</v>
      </c>
      <c r="G53" s="55">
        <f t="shared" si="7"/>
        <v>70.404793847382024</v>
      </c>
      <c r="H53" s="55">
        <f t="shared" si="7"/>
        <v>96.849807982179755</v>
      </c>
      <c r="I53" s="55">
        <f t="shared" si="7"/>
        <v>40.227636824484833</v>
      </c>
      <c r="J53" s="55">
        <f t="shared" si="7"/>
        <v>38.80317704482129</v>
      </c>
      <c r="K53" s="55">
        <f t="shared" si="7"/>
        <v>62.289675390828009</v>
      </c>
      <c r="L53" s="55">
        <f t="shared" si="7"/>
        <v>14.013649670193814</v>
      </c>
      <c r="M53" s="55">
        <f t="shared" si="7"/>
        <v>12.880350143231121</v>
      </c>
      <c r="N53" s="55">
        <f t="shared" si="7"/>
        <v>20.800692096550762</v>
      </c>
      <c r="O53" s="55">
        <f t="shared" si="7"/>
        <v>206.64880726374284</v>
      </c>
      <c r="W53"/>
    </row>
    <row r="54" spans="3:23" ht="14.55" x14ac:dyDescent="0.25">
      <c r="C54" s="30" t="s">
        <v>359</v>
      </c>
      <c r="D54" s="53">
        <f>STDEV(C2:C16)</f>
        <v>4.1528634863703227</v>
      </c>
      <c r="E54" s="53">
        <f t="shared" ref="E54:O54" si="8">STDEV(D2:D16)</f>
        <v>0.15097598231578577</v>
      </c>
      <c r="F54" s="53">
        <f t="shared" si="8"/>
        <v>0.57905629774352263</v>
      </c>
      <c r="G54" s="53">
        <f t="shared" si="8"/>
        <v>2.0900486564803074</v>
      </c>
      <c r="H54" s="53">
        <f t="shared" si="8"/>
        <v>87.718450172901754</v>
      </c>
      <c r="I54" s="53">
        <f t="shared" si="8"/>
        <v>6.8708369354724061E-2</v>
      </c>
      <c r="J54" s="53">
        <f t="shared" si="8"/>
        <v>10.986032506177244</v>
      </c>
      <c r="K54" s="53">
        <f t="shared" si="8"/>
        <v>0.25468922555488394</v>
      </c>
      <c r="L54" s="53">
        <f t="shared" si="8"/>
        <v>48.099583652338268</v>
      </c>
      <c r="M54" s="53">
        <f t="shared" si="8"/>
        <v>2.497938143814793</v>
      </c>
      <c r="N54" s="53">
        <f t="shared" si="8"/>
        <v>0.67397760007625018</v>
      </c>
      <c r="O54" s="53">
        <f t="shared" si="8"/>
        <v>281.74971072793045</v>
      </c>
      <c r="W54"/>
    </row>
    <row r="55" spans="3:23" ht="14.55" x14ac:dyDescent="0.25">
      <c r="C55" s="30" t="s">
        <v>351</v>
      </c>
      <c r="D55" s="54">
        <f>AVERAGEA(C17:C31)</f>
        <v>2.2477118583946933</v>
      </c>
      <c r="E55" s="54">
        <f t="shared" ref="E55:O55" si="9">AVERAGEA(D17:D31)</f>
        <v>0.6414031151085432</v>
      </c>
      <c r="F55" s="54">
        <f t="shared" si="9"/>
        <v>1.5989703915916238</v>
      </c>
      <c r="G55" s="54">
        <f t="shared" si="9"/>
        <v>2.9686169680589516</v>
      </c>
      <c r="H55" s="54">
        <f t="shared" si="9"/>
        <v>178.82966522380164</v>
      </c>
      <c r="I55" s="54">
        <f t="shared" si="9"/>
        <v>0.21754736636048908</v>
      </c>
      <c r="J55" s="54">
        <f t="shared" si="9"/>
        <v>29.166336679202164</v>
      </c>
      <c r="K55" s="54">
        <f t="shared" si="9"/>
        <v>0.28626530293374158</v>
      </c>
      <c r="L55" s="54">
        <f t="shared" si="9"/>
        <v>345.28517939136856</v>
      </c>
      <c r="M55" s="54">
        <f t="shared" si="9"/>
        <v>20.867238242980605</v>
      </c>
      <c r="N55" s="54">
        <f t="shared" si="9"/>
        <v>1.9361563466131886</v>
      </c>
      <c r="O55" s="54">
        <f t="shared" si="9"/>
        <v>152.31475411918836</v>
      </c>
      <c r="W55"/>
    </row>
    <row r="56" spans="3:23" ht="14.55" x14ac:dyDescent="0.25">
      <c r="C56" s="30" t="s">
        <v>352</v>
      </c>
      <c r="D56" s="56">
        <f t="shared" ref="D56:O56" si="10">D57*100/D55</f>
        <v>76.290698534701562</v>
      </c>
      <c r="E56" s="56">
        <f t="shared" ref="E56:O56" si="11">E57*100/E55</f>
        <v>37.147324131370191</v>
      </c>
      <c r="F56" s="56">
        <f t="shared" si="11"/>
        <v>35.936699790666516</v>
      </c>
      <c r="G56" s="56">
        <f t="shared" si="11"/>
        <v>70.404793847382024</v>
      </c>
      <c r="H56" s="56">
        <f t="shared" si="11"/>
        <v>147.5213912525399</v>
      </c>
      <c r="I56" s="56">
        <f t="shared" si="11"/>
        <v>40.088986898321906</v>
      </c>
      <c r="J56" s="56">
        <f t="shared" si="11"/>
        <v>40.56795077904183</v>
      </c>
      <c r="K56" s="56">
        <f t="shared" si="11"/>
        <v>23.88266019444826</v>
      </c>
      <c r="L56" s="56">
        <f t="shared" si="11"/>
        <v>13.311350696504354</v>
      </c>
      <c r="M56" s="56">
        <f t="shared" si="11"/>
        <v>37.067949163169359</v>
      </c>
      <c r="N56" s="56">
        <f t="shared" si="11"/>
        <v>40.84248523769763</v>
      </c>
      <c r="O56" s="56">
        <f t="shared" si="11"/>
        <v>123.07812391051552</v>
      </c>
      <c r="W56"/>
    </row>
    <row r="57" spans="3:23" ht="14.55" x14ac:dyDescent="0.25">
      <c r="C57" s="30" t="s">
        <v>353</v>
      </c>
      <c r="D57" s="54">
        <f>STDEV(C17:C31)</f>
        <v>1.7147950778166337</v>
      </c>
      <c r="E57" s="54">
        <f t="shared" ref="E57:O57" si="12">STDEV(D17:D31)</f>
        <v>0.23826409415807601</v>
      </c>
      <c r="F57" s="54">
        <f t="shared" si="12"/>
        <v>0.57461718936792661</v>
      </c>
      <c r="G57" s="54">
        <f t="shared" si="12"/>
        <v>2.0900486564803074</v>
      </c>
      <c r="H57" s="54">
        <f t="shared" si="12"/>
        <v>263.81201011041168</v>
      </c>
      <c r="I57" s="54">
        <f t="shared" si="12"/>
        <v>8.7212535197900828E-2</v>
      </c>
      <c r="J57" s="54">
        <f t="shared" si="12"/>
        <v>11.832185108068357</v>
      </c>
      <c r="K57" s="54">
        <f t="shared" si="12"/>
        <v>6.8367769554273428E-2</v>
      </c>
      <c r="L57" s="54">
        <f t="shared" si="12"/>
        <v>45.962121131839247</v>
      </c>
      <c r="M57" s="54">
        <f t="shared" si="12"/>
        <v>7.7350572636654853</v>
      </c>
      <c r="N57" s="54">
        <f t="shared" si="12"/>
        <v>0.79077437004423723</v>
      </c>
      <c r="O57" s="54">
        <f t="shared" si="12"/>
        <v>187.4661418088117</v>
      </c>
      <c r="W57"/>
    </row>
    <row r="58" spans="3:23" ht="14.55" x14ac:dyDescent="0.25">
      <c r="C58" s="30" t="s">
        <v>354</v>
      </c>
      <c r="D58" s="31">
        <f>AVERAGEA(C32:C46)</f>
        <v>2.3608467325685414</v>
      </c>
      <c r="E58" s="31">
        <f t="shared" ref="E58:O58" si="13">AVERAGEA(D32:D46)</f>
        <v>0.65628660763194413</v>
      </c>
      <c r="F58" s="31">
        <f t="shared" si="13"/>
        <v>1.7735688714172491</v>
      </c>
      <c r="G58" s="31">
        <f t="shared" si="13"/>
        <v>4.5918669940953238</v>
      </c>
      <c r="H58" s="31">
        <f t="shared" si="13"/>
        <v>134.83804637853146</v>
      </c>
      <c r="I58" s="31">
        <f t="shared" si="13"/>
        <v>0.17299695158578166</v>
      </c>
      <c r="J58" s="31">
        <f t="shared" si="13"/>
        <v>36.36885394317504</v>
      </c>
      <c r="K58" s="31">
        <f t="shared" si="13"/>
        <v>0.25926962841153461</v>
      </c>
      <c r="L58" s="31">
        <f t="shared" si="13"/>
        <v>365.53856620315406</v>
      </c>
      <c r="M58" s="31">
        <f t="shared" si="13"/>
        <v>25.966778617793889</v>
      </c>
      <c r="N58" s="31">
        <f t="shared" si="13"/>
        <v>1.5793213288685439</v>
      </c>
      <c r="O58" s="31">
        <f t="shared" si="13"/>
        <v>137.00531881503659</v>
      </c>
      <c r="W58"/>
    </row>
    <row r="59" spans="3:23" ht="14.55" x14ac:dyDescent="0.25">
      <c r="C59" s="30" t="s">
        <v>355</v>
      </c>
      <c r="D59" s="57">
        <f t="shared" ref="D59:O59" si="14">D60*100/D58</f>
        <v>103.62194450043252</v>
      </c>
      <c r="E59" s="57">
        <f t="shared" ref="E59:O59" si="15">E60*100/E58</f>
        <v>27.582703163157166</v>
      </c>
      <c r="F59" s="57">
        <f t="shared" si="15"/>
        <v>39.026156278575861</v>
      </c>
      <c r="G59" s="57">
        <f t="shared" si="15"/>
        <v>100.81688200315193</v>
      </c>
      <c r="H59" s="57">
        <f t="shared" si="15"/>
        <v>46.756747616464828</v>
      </c>
      <c r="I59" s="57">
        <f t="shared" si="15"/>
        <v>28.111910756153552</v>
      </c>
      <c r="J59" s="57">
        <f t="shared" si="15"/>
        <v>32.135956388943868</v>
      </c>
      <c r="K59" s="57">
        <f t="shared" si="15"/>
        <v>48.285050063570097</v>
      </c>
      <c r="L59" s="57">
        <f t="shared" si="15"/>
        <v>11.403943113260876</v>
      </c>
      <c r="M59" s="57">
        <f t="shared" si="15"/>
        <v>10.453799100784028</v>
      </c>
      <c r="N59" s="57">
        <f t="shared" si="15"/>
        <v>34.384470945873083</v>
      </c>
      <c r="O59" s="57">
        <f t="shared" si="15"/>
        <v>279.66204068922542</v>
      </c>
      <c r="W59"/>
    </row>
    <row r="60" spans="3:23" ht="14.55" x14ac:dyDescent="0.25">
      <c r="C60" s="30" t="s">
        <v>356</v>
      </c>
      <c r="D60" s="31">
        <f>STDEV(C32:C46)</f>
        <v>2.4463552909624484</v>
      </c>
      <c r="E60" s="31">
        <f t="shared" ref="E60:O60" si="16">STDEV(D32:D46)</f>
        <v>0.18102158688267314</v>
      </c>
      <c r="F60" s="31">
        <f t="shared" si="16"/>
        <v>0.69215575946746988</v>
      </c>
      <c r="G60" s="31">
        <f t="shared" si="16"/>
        <v>4.6293771291787627</v>
      </c>
      <c r="H60" s="31">
        <f t="shared" si="16"/>
        <v>63.045885036181744</v>
      </c>
      <c r="I60" s="31">
        <f t="shared" si="16"/>
        <v>4.8632748640661111E-2</v>
      </c>
      <c r="J60" s="31">
        <f t="shared" si="16"/>
        <v>11.687479042337422</v>
      </c>
      <c r="K60" s="31">
        <f t="shared" si="16"/>
        <v>0.12518846987814164</v>
      </c>
      <c r="L60" s="31">
        <f t="shared" si="16"/>
        <v>41.685810146837142</v>
      </c>
      <c r="M60" s="31">
        <f t="shared" si="16"/>
        <v>2.7145148696495167</v>
      </c>
      <c r="N60" s="31">
        <f t="shared" si="16"/>
        <v>0.54304128346678116</v>
      </c>
      <c r="O60" s="31">
        <f t="shared" si="16"/>
        <v>383.15187045091068</v>
      </c>
      <c r="W60"/>
    </row>
    <row r="61" spans="3:23" x14ac:dyDescent="0.25">
      <c r="E61"/>
      <c r="F61"/>
      <c r="G61"/>
      <c r="H61"/>
      <c r="J61"/>
      <c r="K61"/>
      <c r="L61"/>
      <c r="M61"/>
      <c r="N61"/>
      <c r="W61"/>
    </row>
    <row r="62" spans="3:23" x14ac:dyDescent="0.25">
      <c r="E62"/>
      <c r="F62"/>
      <c r="G62"/>
      <c r="H62"/>
      <c r="J62"/>
      <c r="K62"/>
      <c r="L62"/>
      <c r="M62"/>
      <c r="N62"/>
      <c r="W62"/>
    </row>
    <row r="63" spans="3:23" x14ac:dyDescent="0.25">
      <c r="E63"/>
      <c r="F63"/>
      <c r="G63"/>
      <c r="H63"/>
      <c r="J63"/>
      <c r="K63"/>
      <c r="L63"/>
      <c r="M63"/>
      <c r="N63"/>
      <c r="W63"/>
    </row>
    <row r="64" spans="3:23" x14ac:dyDescent="0.25">
      <c r="E64"/>
      <c r="F64"/>
      <c r="G64"/>
      <c r="H64"/>
      <c r="J64"/>
      <c r="K64"/>
      <c r="L64"/>
      <c r="M64"/>
      <c r="N64"/>
      <c r="W64"/>
    </row>
    <row r="65" spans="3:23" x14ac:dyDescent="0.25">
      <c r="C65" s="10" t="s">
        <v>234</v>
      </c>
      <c r="D65" s="10" t="s">
        <v>320</v>
      </c>
      <c r="E65"/>
      <c r="F65"/>
      <c r="G65"/>
      <c r="H65"/>
      <c r="J65"/>
      <c r="K65"/>
      <c r="L65"/>
      <c r="M65"/>
      <c r="N65"/>
      <c r="W65"/>
    </row>
    <row r="66" spans="3:23" x14ac:dyDescent="0.25">
      <c r="C66" s="10" t="s">
        <v>235</v>
      </c>
      <c r="D66" s="10" t="s">
        <v>320</v>
      </c>
    </row>
    <row r="67" spans="3:23" x14ac:dyDescent="0.25">
      <c r="C67" s="10" t="s">
        <v>237</v>
      </c>
      <c r="D67" s="10" t="s">
        <v>321</v>
      </c>
    </row>
    <row r="68" spans="3:23" x14ac:dyDescent="0.25">
      <c r="C68" s="10" t="s">
        <v>238</v>
      </c>
      <c r="D68" s="10" t="s">
        <v>321</v>
      </c>
    </row>
    <row r="69" spans="3:23" x14ac:dyDescent="0.25">
      <c r="C69" s="10" t="s">
        <v>297</v>
      </c>
      <c r="D69" s="10" t="s">
        <v>320</v>
      </c>
    </row>
    <row r="70" spans="3:23" x14ac:dyDescent="0.25">
      <c r="C70" s="10" t="s">
        <v>298</v>
      </c>
      <c r="D70" s="10" t="s">
        <v>320</v>
      </c>
    </row>
    <row r="71" spans="3:23" x14ac:dyDescent="0.25">
      <c r="C71" s="10" t="s">
        <v>299</v>
      </c>
      <c r="D71" s="10" t="s">
        <v>320</v>
      </c>
    </row>
    <row r="72" spans="3:23" x14ac:dyDescent="0.25">
      <c r="C72" s="10" t="s">
        <v>300</v>
      </c>
      <c r="D72" s="10" t="s">
        <v>320</v>
      </c>
    </row>
    <row r="73" spans="3:23" x14ac:dyDescent="0.25">
      <c r="C73" s="10" t="s">
        <v>301</v>
      </c>
      <c r="D73" s="10" t="s">
        <v>320</v>
      </c>
    </row>
    <row r="74" spans="3:23" x14ac:dyDescent="0.25">
      <c r="C74" s="10" t="s">
        <v>302</v>
      </c>
      <c r="D74" s="10" t="s">
        <v>320</v>
      </c>
    </row>
    <row r="75" spans="3:23" x14ac:dyDescent="0.25">
      <c r="C75" s="10" t="s">
        <v>303</v>
      </c>
      <c r="D75" s="10" t="s">
        <v>320</v>
      </c>
    </row>
    <row r="76" spans="3:23" x14ac:dyDescent="0.25">
      <c r="C76" s="10" t="s">
        <v>304</v>
      </c>
      <c r="D76" s="10" t="s">
        <v>322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1E536-49BA-4B3C-ABF1-FEAE4ED414DE}">
  <dimension ref="A1:AA46"/>
  <sheetViews>
    <sheetView topLeftCell="E1" workbookViewId="0">
      <selection activeCell="W17" sqref="W17"/>
    </sheetView>
  </sheetViews>
  <sheetFormatPr defaultRowHeight="13.95" x14ac:dyDescent="0.25"/>
  <cols>
    <col min="3" max="13" width="8.88671875" style="26"/>
  </cols>
  <sheetData>
    <row r="1" spans="1:27" x14ac:dyDescent="0.25">
      <c r="A1" t="s">
        <v>376</v>
      </c>
      <c r="B1" t="s">
        <v>377</v>
      </c>
      <c r="C1" s="26" t="s">
        <v>378</v>
      </c>
      <c r="D1" s="26" t="s">
        <v>379</v>
      </c>
      <c r="E1" s="26" t="s">
        <v>380</v>
      </c>
      <c r="F1" s="26" t="s">
        <v>381</v>
      </c>
      <c r="G1" s="26" t="s">
        <v>382</v>
      </c>
      <c r="H1" s="26" t="s">
        <v>383</v>
      </c>
      <c r="I1" s="26" t="s">
        <v>384</v>
      </c>
      <c r="J1" s="26" t="s">
        <v>385</v>
      </c>
      <c r="K1" s="26" t="s">
        <v>386</v>
      </c>
      <c r="L1" s="26" t="s">
        <v>387</v>
      </c>
      <c r="M1" s="26" t="s">
        <v>388</v>
      </c>
    </row>
    <row r="2" spans="1:27" x14ac:dyDescent="0.25">
      <c r="A2">
        <v>-1.2704599999999999</v>
      </c>
      <c r="B2">
        <v>0.43541600000000003</v>
      </c>
      <c r="C2" s="26">
        <v>-5.6658E-2</v>
      </c>
      <c r="D2" s="26">
        <v>0.65862616799999996</v>
      </c>
      <c r="E2" s="26">
        <v>-1.0597460000000001</v>
      </c>
      <c r="F2" s="26">
        <v>1.3784986779999999</v>
      </c>
      <c r="G2" s="26">
        <v>-0.12718399999999999</v>
      </c>
      <c r="H2" s="26">
        <v>5.633E-3</v>
      </c>
      <c r="I2" s="26">
        <v>6.4140891000000005E-2</v>
      </c>
      <c r="J2" s="26">
        <v>0.74066929000000004</v>
      </c>
      <c r="K2" s="26">
        <v>0.11052393000000001</v>
      </c>
      <c r="L2" s="26">
        <v>-0.75455000000000005</v>
      </c>
      <c r="M2" s="26">
        <v>-0.74765932999999996</v>
      </c>
      <c r="O2" t="s">
        <v>376</v>
      </c>
      <c r="P2" s="38" t="s">
        <v>389</v>
      </c>
      <c r="Q2" s="38" t="s">
        <v>393</v>
      </c>
      <c r="R2" s="38" t="s">
        <v>394</v>
      </c>
      <c r="S2" s="38" t="s">
        <v>395</v>
      </c>
      <c r="T2" s="38" t="s">
        <v>396</v>
      </c>
      <c r="U2" s="38" t="s">
        <v>397</v>
      </c>
      <c r="V2" s="38" t="s">
        <v>398</v>
      </c>
      <c r="W2" s="38" t="s">
        <v>400</v>
      </c>
      <c r="X2" s="38" t="s">
        <v>401</v>
      </c>
      <c r="Y2" s="38" t="s">
        <v>402</v>
      </c>
      <c r="Z2" s="38" t="s">
        <v>404</v>
      </c>
      <c r="AA2" s="39"/>
    </row>
    <row r="3" spans="1:27" x14ac:dyDescent="0.25">
      <c r="A3">
        <v>-0.20749999999999999</v>
      </c>
      <c r="B3">
        <v>0.108611</v>
      </c>
      <c r="C3" s="26">
        <v>0.15001999999999999</v>
      </c>
      <c r="D3" s="26">
        <v>-0.53943090699999996</v>
      </c>
      <c r="E3" s="26">
        <v>-0.32039699999999999</v>
      </c>
      <c r="F3" s="26">
        <v>1.3391628449999999</v>
      </c>
      <c r="G3" s="26">
        <v>-0.64270499999999997</v>
      </c>
      <c r="H3" s="26">
        <v>0.236378</v>
      </c>
      <c r="I3" s="26">
        <v>0.62183880599999997</v>
      </c>
      <c r="J3" s="26">
        <v>0.90482333999999998</v>
      </c>
      <c r="K3" s="26">
        <v>4.85079E-2</v>
      </c>
      <c r="L3" s="26">
        <v>-1.0038899999999999</v>
      </c>
      <c r="M3" s="26">
        <v>-1.9360824999999999</v>
      </c>
      <c r="O3" t="s">
        <v>391</v>
      </c>
      <c r="P3" s="40" t="s">
        <v>390</v>
      </c>
      <c r="Q3" s="42">
        <v>0.21927527382196799</v>
      </c>
      <c r="R3" s="42">
        <v>0.17690361206845776</v>
      </c>
      <c r="S3" s="42">
        <v>0.25575288011556602</v>
      </c>
      <c r="T3" s="42">
        <v>0.14630415340297501</v>
      </c>
      <c r="U3" s="42">
        <v>0.10993637422444</v>
      </c>
      <c r="V3" s="40" t="s">
        <v>399</v>
      </c>
      <c r="W3" s="40" t="s">
        <v>407</v>
      </c>
      <c r="X3" s="42">
        <v>0.106473887612673</v>
      </c>
      <c r="Y3" s="40" t="s">
        <v>403</v>
      </c>
      <c r="Z3" s="42">
        <v>0.193764506282807</v>
      </c>
      <c r="AA3" s="39"/>
    </row>
    <row r="4" spans="1:27" x14ac:dyDescent="0.25">
      <c r="A4">
        <v>1.09013</v>
      </c>
      <c r="B4">
        <v>0.526061</v>
      </c>
      <c r="C4" s="26">
        <v>0.68478300000000003</v>
      </c>
      <c r="D4" s="26">
        <v>-0.79282286199999996</v>
      </c>
      <c r="E4" s="26">
        <v>0.41208499999999998</v>
      </c>
      <c r="F4" s="26">
        <v>1.4130960509999999</v>
      </c>
      <c r="G4" s="26">
        <v>-0.60599400000000003</v>
      </c>
      <c r="H4" s="26">
        <v>-9.1199999999999996E-3</v>
      </c>
      <c r="I4" s="26">
        <v>7.7660845000000006E-2</v>
      </c>
      <c r="J4" s="26">
        <v>1.2929949000000001</v>
      </c>
      <c r="K4" s="26">
        <v>-5.5131060000000003E-2</v>
      </c>
      <c r="L4" s="26">
        <v>-0.53924000000000005</v>
      </c>
      <c r="M4" s="26">
        <v>-1.8541222900000001</v>
      </c>
      <c r="O4" t="s">
        <v>392</v>
      </c>
      <c r="P4" s="41">
        <v>1.2563855451564705E-2</v>
      </c>
      <c r="Q4" s="41">
        <v>0.14783234451960159</v>
      </c>
      <c r="R4" s="41">
        <v>0.24502922109056902</v>
      </c>
      <c r="S4" s="41">
        <v>8.9943702601807077E-2</v>
      </c>
      <c r="T4" s="41">
        <v>0.33756192032190246</v>
      </c>
      <c r="U4" s="41">
        <v>0.47219857991800307</v>
      </c>
      <c r="V4" s="41">
        <v>3.2256430102717795E-2</v>
      </c>
      <c r="W4" s="41">
        <v>2.1913614119325249E-2</v>
      </c>
      <c r="X4" s="41">
        <v>0.48634602089977119</v>
      </c>
      <c r="Y4" s="41">
        <v>2.9644166197548131E-3</v>
      </c>
      <c r="Z4" s="41">
        <v>0.20218115190162486</v>
      </c>
      <c r="AA4" s="39"/>
    </row>
    <row r="5" spans="1:27" x14ac:dyDescent="0.25">
      <c r="A5">
        <v>-0.37028</v>
      </c>
      <c r="B5">
        <v>-0.13151599999999999</v>
      </c>
      <c r="C5" s="26">
        <v>0.37351499999999999</v>
      </c>
      <c r="D5" s="26">
        <v>-0.15238612900000001</v>
      </c>
      <c r="E5" s="26">
        <v>0.57416699999999998</v>
      </c>
      <c r="F5" s="26">
        <v>1.0957941499999999</v>
      </c>
      <c r="G5" s="26">
        <v>-0.28557700000000003</v>
      </c>
      <c r="H5" s="26">
        <v>0.83442899999999998</v>
      </c>
      <c r="I5" s="26">
        <v>0.36495976899999999</v>
      </c>
      <c r="J5" s="26">
        <v>0.50749511999999997</v>
      </c>
      <c r="K5" s="26">
        <v>6.2511499999999998E-2</v>
      </c>
      <c r="L5" s="26">
        <v>-0.32934999999999998</v>
      </c>
      <c r="M5" s="26">
        <v>-1.2394206400000001</v>
      </c>
    </row>
    <row r="6" spans="1:27" x14ac:dyDescent="0.25">
      <c r="A6">
        <v>-0.23311000000000001</v>
      </c>
      <c r="B6">
        <v>0.173399</v>
      </c>
      <c r="C6" s="26">
        <v>-0.416292</v>
      </c>
      <c r="D6" s="26">
        <v>-0.171484624</v>
      </c>
      <c r="E6" s="26">
        <v>0.546157</v>
      </c>
      <c r="F6" s="26">
        <v>1.2030488340000001</v>
      </c>
      <c r="G6" s="26">
        <v>-0.49489699999999998</v>
      </c>
      <c r="H6" s="26">
        <v>2.3677929999999998</v>
      </c>
      <c r="I6" s="26">
        <v>0.422419551</v>
      </c>
      <c r="J6" s="26">
        <v>0.70338809999999996</v>
      </c>
      <c r="K6" s="26">
        <v>0.48023997000000002</v>
      </c>
      <c r="L6" s="26">
        <v>-0.33123000000000002</v>
      </c>
      <c r="M6" s="26">
        <v>-1.15746042</v>
      </c>
      <c r="O6" t="s">
        <v>408</v>
      </c>
      <c r="P6" s="38" t="s">
        <v>389</v>
      </c>
      <c r="Q6" s="38" t="s">
        <v>393</v>
      </c>
      <c r="R6" s="38" t="s">
        <v>394</v>
      </c>
      <c r="S6" s="38" t="s">
        <v>395</v>
      </c>
      <c r="T6" s="38" t="s">
        <v>396</v>
      </c>
      <c r="U6" s="38" t="s">
        <v>397</v>
      </c>
      <c r="V6" s="38" t="s">
        <v>398</v>
      </c>
      <c r="W6" s="38" t="s">
        <v>400</v>
      </c>
      <c r="X6" s="38" t="s">
        <v>401</v>
      </c>
      <c r="Y6" s="38" t="s">
        <v>402</v>
      </c>
      <c r="Z6" s="38" t="s">
        <v>404</v>
      </c>
    </row>
    <row r="7" spans="1:27" x14ac:dyDescent="0.25">
      <c r="A7">
        <v>0.19474</v>
      </c>
      <c r="B7">
        <v>-0.32792700000000002</v>
      </c>
      <c r="C7" s="26">
        <v>-0.27399800000000002</v>
      </c>
      <c r="D7" s="26">
        <v>2.2330480000000001E-3</v>
      </c>
      <c r="E7" s="26">
        <v>-0.61783500000000002</v>
      </c>
      <c r="F7" s="26">
        <v>1.3391628449999999</v>
      </c>
      <c r="G7" s="26">
        <v>-0.35205399999999998</v>
      </c>
      <c r="H7" s="26">
        <v>0.52934300000000001</v>
      </c>
      <c r="I7" s="26">
        <v>-0.66593637800000005</v>
      </c>
      <c r="J7" s="26">
        <v>1.0452865499999999</v>
      </c>
      <c r="K7" s="26">
        <v>0.48301369</v>
      </c>
      <c r="L7" s="26">
        <v>-0.60199999999999998</v>
      </c>
      <c r="M7" s="26">
        <v>-2.18196316</v>
      </c>
      <c r="O7" t="s">
        <v>391</v>
      </c>
      <c r="P7" s="45">
        <v>1.30405829112208E-2</v>
      </c>
      <c r="Q7" s="45">
        <v>0.22857326859704374</v>
      </c>
      <c r="R7" s="45">
        <v>0.15567397035452499</v>
      </c>
      <c r="S7" s="46" t="s">
        <v>405</v>
      </c>
      <c r="T7" s="45">
        <v>0.19003137999905501</v>
      </c>
      <c r="U7" s="45">
        <v>0.27877657813937751</v>
      </c>
      <c r="V7" s="45">
        <v>0.17680189247837294</v>
      </c>
      <c r="W7" s="45">
        <v>0.17095405805872799</v>
      </c>
      <c r="X7" s="46" t="s">
        <v>406</v>
      </c>
      <c r="Y7" s="45">
        <v>0.19697522397437101</v>
      </c>
      <c r="Z7" s="43">
        <v>2.8719604949234701E-2</v>
      </c>
      <c r="AA7" s="39"/>
    </row>
    <row r="8" spans="1:27" x14ac:dyDescent="0.25">
      <c r="A8">
        <v>-0.22306999999999999</v>
      </c>
      <c r="B8">
        <v>0.20822399999999999</v>
      </c>
      <c r="C8" s="26">
        <v>0.31759599999999999</v>
      </c>
      <c r="D8" s="26">
        <v>0.67754104699999995</v>
      </c>
      <c r="E8" s="26">
        <v>0.70989000000000002</v>
      </c>
      <c r="F8" s="26">
        <v>0.95503997200000001</v>
      </c>
      <c r="G8" s="26">
        <v>0.46070699999999998</v>
      </c>
      <c r="H8" s="26">
        <v>0.63331800000000005</v>
      </c>
      <c r="I8" s="26">
        <v>1.7406146220000001</v>
      </c>
      <c r="J8" s="26">
        <v>0.73715598999999998</v>
      </c>
      <c r="K8" s="26">
        <v>0.43608941000000001</v>
      </c>
      <c r="L8" s="26">
        <v>-0.21598000000000001</v>
      </c>
      <c r="M8" s="26">
        <v>-0.29687813000000002</v>
      </c>
      <c r="O8" t="s">
        <v>392</v>
      </c>
      <c r="P8" s="47">
        <v>0.93224488475254152</v>
      </c>
      <c r="Q8" s="47">
        <v>0.13098185129092663</v>
      </c>
      <c r="R8" s="47">
        <v>0.3071841061378196</v>
      </c>
      <c r="S8" s="47">
        <v>3.5496224034031686E-3</v>
      </c>
      <c r="T8" s="47">
        <v>0.21117997662033616</v>
      </c>
      <c r="U8" s="47">
        <v>6.3679375345846084E-2</v>
      </c>
      <c r="V8" s="47">
        <v>0.24530505467081812</v>
      </c>
      <c r="W8" s="47">
        <v>0.26151669431200658</v>
      </c>
      <c r="X8" s="47">
        <v>1.9883154549991844E-2</v>
      </c>
      <c r="Y8" s="47">
        <v>0.19466012294440113</v>
      </c>
      <c r="Z8" s="44">
        <v>0.85144573229447562</v>
      </c>
      <c r="AA8" s="39"/>
    </row>
    <row r="9" spans="1:27" x14ac:dyDescent="0.25">
      <c r="A9">
        <v>-0.64639000000000002</v>
      </c>
      <c r="B9">
        <v>0.50376100000000001</v>
      </c>
      <c r="C9" s="26">
        <v>0.24346000000000001</v>
      </c>
      <c r="D9" s="26">
        <v>-0.51560874899999998</v>
      </c>
      <c r="E9" s="26">
        <v>0.17453399999999999</v>
      </c>
      <c r="F9" s="26">
        <v>1.2700076709999999</v>
      </c>
      <c r="G9" s="26">
        <v>-0.65602099999999997</v>
      </c>
      <c r="H9" s="26">
        <v>0.16242999999999999</v>
      </c>
      <c r="I9" s="26">
        <v>0.66577864099999995</v>
      </c>
      <c r="J9" s="26">
        <v>1.0493494999999999</v>
      </c>
      <c r="K9" s="26">
        <v>0.56245836999999999</v>
      </c>
      <c r="L9" s="26">
        <v>-0.52037999999999995</v>
      </c>
      <c r="M9" s="26">
        <v>0.39978373</v>
      </c>
    </row>
    <row r="10" spans="1:27" x14ac:dyDescent="0.25">
      <c r="A10">
        <v>-0.47916999999999998</v>
      </c>
      <c r="B10">
        <v>6.3470000000000002E-3</v>
      </c>
      <c r="C10" s="26">
        <v>9.4163999999999998E-2</v>
      </c>
      <c r="D10" s="26">
        <v>-0.32381297399999998</v>
      </c>
      <c r="E10" s="26">
        <v>-0.11661000000000001</v>
      </c>
      <c r="F10" s="26">
        <v>1.2376882090000001</v>
      </c>
      <c r="G10" s="26">
        <v>-0.49157000000000001</v>
      </c>
      <c r="H10" s="26">
        <v>-2.2044000000000001E-2</v>
      </c>
      <c r="I10" s="26">
        <v>0.69281854300000001</v>
      </c>
      <c r="J10" s="26">
        <v>1.15266391</v>
      </c>
      <c r="K10" s="26">
        <v>0.49144239000000001</v>
      </c>
      <c r="L10" s="26">
        <v>-0.75788</v>
      </c>
      <c r="M10" s="26">
        <v>1.0964456</v>
      </c>
    </row>
    <row r="11" spans="1:27" x14ac:dyDescent="0.25">
      <c r="A11">
        <v>-1.9829600000000001</v>
      </c>
      <c r="B11">
        <v>1.087008</v>
      </c>
      <c r="C11" s="26">
        <v>-0.376164</v>
      </c>
      <c r="D11" s="26">
        <v>0.58878591199999997</v>
      </c>
      <c r="E11" s="26">
        <v>5.6645000000000001E-2</v>
      </c>
      <c r="F11" s="26">
        <v>1.026472507</v>
      </c>
      <c r="G11" s="26">
        <v>0.60014599999999996</v>
      </c>
      <c r="H11" s="26">
        <v>0.70745000000000002</v>
      </c>
      <c r="I11" s="26">
        <v>-0.65917639800000005</v>
      </c>
      <c r="J11" s="26">
        <v>0.73669072000000002</v>
      </c>
      <c r="K11" s="26">
        <v>0.38530892</v>
      </c>
      <c r="L11" s="26">
        <v>-0.69028</v>
      </c>
      <c r="M11" s="26">
        <v>0.64566438999999998</v>
      </c>
      <c r="O11" s="26">
        <v>1</v>
      </c>
      <c r="P11" s="26" t="s">
        <v>387</v>
      </c>
      <c r="Q11" s="40">
        <v>0.433</v>
      </c>
      <c r="S11" s="26" t="s">
        <v>381</v>
      </c>
      <c r="T11" s="46">
        <v>0.42599999999999999</v>
      </c>
    </row>
    <row r="12" spans="1:27" x14ac:dyDescent="0.25">
      <c r="A12">
        <v>-1.0775999999999999</v>
      </c>
      <c r="B12">
        <v>0.13965900000000001</v>
      </c>
      <c r="C12" s="26">
        <v>-1.0779639999999999</v>
      </c>
      <c r="D12" s="26">
        <v>1.72093848</v>
      </c>
      <c r="E12" s="26">
        <v>-0.97923499999999997</v>
      </c>
      <c r="F12" s="26">
        <v>1.5168052219999999</v>
      </c>
      <c r="G12" s="26">
        <v>1.4887440000000001</v>
      </c>
      <c r="H12" s="26">
        <v>0.208708</v>
      </c>
      <c r="I12" s="26">
        <v>-3.5659655250000002</v>
      </c>
      <c r="J12" s="26">
        <v>1.4028978999999999</v>
      </c>
      <c r="K12" s="26">
        <v>0.16428680000000001</v>
      </c>
      <c r="L12" s="26">
        <v>-0.86656</v>
      </c>
      <c r="M12" s="26">
        <v>2.3668289900000001</v>
      </c>
      <c r="O12" s="26">
        <v>2</v>
      </c>
      <c r="P12" s="26" t="s">
        <v>378</v>
      </c>
      <c r="Q12" s="40">
        <v>0.36899999999999999</v>
      </c>
      <c r="S12" s="26" t="s">
        <v>386</v>
      </c>
      <c r="T12" s="46">
        <v>0.34599999999999997</v>
      </c>
    </row>
    <row r="13" spans="1:27" x14ac:dyDescent="0.25">
      <c r="A13">
        <v>-0.49904999999999999</v>
      </c>
      <c r="B13">
        <v>0.115271</v>
      </c>
      <c r="C13" s="26">
        <v>-1.1630450000000001</v>
      </c>
      <c r="D13" s="26">
        <v>4.9589817390000004</v>
      </c>
      <c r="E13" s="26">
        <v>-0.38758199999999998</v>
      </c>
      <c r="F13" s="26">
        <v>0.42639624700000001</v>
      </c>
      <c r="G13" s="26">
        <v>0.72145999999999999</v>
      </c>
      <c r="H13" s="26">
        <v>0.12662000000000001</v>
      </c>
      <c r="I13" s="26">
        <v>-2.8933480450000002</v>
      </c>
      <c r="J13" s="26">
        <v>0.25222676999999999</v>
      </c>
      <c r="K13" s="26">
        <v>5.1221290000000003E-2</v>
      </c>
      <c r="L13" s="26">
        <v>-0.21618999999999999</v>
      </c>
      <c r="M13" s="26">
        <v>1.5472268</v>
      </c>
      <c r="O13" s="26">
        <v>1</v>
      </c>
      <c r="P13" s="26" t="s">
        <v>385</v>
      </c>
      <c r="Q13" s="40">
        <v>0.34100000000000003</v>
      </c>
      <c r="S13" s="26" t="s">
        <v>383</v>
      </c>
      <c r="T13" s="45">
        <v>0.27877657813937751</v>
      </c>
    </row>
    <row r="14" spans="1:27" x14ac:dyDescent="0.25">
      <c r="A14">
        <v>0.29726000000000002</v>
      </c>
      <c r="B14">
        <v>0.83072199999999996</v>
      </c>
      <c r="C14" s="26">
        <v>0.388096</v>
      </c>
      <c r="D14" s="26">
        <v>-0.41215926400000003</v>
      </c>
      <c r="E14" s="26">
        <v>-0.32228600000000002</v>
      </c>
      <c r="F14" s="26">
        <v>1.0579355479999999</v>
      </c>
      <c r="G14" s="26">
        <v>-0.77574799999999999</v>
      </c>
      <c r="H14" s="26">
        <v>-0.102868</v>
      </c>
      <c r="I14" s="26">
        <v>0.31425996</v>
      </c>
      <c r="J14" s="26">
        <v>1.17084075</v>
      </c>
      <c r="K14" s="26">
        <v>0.41836527000000001</v>
      </c>
      <c r="L14" s="26">
        <v>-0.37308000000000002</v>
      </c>
      <c r="M14" s="26">
        <v>-0.50177866999999998</v>
      </c>
      <c r="O14" s="26">
        <v>2</v>
      </c>
      <c r="P14" s="26" t="s">
        <v>384</v>
      </c>
      <c r="Q14" s="48">
        <v>0.32</v>
      </c>
      <c r="S14" s="26" t="s">
        <v>379</v>
      </c>
      <c r="T14" s="45">
        <v>0.22857326859704374</v>
      </c>
    </row>
    <row r="15" spans="1:27" x14ac:dyDescent="0.25">
      <c r="A15">
        <v>0.86402999999999996</v>
      </c>
      <c r="B15">
        <v>-4.3969000000000001E-2</v>
      </c>
      <c r="C15" s="26">
        <v>-5.4054999999999999E-2</v>
      </c>
      <c r="D15" s="26">
        <v>-0.842762966</v>
      </c>
      <c r="E15" s="26">
        <v>-1.7161630000000001</v>
      </c>
      <c r="F15" s="26">
        <v>1.0968777409999999</v>
      </c>
      <c r="G15" s="26">
        <v>-0.66858899999999999</v>
      </c>
      <c r="H15" s="26">
        <v>0.80231799999999998</v>
      </c>
      <c r="I15" s="26">
        <v>-0.213018069</v>
      </c>
      <c r="J15" s="26">
        <v>1.1727373000000001</v>
      </c>
      <c r="K15" s="26">
        <v>1.0414232400000001</v>
      </c>
      <c r="L15" s="26">
        <v>-0.48830000000000001</v>
      </c>
      <c r="M15" s="26">
        <v>-1.1984405300000001</v>
      </c>
      <c r="O15" s="26">
        <v>1</v>
      </c>
      <c r="P15" s="26" t="s">
        <v>381</v>
      </c>
      <c r="Q15" s="42">
        <v>0.25575288011556602</v>
      </c>
      <c r="S15" s="26" t="s">
        <v>387</v>
      </c>
      <c r="T15" s="45">
        <v>0.19697522397437101</v>
      </c>
    </row>
    <row r="16" spans="1:27" x14ac:dyDescent="0.25">
      <c r="A16">
        <v>0.46753</v>
      </c>
      <c r="B16">
        <v>0.36816100000000002</v>
      </c>
      <c r="C16" s="26">
        <v>8.0804000000000001E-2</v>
      </c>
      <c r="D16" s="26">
        <v>-0.92607791100000003</v>
      </c>
      <c r="E16" s="26">
        <v>-0.60307200000000005</v>
      </c>
      <c r="F16" s="26">
        <v>0.92035794100000001</v>
      </c>
      <c r="G16" s="26">
        <v>-0.76070199999999999</v>
      </c>
      <c r="H16" s="26">
        <v>0.33555000000000001</v>
      </c>
      <c r="I16" s="26">
        <v>-0.46313713299999998</v>
      </c>
      <c r="J16" s="26">
        <v>0.92125206000000004</v>
      </c>
      <c r="K16" s="26">
        <v>0.47277488000000001</v>
      </c>
      <c r="L16" s="26">
        <v>-0.62065999999999999</v>
      </c>
      <c r="M16" s="26">
        <v>-0.33785823999999998</v>
      </c>
      <c r="O16" s="26">
        <v>2</v>
      </c>
      <c r="P16" s="26" t="s">
        <v>379</v>
      </c>
      <c r="Q16" s="42">
        <v>0.21927527382196799</v>
      </c>
      <c r="S16" s="26" t="s">
        <v>382</v>
      </c>
      <c r="T16" s="45">
        <v>0.19003137999905501</v>
      </c>
    </row>
    <row r="17" spans="1:20" x14ac:dyDescent="0.25">
      <c r="A17">
        <v>0.55972999999999995</v>
      </c>
      <c r="B17">
        <v>1.178742</v>
      </c>
      <c r="C17" s="26">
        <v>-0.25004599999999999</v>
      </c>
      <c r="D17" s="26">
        <v>1.770951878</v>
      </c>
      <c r="E17" s="26">
        <v>-0.55634899999999998</v>
      </c>
      <c r="F17" s="26">
        <v>0.46198545800000002</v>
      </c>
      <c r="G17" s="26">
        <v>6.5696000000000004E-2</v>
      </c>
      <c r="H17" s="26">
        <v>1.258489</v>
      </c>
      <c r="I17" s="26">
        <v>1.47359562</v>
      </c>
      <c r="J17" s="26">
        <v>-0.12493638999999999</v>
      </c>
      <c r="K17" s="26">
        <v>1.63336397</v>
      </c>
      <c r="L17" s="26">
        <v>0.95286999999999999</v>
      </c>
      <c r="M17" s="26">
        <v>-5.0997470000000003E-2</v>
      </c>
      <c r="O17" s="26">
        <v>1</v>
      </c>
      <c r="P17" s="26" t="s">
        <v>388</v>
      </c>
      <c r="Q17" s="42">
        <v>0.193764506282807</v>
      </c>
      <c r="S17" s="26" t="s">
        <v>384</v>
      </c>
      <c r="T17" s="45">
        <v>0.17680189247837294</v>
      </c>
    </row>
    <row r="18" spans="1:20" x14ac:dyDescent="0.25">
      <c r="A18">
        <v>0.52866000000000002</v>
      </c>
      <c r="B18">
        <v>0.59952700000000003</v>
      </c>
      <c r="C18" s="26">
        <v>6.6085000000000005E-2</v>
      </c>
      <c r="D18" s="26">
        <v>1.110154614</v>
      </c>
      <c r="E18" s="26">
        <v>-0.38024200000000002</v>
      </c>
      <c r="F18" s="26">
        <v>0.53020626599999998</v>
      </c>
      <c r="G18" s="26">
        <v>3.2745999999999997E-2</v>
      </c>
      <c r="H18" s="26">
        <v>7.1508000000000002E-2</v>
      </c>
      <c r="I18" s="26">
        <v>0.59817889400000002</v>
      </c>
      <c r="J18" s="26">
        <v>-3.1404000000000001E-2</v>
      </c>
      <c r="K18" s="26">
        <v>1.35291261</v>
      </c>
      <c r="L18" s="26">
        <v>-4.4830000000000002E-2</v>
      </c>
      <c r="M18" s="26">
        <v>-1.73118196</v>
      </c>
      <c r="O18" s="26">
        <v>1</v>
      </c>
      <c r="P18" s="26" t="s">
        <v>380</v>
      </c>
      <c r="Q18" s="42">
        <v>0.17690361206845776</v>
      </c>
      <c r="S18" s="26" t="s">
        <v>385</v>
      </c>
      <c r="T18" s="45">
        <v>0.17095405805872799</v>
      </c>
    </row>
    <row r="19" spans="1:20" x14ac:dyDescent="0.25">
      <c r="A19">
        <v>-0.89329999999999998</v>
      </c>
      <c r="B19">
        <v>0.218916</v>
      </c>
      <c r="C19" s="26">
        <v>-0.43397400000000003</v>
      </c>
      <c r="D19" s="26">
        <v>1.1000632939999999</v>
      </c>
      <c r="E19" s="26">
        <v>-0.46560299999999999</v>
      </c>
      <c r="F19" s="26">
        <v>7.4651416999999998E-2</v>
      </c>
      <c r="G19" s="26">
        <v>-1.1892E-2</v>
      </c>
      <c r="H19" s="26">
        <v>-0.186504</v>
      </c>
      <c r="I19" s="26">
        <v>1.064617151</v>
      </c>
      <c r="J19" s="26">
        <v>-0.20807792999999999</v>
      </c>
      <c r="K19" s="26">
        <v>1.72929914</v>
      </c>
      <c r="L19" s="26">
        <v>0.40538000000000002</v>
      </c>
      <c r="M19" s="26">
        <v>-1.11648032</v>
      </c>
      <c r="O19" s="26">
        <v>2</v>
      </c>
      <c r="P19" s="26" t="s">
        <v>382</v>
      </c>
      <c r="Q19" s="42">
        <v>0.14630415340297501</v>
      </c>
      <c r="S19" s="26" t="s">
        <v>380</v>
      </c>
      <c r="T19" s="45">
        <v>0.15567397035452499</v>
      </c>
    </row>
    <row r="20" spans="1:20" x14ac:dyDescent="0.25">
      <c r="A20">
        <v>0.74870999999999999</v>
      </c>
      <c r="B20">
        <v>1.031323</v>
      </c>
      <c r="C20" s="26">
        <v>0.32946999999999999</v>
      </c>
      <c r="D20" s="26">
        <v>-0.12454614899999999</v>
      </c>
      <c r="E20" s="26">
        <v>0.168714</v>
      </c>
      <c r="F20" s="26">
        <v>-0.207306453</v>
      </c>
      <c r="G20" s="26">
        <v>-0.40058700000000003</v>
      </c>
      <c r="H20" s="26">
        <v>0.11537699999999999</v>
      </c>
      <c r="I20" s="26">
        <v>1.240376495</v>
      </c>
      <c r="J20" s="26">
        <v>-0.54933491999999995</v>
      </c>
      <c r="K20" s="26">
        <v>0.84265124999999996</v>
      </c>
      <c r="L20" s="26">
        <v>0.39189000000000002</v>
      </c>
      <c r="M20" s="26">
        <v>-0.62471900000000002</v>
      </c>
      <c r="O20" s="26">
        <v>1</v>
      </c>
      <c r="P20" s="26" t="s">
        <v>383</v>
      </c>
      <c r="Q20" s="42">
        <v>0.10993637422444</v>
      </c>
      <c r="S20" s="26" t="s">
        <v>388</v>
      </c>
      <c r="T20" s="45">
        <v>2.8719604949234701E-2</v>
      </c>
    </row>
    <row r="21" spans="1:20" x14ac:dyDescent="0.25">
      <c r="A21">
        <v>0.12926000000000001</v>
      </c>
      <c r="B21">
        <v>0.57331900000000002</v>
      </c>
      <c r="C21" s="26">
        <v>-0.22972899999999999</v>
      </c>
      <c r="D21" s="26">
        <v>-0.38012929600000001</v>
      </c>
      <c r="E21" s="26">
        <v>-7.5984999999999997E-2</v>
      </c>
      <c r="F21" s="26">
        <v>0.63924371899999999</v>
      </c>
      <c r="G21" s="26">
        <v>-0.16036600000000001</v>
      </c>
      <c r="H21" s="26">
        <v>-0.103962</v>
      </c>
      <c r="I21" s="26">
        <v>1.67977485</v>
      </c>
      <c r="J21" s="26">
        <v>2.772107E-2</v>
      </c>
      <c r="K21" s="26">
        <v>0.44629658999999999</v>
      </c>
      <c r="L21" s="26">
        <v>0.27623999999999999</v>
      </c>
      <c r="M21" s="26">
        <v>0.60468427999999996</v>
      </c>
      <c r="O21" s="26">
        <v>1</v>
      </c>
      <c r="P21" s="26" t="s">
        <v>386</v>
      </c>
      <c r="Q21" s="42">
        <v>0.106473887612673</v>
      </c>
      <c r="S21" s="26" t="s">
        <v>378</v>
      </c>
      <c r="T21" s="43">
        <v>1.30405829112208E-2</v>
      </c>
    </row>
    <row r="22" spans="1:20" x14ac:dyDescent="0.25">
      <c r="A22">
        <v>-0.62053000000000003</v>
      </c>
      <c r="B22">
        <v>0.118834</v>
      </c>
      <c r="C22" s="26">
        <v>-0.34465200000000001</v>
      </c>
      <c r="D22" s="26">
        <v>-4.5159316999999997E-2</v>
      </c>
      <c r="E22" s="26">
        <v>-1.323E-3</v>
      </c>
      <c r="F22" s="26">
        <v>0.299253463</v>
      </c>
      <c r="G22" s="26">
        <v>-2.4929E-2</v>
      </c>
      <c r="H22" s="26">
        <v>-0.48592000000000002</v>
      </c>
      <c r="I22" s="26">
        <v>-0.97689521400000001</v>
      </c>
      <c r="J22" s="26">
        <v>4.1390330000000003E-2</v>
      </c>
      <c r="K22" s="26">
        <v>1.4338761099999999</v>
      </c>
      <c r="L22" s="26">
        <v>-0.52334000000000003</v>
      </c>
      <c r="M22" s="26">
        <v>0.72762461</v>
      </c>
    </row>
    <row r="23" spans="1:20" x14ac:dyDescent="0.25">
      <c r="A23">
        <v>-0.60221999999999998</v>
      </c>
      <c r="B23">
        <v>-0.14636099999999999</v>
      </c>
      <c r="C23" s="26">
        <v>0.33454299999999998</v>
      </c>
      <c r="D23" s="26">
        <v>-0.27786282600000001</v>
      </c>
      <c r="E23" s="26">
        <v>-1.060163</v>
      </c>
      <c r="F23" s="26">
        <v>3.9792330000000004E-3</v>
      </c>
      <c r="G23" s="26">
        <v>-0.48612100000000003</v>
      </c>
      <c r="H23" s="26">
        <v>-0.41263300000000003</v>
      </c>
      <c r="I23" s="26">
        <v>0.54409909599999995</v>
      </c>
      <c r="J23" s="26">
        <v>-0.18159876999999999</v>
      </c>
      <c r="K23" s="26">
        <v>1.2475823399999999</v>
      </c>
      <c r="L23" s="26">
        <v>-1.17116</v>
      </c>
      <c r="M23" s="26">
        <v>-0.1739378</v>
      </c>
    </row>
    <row r="24" spans="1:20" x14ac:dyDescent="0.25">
      <c r="A24">
        <v>-8.4599999999999995E-2</v>
      </c>
      <c r="B24">
        <v>0.313855</v>
      </c>
      <c r="C24" s="26">
        <v>-0.40045700000000001</v>
      </c>
      <c r="D24" s="26">
        <v>-0.19553659000000001</v>
      </c>
      <c r="E24" s="26">
        <v>0.19164600000000001</v>
      </c>
      <c r="F24" s="26">
        <v>-0.76827517899999997</v>
      </c>
      <c r="G24" s="26">
        <v>-0.31898399999999999</v>
      </c>
      <c r="H24" s="26">
        <v>-0.422485</v>
      </c>
      <c r="I24" s="26">
        <v>-0.26709786699999999</v>
      </c>
      <c r="J24" s="26">
        <v>-0.71269011000000004</v>
      </c>
      <c r="K24" s="26">
        <v>0.59491589</v>
      </c>
      <c r="L24" s="26">
        <v>0.32769999999999999</v>
      </c>
      <c r="M24" s="26">
        <v>0.2358633</v>
      </c>
    </row>
    <row r="25" spans="1:20" x14ac:dyDescent="0.25">
      <c r="A25">
        <v>-3.0880000000000001E-2</v>
      </c>
      <c r="B25">
        <v>-1.4693560000000001</v>
      </c>
      <c r="C25" s="26">
        <v>-0.393619</v>
      </c>
      <c r="D25" s="26">
        <v>-9.7780387999999996E-2</v>
      </c>
      <c r="E25" s="26">
        <v>0.32628800000000002</v>
      </c>
      <c r="F25" s="26">
        <v>-0.25365429699999997</v>
      </c>
      <c r="G25" s="26">
        <v>0.109753</v>
      </c>
      <c r="H25" s="26">
        <v>0.113747</v>
      </c>
      <c r="I25" s="26">
        <v>-0.40635334699999998</v>
      </c>
      <c r="J25" s="26">
        <v>-0.43686244000000002</v>
      </c>
      <c r="K25" s="26">
        <v>0.52976084000000001</v>
      </c>
      <c r="L25" s="26">
        <v>0.16469</v>
      </c>
      <c r="M25" s="26">
        <v>-1.77216207</v>
      </c>
    </row>
    <row r="26" spans="1:20" x14ac:dyDescent="0.25">
      <c r="A26">
        <v>0.12184</v>
      </c>
      <c r="B26">
        <v>-0.15070500000000001</v>
      </c>
      <c r="C26" s="26">
        <v>0.28274300000000002</v>
      </c>
      <c r="D26" s="26">
        <v>-0.66167120499999998</v>
      </c>
      <c r="E26" s="26">
        <v>-0.61219999999999997</v>
      </c>
      <c r="F26" s="26">
        <v>0.37402144199999998</v>
      </c>
      <c r="G26" s="26">
        <v>-0.30661500000000003</v>
      </c>
      <c r="H26" s="26">
        <v>-0.27219900000000002</v>
      </c>
      <c r="I26" s="26">
        <v>0.48325932399999999</v>
      </c>
      <c r="J26" s="26">
        <v>-1.0591784</v>
      </c>
      <c r="K26" s="26">
        <v>0.10935391</v>
      </c>
      <c r="L26" s="26">
        <v>0.22824</v>
      </c>
      <c r="M26" s="26">
        <v>0.2358633</v>
      </c>
    </row>
    <row r="27" spans="1:20" x14ac:dyDescent="0.25">
      <c r="A27">
        <v>0.10713</v>
      </c>
      <c r="B27">
        <v>-2.8993999999999999E-2</v>
      </c>
      <c r="C27" s="26">
        <v>-0.58404800000000001</v>
      </c>
      <c r="D27" s="26">
        <v>-0.213473829</v>
      </c>
      <c r="E27" s="26">
        <v>0.37446099999999999</v>
      </c>
      <c r="F27" s="26">
        <v>0.41042670799999997</v>
      </c>
      <c r="G27" s="26">
        <v>1.6201E-2</v>
      </c>
      <c r="H27" s="26">
        <v>-6.4715999999999996E-2</v>
      </c>
      <c r="I27" s="26">
        <v>-9.1338524000000004E-2</v>
      </c>
      <c r="J27" s="26">
        <v>-0.80796634000000001</v>
      </c>
      <c r="K27" s="26">
        <v>0.23611375000000001</v>
      </c>
      <c r="L27" s="26">
        <v>0.34443000000000001</v>
      </c>
      <c r="M27" s="26">
        <v>-0.33785823999999998</v>
      </c>
    </row>
    <row r="28" spans="1:20" x14ac:dyDescent="0.25">
      <c r="A28">
        <v>0.46145999999999998</v>
      </c>
      <c r="B28">
        <v>0.54154500000000005</v>
      </c>
      <c r="C28" s="26">
        <v>0.16289999999999999</v>
      </c>
      <c r="D28" s="26">
        <v>-0.44756802000000001</v>
      </c>
      <c r="E28" s="26">
        <v>0.64580800000000005</v>
      </c>
      <c r="F28" s="26">
        <v>-1.0257030600000001</v>
      </c>
      <c r="G28" s="26">
        <v>-0.126524</v>
      </c>
      <c r="H28" s="26">
        <v>-0.44062299999999999</v>
      </c>
      <c r="I28" s="26">
        <v>0.73337838700000002</v>
      </c>
      <c r="J28" s="26">
        <v>-1.1777863399999999</v>
      </c>
      <c r="K28" s="26">
        <v>-2.6046409999999999E-2</v>
      </c>
      <c r="L28" s="26">
        <v>0.31891000000000003</v>
      </c>
      <c r="M28" s="26">
        <v>0.64566438999999998</v>
      </c>
    </row>
    <row r="29" spans="1:20" x14ac:dyDescent="0.25">
      <c r="A29">
        <v>-0.27517000000000003</v>
      </c>
      <c r="B29">
        <v>-1.657378</v>
      </c>
      <c r="C29" s="26">
        <v>0.63692899999999997</v>
      </c>
      <c r="D29" s="26">
        <v>-0.62248932199999996</v>
      </c>
      <c r="E29" s="26">
        <v>0.43953500000000001</v>
      </c>
      <c r="F29" s="26">
        <v>-0.76810629200000002</v>
      </c>
      <c r="G29" s="26">
        <v>-0.44619399999999998</v>
      </c>
      <c r="H29" s="26">
        <v>1.1637E-2</v>
      </c>
      <c r="I29" s="26">
        <v>0.784078202</v>
      </c>
      <c r="J29" s="26">
        <v>-0.66057034999999997</v>
      </c>
      <c r="K29" s="26">
        <v>0.92013718</v>
      </c>
      <c r="L29" s="26">
        <v>0.35478999999999999</v>
      </c>
      <c r="M29" s="26">
        <v>-0.41981845000000001</v>
      </c>
    </row>
    <row r="30" spans="1:20" x14ac:dyDescent="0.25">
      <c r="A30">
        <v>0.40505000000000002</v>
      </c>
      <c r="B30">
        <v>0.48958800000000002</v>
      </c>
      <c r="C30" s="26">
        <v>0.63814400000000004</v>
      </c>
      <c r="D30" s="26">
        <v>-0.69272124400000001</v>
      </c>
      <c r="E30" s="26">
        <v>2.3137000000000001E-2</v>
      </c>
      <c r="F30" s="26">
        <v>0.15316086300000001</v>
      </c>
      <c r="G30" s="26">
        <v>-0.55967100000000003</v>
      </c>
      <c r="H30" s="26">
        <v>-8.3467E-2</v>
      </c>
      <c r="I30" s="26">
        <v>-0.15555828699999999</v>
      </c>
      <c r="J30" s="26">
        <v>-9.9793599999999996E-2</v>
      </c>
      <c r="K30" s="26">
        <v>0.85340459000000002</v>
      </c>
      <c r="L30" s="26">
        <v>0.39717999999999998</v>
      </c>
      <c r="M30" s="26">
        <v>0.76860472000000002</v>
      </c>
    </row>
    <row r="31" spans="1:20" x14ac:dyDescent="0.25">
      <c r="A31">
        <v>0.61663999999999997</v>
      </c>
      <c r="B31">
        <v>0.313747</v>
      </c>
      <c r="C31" s="26">
        <v>0.44568600000000003</v>
      </c>
      <c r="D31" s="26">
        <v>-0.60647605599999999</v>
      </c>
      <c r="E31" s="26">
        <v>0.50205699999999998</v>
      </c>
      <c r="F31" s="26">
        <v>-0.80471066099999999</v>
      </c>
      <c r="G31" s="26">
        <v>-0.61563599999999996</v>
      </c>
      <c r="H31" s="26">
        <v>-0.139991</v>
      </c>
      <c r="I31" s="26">
        <v>0.592263918</v>
      </c>
      <c r="J31" s="26">
        <v>-0.88983546000000002</v>
      </c>
      <c r="K31" s="26">
        <v>0.55613111999999998</v>
      </c>
      <c r="L31" s="26">
        <v>0.34845999999999999</v>
      </c>
      <c r="M31" s="26">
        <v>-0.37883834999999999</v>
      </c>
    </row>
    <row r="32" spans="1:20" x14ac:dyDescent="0.25">
      <c r="A32">
        <v>0.58213000000000004</v>
      </c>
      <c r="B32">
        <v>-0.51302099999999995</v>
      </c>
      <c r="C32" s="26">
        <v>0.61945600000000001</v>
      </c>
      <c r="D32" s="26">
        <v>0.34130177900000003</v>
      </c>
      <c r="E32" s="26">
        <v>0.386654</v>
      </c>
      <c r="F32" s="26">
        <v>-0.47352293899999998</v>
      </c>
      <c r="G32" s="26">
        <v>0.85466900000000001</v>
      </c>
      <c r="H32" s="26">
        <v>-0.43174299999999999</v>
      </c>
      <c r="I32" s="26">
        <v>0.34129985699999998</v>
      </c>
      <c r="J32" s="26">
        <v>-1.0603031199999999</v>
      </c>
      <c r="K32" s="26">
        <v>0.28459574999999998</v>
      </c>
      <c r="L32" s="26">
        <v>0.62953000000000003</v>
      </c>
      <c r="M32" s="26">
        <v>0.27684341000000001</v>
      </c>
    </row>
    <row r="33" spans="1:13" x14ac:dyDescent="0.25">
      <c r="A33">
        <v>0.67049999999999998</v>
      </c>
      <c r="B33">
        <v>-1.0472269999999999</v>
      </c>
      <c r="C33" s="26">
        <v>-0.140454</v>
      </c>
      <c r="D33" s="26">
        <v>0.60901283399999995</v>
      </c>
      <c r="E33" s="26">
        <v>0.54622800000000005</v>
      </c>
      <c r="F33" s="26">
        <v>-0.95233253799999995</v>
      </c>
      <c r="G33" s="26">
        <v>1.313895</v>
      </c>
      <c r="H33" s="26">
        <v>-0.44282199999999999</v>
      </c>
      <c r="I33" s="26">
        <v>-0.34145758799999998</v>
      </c>
      <c r="J33" s="26">
        <v>-1.2141549700000001</v>
      </c>
      <c r="K33" s="26">
        <v>-0.38614477000000003</v>
      </c>
      <c r="L33" s="26">
        <v>0.51217999999999997</v>
      </c>
      <c r="M33" s="26">
        <v>0.44076384000000002</v>
      </c>
    </row>
    <row r="34" spans="1:13" x14ac:dyDescent="0.25">
      <c r="A34">
        <v>1.51014</v>
      </c>
      <c r="B34">
        <v>1.266248</v>
      </c>
      <c r="C34" s="26">
        <v>0.24158399999999999</v>
      </c>
      <c r="D34" s="26">
        <v>0.80391827000000005</v>
      </c>
      <c r="E34" s="26">
        <v>0.65317099999999995</v>
      </c>
      <c r="F34" s="26">
        <v>-1.025115392</v>
      </c>
      <c r="G34" s="26">
        <v>0.57734200000000002</v>
      </c>
      <c r="H34" s="26">
        <v>-0.40316400000000002</v>
      </c>
      <c r="I34" s="26">
        <v>0.50353925200000005</v>
      </c>
      <c r="J34" s="26">
        <v>-1.5809989200000001</v>
      </c>
      <c r="K34" s="26">
        <v>-1.0568852900000001</v>
      </c>
      <c r="L34" s="26">
        <v>0.42246</v>
      </c>
      <c r="M34" s="26">
        <v>0.56370416999999995</v>
      </c>
    </row>
    <row r="35" spans="1:13" x14ac:dyDescent="0.25">
      <c r="A35">
        <v>0.46953</v>
      </c>
      <c r="B35">
        <v>-0.95857400000000004</v>
      </c>
      <c r="C35" s="26">
        <v>0.35625499999999999</v>
      </c>
      <c r="D35" s="26">
        <v>-0.50240229700000005</v>
      </c>
      <c r="E35" s="26">
        <v>0.37582700000000002</v>
      </c>
      <c r="F35" s="26">
        <v>-1.2456228060000001</v>
      </c>
      <c r="G35" s="26">
        <v>0.26299299999999998</v>
      </c>
      <c r="H35" s="26">
        <v>-0.34771800000000003</v>
      </c>
      <c r="I35" s="26">
        <v>0.412279593</v>
      </c>
      <c r="J35" s="26">
        <v>-1.45251251</v>
      </c>
      <c r="K35" s="26">
        <v>-1.75621907</v>
      </c>
      <c r="L35" s="26">
        <v>0.54823999999999995</v>
      </c>
      <c r="M35" s="26">
        <v>0.60468427999999996</v>
      </c>
    </row>
    <row r="36" spans="1:13" x14ac:dyDescent="0.25">
      <c r="A36">
        <v>0.48220000000000002</v>
      </c>
      <c r="B36">
        <v>-0.30650699999999997</v>
      </c>
      <c r="C36" s="26">
        <v>-0.16520799999999999</v>
      </c>
      <c r="D36" s="26">
        <v>-0.399123322</v>
      </c>
      <c r="E36" s="26">
        <v>0.140905</v>
      </c>
      <c r="F36" s="26">
        <v>-1.06256441</v>
      </c>
      <c r="G36" s="26">
        <v>0.59186700000000003</v>
      </c>
      <c r="H36" s="26">
        <v>-0.16827600000000001</v>
      </c>
      <c r="I36" s="26">
        <v>-0.66255638800000005</v>
      </c>
      <c r="J36" s="26">
        <v>-1.2934996999999999</v>
      </c>
      <c r="K36" s="26">
        <v>-1.71644456</v>
      </c>
      <c r="L36" s="26">
        <v>0.20362</v>
      </c>
      <c r="M36" s="26">
        <v>0.35880362999999998</v>
      </c>
    </row>
    <row r="37" spans="1:13" x14ac:dyDescent="0.25">
      <c r="A37">
        <v>0.22248000000000001</v>
      </c>
      <c r="B37">
        <v>-0.49475400000000003</v>
      </c>
      <c r="C37" s="26">
        <v>9.5852000000000007E-2</v>
      </c>
      <c r="D37" s="26">
        <v>-0.65388521799999999</v>
      </c>
      <c r="E37" s="26">
        <v>0.38322899999999999</v>
      </c>
      <c r="F37" s="26">
        <v>-1.2461374270000001</v>
      </c>
      <c r="G37" s="26">
        <v>5.3128000000000002E-2</v>
      </c>
      <c r="H37" s="26">
        <v>-0.474497</v>
      </c>
      <c r="I37" s="26">
        <v>-5.4158664000000002E-2</v>
      </c>
      <c r="J37" s="26">
        <v>-1.49475486</v>
      </c>
      <c r="K37" s="26">
        <v>-1.6946047399999999</v>
      </c>
      <c r="L37" s="26">
        <v>0.38790999999999998</v>
      </c>
      <c r="M37" s="26">
        <v>0.72762461</v>
      </c>
    </row>
    <row r="38" spans="1:13" x14ac:dyDescent="0.25">
      <c r="A38">
        <v>-0.48287999999999998</v>
      </c>
      <c r="B38">
        <v>-0.19243299999999999</v>
      </c>
      <c r="C38" s="26">
        <v>0.55177900000000002</v>
      </c>
      <c r="D38" s="26">
        <v>-0.29971558199999998</v>
      </c>
      <c r="E38" s="26">
        <v>0.841221</v>
      </c>
      <c r="F38" s="26">
        <v>-1.35780857</v>
      </c>
      <c r="G38" s="26">
        <v>8.4717000000000001E-2</v>
      </c>
      <c r="H38" s="26">
        <v>-0.46218700000000001</v>
      </c>
      <c r="I38" s="26">
        <v>-3.7258725999999999E-2</v>
      </c>
      <c r="J38" s="26">
        <v>-1.5827350099999999</v>
      </c>
      <c r="K38" s="26">
        <v>-1.6757636199999999</v>
      </c>
      <c r="L38" s="26">
        <v>0.34798000000000001</v>
      </c>
      <c r="M38" s="26">
        <v>0.44076384000000002</v>
      </c>
    </row>
    <row r="39" spans="1:13" x14ac:dyDescent="0.25">
      <c r="A39">
        <v>0.31412000000000001</v>
      </c>
      <c r="B39">
        <v>-0.43426799999999999</v>
      </c>
      <c r="C39" s="26">
        <v>0.62923600000000002</v>
      </c>
      <c r="D39" s="26">
        <v>0.17002228599999999</v>
      </c>
      <c r="E39" s="26">
        <v>0.49660700000000002</v>
      </c>
      <c r="F39" s="26">
        <v>-1.2844927580000001</v>
      </c>
      <c r="G39" s="26">
        <v>0.20954</v>
      </c>
      <c r="H39" s="26">
        <v>-0.39372800000000002</v>
      </c>
      <c r="I39" s="26">
        <v>0.18582043600000001</v>
      </c>
      <c r="J39" s="26">
        <v>-1.4109117</v>
      </c>
      <c r="K39" s="26">
        <v>-1.66243502</v>
      </c>
      <c r="L39" s="26">
        <v>0.39006999999999997</v>
      </c>
      <c r="M39" s="26">
        <v>1.1374257000000001</v>
      </c>
    </row>
    <row r="40" spans="1:13" x14ac:dyDescent="0.25">
      <c r="A40">
        <v>6.8169999999999994E-2</v>
      </c>
      <c r="B40">
        <v>-0.50608600000000004</v>
      </c>
      <c r="C40" s="26">
        <v>0.391067</v>
      </c>
      <c r="D40" s="26">
        <v>-0.26737640400000001</v>
      </c>
      <c r="E40" s="26">
        <v>0.26667299999999999</v>
      </c>
      <c r="F40" s="26">
        <v>-1.3211908539999999</v>
      </c>
      <c r="G40" s="26">
        <v>0.30970799999999998</v>
      </c>
      <c r="H40" s="26">
        <v>-0.388351</v>
      </c>
      <c r="I40" s="26">
        <v>-0.21977804300000001</v>
      </c>
      <c r="J40" s="26">
        <v>-1.2714493499999999</v>
      </c>
      <c r="K40" s="26">
        <v>-1.68909222</v>
      </c>
      <c r="L40" s="26">
        <v>0.48562</v>
      </c>
      <c r="M40" s="26">
        <v>1.42428647</v>
      </c>
    </row>
    <row r="41" spans="1:13" x14ac:dyDescent="0.25">
      <c r="A41">
        <v>-5.4370000000000002E-2</v>
      </c>
      <c r="B41">
        <v>-0.52123900000000001</v>
      </c>
      <c r="C41" s="26">
        <v>-6.1774000000000003E-2</v>
      </c>
      <c r="D41" s="26">
        <v>-0.16563482700000001</v>
      </c>
      <c r="E41" s="26">
        <v>-0.22261500000000001</v>
      </c>
      <c r="F41" s="26">
        <v>-0.91909679700000002</v>
      </c>
      <c r="G41" s="26">
        <v>0.243425</v>
      </c>
      <c r="H41" s="26">
        <v>-0.39979100000000001</v>
      </c>
      <c r="I41" s="26">
        <v>-0.15893827099999999</v>
      </c>
      <c r="J41" s="26">
        <v>-0.39192138999999998</v>
      </c>
      <c r="K41" s="26">
        <v>-1.0786406900000001</v>
      </c>
      <c r="L41" s="26">
        <v>0.28716999999999998</v>
      </c>
      <c r="M41" s="26">
        <v>0.52272406000000005</v>
      </c>
    </row>
    <row r="42" spans="1:13" x14ac:dyDescent="0.25">
      <c r="A42">
        <v>-0.26626</v>
      </c>
      <c r="B42">
        <v>-0.54756000000000005</v>
      </c>
      <c r="C42" s="26">
        <v>-0.27880300000000002</v>
      </c>
      <c r="D42" s="26">
        <v>-0.60264414099999997</v>
      </c>
      <c r="E42" s="26">
        <v>0.62033099999999997</v>
      </c>
      <c r="F42" s="26">
        <v>-0.91798561700000003</v>
      </c>
      <c r="G42" s="26">
        <v>-0.50916899999999998</v>
      </c>
      <c r="H42" s="26">
        <v>-0.46484300000000001</v>
      </c>
      <c r="I42" s="26">
        <v>-0.34821756199999998</v>
      </c>
      <c r="J42" s="26">
        <v>1.47004037</v>
      </c>
      <c r="K42" s="26">
        <v>-0.4501172</v>
      </c>
      <c r="L42" s="26">
        <v>0.13772999999999999</v>
      </c>
      <c r="M42" s="26">
        <v>0.44076384000000002</v>
      </c>
    </row>
    <row r="43" spans="1:13" x14ac:dyDescent="0.25">
      <c r="A43">
        <v>0.11541999999999999</v>
      </c>
      <c r="B43">
        <v>-0.572052</v>
      </c>
      <c r="C43" s="26">
        <v>-1.199813</v>
      </c>
      <c r="D43" s="26">
        <v>-0.91822740999999997</v>
      </c>
      <c r="E43" s="26">
        <v>0.69058399999999998</v>
      </c>
      <c r="F43" s="26">
        <v>-1.0652245520000001</v>
      </c>
      <c r="G43" s="26">
        <v>-2.8939999999999999E-3</v>
      </c>
      <c r="H43" s="26">
        <v>-0.33155299999999999</v>
      </c>
      <c r="I43" s="26">
        <v>-0.54425683300000005</v>
      </c>
      <c r="J43" s="26">
        <v>1.3151051600000001</v>
      </c>
      <c r="K43" s="26">
        <v>-0.52030540999999997</v>
      </c>
      <c r="L43" s="26">
        <v>9.9260000000000001E-2</v>
      </c>
      <c r="M43" s="26">
        <v>0.76860472000000002</v>
      </c>
    </row>
    <row r="44" spans="1:13" x14ac:dyDescent="0.25">
      <c r="A44">
        <v>2.2030000000000001E-2</v>
      </c>
      <c r="B44">
        <v>-0.38558399999999998</v>
      </c>
      <c r="C44" s="26">
        <v>8.6599999999999996E-2</v>
      </c>
      <c r="D44" s="26">
        <v>-0.54887593999999995</v>
      </c>
      <c r="E44" s="26">
        <v>-0.88738099999999998</v>
      </c>
      <c r="F44" s="26">
        <v>-1.1747490869999999</v>
      </c>
      <c r="G44" s="26">
        <v>0.60234600000000005</v>
      </c>
      <c r="H44" s="26">
        <v>-0.22777900000000001</v>
      </c>
      <c r="I44" s="26">
        <v>-0.40229735999999999</v>
      </c>
      <c r="J44" s="26">
        <v>0.99117661000000001</v>
      </c>
      <c r="K44" s="26">
        <v>-1.24947944</v>
      </c>
      <c r="L44" s="26">
        <v>0.34268999999999999</v>
      </c>
      <c r="M44" s="26">
        <v>0.48174394999999998</v>
      </c>
    </row>
    <row r="45" spans="1:13" x14ac:dyDescent="0.25">
      <c r="A45">
        <v>0.23139000000000001</v>
      </c>
      <c r="B45">
        <v>-1.0277449999999999</v>
      </c>
      <c r="C45" s="26">
        <v>-9.9930000000000001E-3</v>
      </c>
      <c r="D45" s="26">
        <v>-0.66750955000000001</v>
      </c>
      <c r="E45" s="26">
        <v>-0.28617500000000001</v>
      </c>
      <c r="F45" s="26">
        <v>-0.88239147900000003</v>
      </c>
      <c r="G45" s="26">
        <v>0.43177700000000002</v>
      </c>
      <c r="H45" s="26">
        <v>-0.404478</v>
      </c>
      <c r="I45" s="26">
        <v>-0.57129672899999995</v>
      </c>
      <c r="J45" s="26">
        <v>1.2601160899999999</v>
      </c>
      <c r="K45" s="26">
        <v>-1.1263593199999999</v>
      </c>
      <c r="L45" s="26">
        <v>0.31608999999999998</v>
      </c>
      <c r="M45" s="26">
        <v>7.1942859999999997E-2</v>
      </c>
    </row>
    <row r="46" spans="1:13" x14ac:dyDescent="0.25">
      <c r="A46">
        <v>-0.98050000000000004</v>
      </c>
      <c r="B46">
        <v>0.314971</v>
      </c>
      <c r="C46" s="26">
        <v>-0.290024</v>
      </c>
      <c r="D46" s="26">
        <v>-0.445176032</v>
      </c>
      <c r="E46" s="26">
        <v>0.124405</v>
      </c>
      <c r="F46" s="26">
        <v>-1.467281863</v>
      </c>
      <c r="G46" s="26">
        <v>0.79976199999999997</v>
      </c>
      <c r="H46" s="26">
        <v>-0.43326599999999998</v>
      </c>
      <c r="I46" s="26">
        <v>-1.9030117479999999</v>
      </c>
      <c r="J46" s="26">
        <v>0.79725475000000001</v>
      </c>
      <c r="K46" s="26">
        <v>-1.83489379</v>
      </c>
      <c r="L46" s="26">
        <v>0.42756</v>
      </c>
      <c r="M46" s="26">
        <v>0.52272406000000005</v>
      </c>
    </row>
  </sheetData>
  <sortState xmlns:xlrd2="http://schemas.microsoft.com/office/spreadsheetml/2017/richdata2" ref="Q11:R21">
    <sortCondition descending="1" ref="Q11:Q21"/>
  </sortState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9886B-3323-4901-8D02-17208181AC14}">
  <dimension ref="A1:R46"/>
  <sheetViews>
    <sheetView workbookViewId="0">
      <selection activeCell="I2" sqref="I2:J2"/>
    </sheetView>
  </sheetViews>
  <sheetFormatPr defaultRowHeight="13.95" x14ac:dyDescent="0.25"/>
  <cols>
    <col min="1" max="1" width="8.88671875" style="10"/>
    <col min="2" max="4" width="17.33203125" style="10" bestFit="1" customWidth="1"/>
    <col min="8" max="8" width="13.88671875" bestFit="1" customWidth="1"/>
    <col min="9" max="9" width="13.88671875" style="50" customWidth="1"/>
    <col min="10" max="10" width="8.88671875" style="50"/>
  </cols>
  <sheetData>
    <row r="1" spans="1:18" x14ac:dyDescent="0.25">
      <c r="A1" s="10" t="s">
        <v>78</v>
      </c>
      <c r="B1" s="10" t="s">
        <v>240</v>
      </c>
      <c r="C1" s="10" t="s">
        <v>241</v>
      </c>
      <c r="D1" s="10" t="s">
        <v>239</v>
      </c>
      <c r="F1" s="10" t="s">
        <v>242</v>
      </c>
      <c r="G1" s="10" t="s">
        <v>243</v>
      </c>
      <c r="H1" s="10" t="s">
        <v>244</v>
      </c>
      <c r="I1" s="49"/>
    </row>
    <row r="2" spans="1:18" x14ac:dyDescent="0.25">
      <c r="A2" s="10" t="s">
        <v>132</v>
      </c>
      <c r="C2" s="10">
        <v>40.72</v>
      </c>
      <c r="D2" s="10">
        <v>122.08</v>
      </c>
      <c r="F2">
        <f>AVERAGEA(C2:D2)</f>
        <v>81.400000000000006</v>
      </c>
      <c r="G2">
        <f>STDEVP(C2:D2)</f>
        <v>40.679999999999978</v>
      </c>
      <c r="H2">
        <f>F2/G2</f>
        <v>2.0009832841691262</v>
      </c>
      <c r="I2" s="50">
        <f>AVERAGEA(H2:H4)</f>
        <v>2.234485230597139</v>
      </c>
      <c r="J2" s="50">
        <f>_xlfn.STDEV.P(H2:H4)</f>
        <v>0.86094376317481969</v>
      </c>
      <c r="L2">
        <v>2.0009832841691262</v>
      </c>
      <c r="O2" t="s">
        <v>245</v>
      </c>
      <c r="P2">
        <f>AVERAGEA(C2:D4)</f>
        <v>45.79</v>
      </c>
      <c r="Q2">
        <f>_xlfn.STDEV.P(C2:D4)</f>
        <v>41.108787381775187</v>
      </c>
      <c r="R2">
        <f>P2/Q2</f>
        <v>1.1138737704605741</v>
      </c>
    </row>
    <row r="3" spans="1:18" x14ac:dyDescent="0.25">
      <c r="A3" s="10" t="s">
        <v>133</v>
      </c>
      <c r="C3" s="10">
        <v>10.290000000000001</v>
      </c>
      <c r="D3" s="10">
        <v>75.339999999999989</v>
      </c>
      <c r="F3">
        <f t="shared" ref="F3:F46" si="0">AVERAGEA(C3:D3)</f>
        <v>42.814999999999998</v>
      </c>
      <c r="G3">
        <f t="shared" ref="G3:G46" si="1">STDEVP(C3:D3)</f>
        <v>32.524999999999991</v>
      </c>
      <c r="H3">
        <f>F3/G3</f>
        <v>1.3163720215219066</v>
      </c>
      <c r="L3">
        <v>1.3163720215219066</v>
      </c>
      <c r="O3" t="s">
        <v>246</v>
      </c>
      <c r="P3">
        <f>AVERAGEA(C5:D7)</f>
        <v>105.00999999999999</v>
      </c>
      <c r="Q3">
        <f>_xlfn.STDEV.P(C5:D7)</f>
        <v>33.418370197642311</v>
      </c>
      <c r="R3">
        <f>P3/Q3</f>
        <v>3.1422837014178664</v>
      </c>
    </row>
    <row r="4" spans="1:18" x14ac:dyDescent="0.25">
      <c r="A4" s="10" t="s">
        <v>134</v>
      </c>
      <c r="C4" s="10">
        <v>17.040000000000003</v>
      </c>
      <c r="D4" s="10">
        <v>9.2700000000000014</v>
      </c>
      <c r="F4">
        <f t="shared" si="0"/>
        <v>13.155000000000001</v>
      </c>
      <c r="G4">
        <f t="shared" si="1"/>
        <v>3.8850000000000025</v>
      </c>
      <c r="H4">
        <f>F4/G4</f>
        <v>3.3861003861003844</v>
      </c>
      <c r="L4">
        <v>3.3861003861003844</v>
      </c>
      <c r="O4" t="s">
        <v>247</v>
      </c>
      <c r="P4">
        <f>AVERAGEA(C8:D10)</f>
        <v>99.133333333333326</v>
      </c>
      <c r="Q4">
        <f>_xlfn.STDEV.P(C8:D10)</f>
        <v>39.855577889285385</v>
      </c>
      <c r="R4">
        <f t="shared" ref="R4:R16" si="2">P4/Q4</f>
        <v>2.4873139114609084</v>
      </c>
    </row>
    <row r="5" spans="1:18" x14ac:dyDescent="0.25">
      <c r="A5" s="10" t="s">
        <v>135</v>
      </c>
      <c r="C5" s="10">
        <v>96.65</v>
      </c>
      <c r="D5" s="10">
        <v>146.82</v>
      </c>
      <c r="F5">
        <f t="shared" si="0"/>
        <v>121.735</v>
      </c>
      <c r="G5">
        <f t="shared" si="1"/>
        <v>25.085000000000022</v>
      </c>
      <c r="H5">
        <f>F5/G5</f>
        <v>4.8529001395256088</v>
      </c>
      <c r="I5" s="50">
        <f>AVERAGEA(H5:H7)</f>
        <v>2.8150650672920983</v>
      </c>
      <c r="J5" s="50">
        <f>_xlfn.STDEV.P(H5:H7)</f>
        <v>1.6049849959942708</v>
      </c>
      <c r="L5">
        <v>4.8529001395256088</v>
      </c>
      <c r="O5" t="s">
        <v>248</v>
      </c>
      <c r="P5">
        <f>AVERAGEA(C11:D13)</f>
        <v>182.64</v>
      </c>
      <c r="Q5">
        <f>_xlfn.STDEV.P(C11:D13)</f>
        <v>45.069422746099896</v>
      </c>
      <c r="R5">
        <f t="shared" si="2"/>
        <v>4.0524148939938405</v>
      </c>
    </row>
    <row r="6" spans="1:18" x14ac:dyDescent="0.25">
      <c r="A6" s="10" t="s">
        <v>136</v>
      </c>
      <c r="C6" s="10">
        <v>70.27</v>
      </c>
      <c r="D6" s="10">
        <v>154.83999999999997</v>
      </c>
      <c r="F6">
        <f t="shared" si="0"/>
        <v>112.55499999999998</v>
      </c>
      <c r="G6">
        <f t="shared" si="1"/>
        <v>42.285000000000004</v>
      </c>
      <c r="H6">
        <f>F6/G6</f>
        <v>2.6618186118008742</v>
      </c>
      <c r="L6">
        <v>2.6618186118008742</v>
      </c>
      <c r="O6" t="s">
        <v>249</v>
      </c>
      <c r="P6">
        <f>AVERAGEA(C14:D16)</f>
        <v>189.12166666666667</v>
      </c>
      <c r="Q6">
        <f>_xlfn.STDEV.P(C14:D16)</f>
        <v>98.174301188696361</v>
      </c>
      <c r="R6">
        <f t="shared" si="2"/>
        <v>1.9263866854846718</v>
      </c>
    </row>
    <row r="7" spans="1:18" x14ac:dyDescent="0.25">
      <c r="A7" s="10" t="s">
        <v>137</v>
      </c>
      <c r="C7" s="27">
        <f>AVERAGEA(C5:C6)</f>
        <v>83.460000000000008</v>
      </c>
      <c r="D7" s="10">
        <v>78.02</v>
      </c>
      <c r="F7">
        <f t="shared" si="0"/>
        <v>80.740000000000009</v>
      </c>
      <c r="G7">
        <f t="shared" si="1"/>
        <v>2.720000000000006</v>
      </c>
      <c r="H7" s="22">
        <v>0.93047645054981221</v>
      </c>
      <c r="L7">
        <v>0.93047645054981221</v>
      </c>
      <c r="O7" t="s">
        <v>250</v>
      </c>
      <c r="P7">
        <f>AVERAGEA(C17:D19)</f>
        <v>52.348333333333336</v>
      </c>
      <c r="Q7">
        <f>_xlfn.STDEV.P(C17:D19)</f>
        <v>51.021669388821664</v>
      </c>
      <c r="R7">
        <f t="shared" si="2"/>
        <v>1.0260019705431733</v>
      </c>
    </row>
    <row r="8" spans="1:18" x14ac:dyDescent="0.25">
      <c r="A8" s="10" t="s">
        <v>138</v>
      </c>
      <c r="C8" s="10">
        <v>50.82</v>
      </c>
      <c r="D8" s="10">
        <v>107.37</v>
      </c>
      <c r="F8">
        <f t="shared" si="0"/>
        <v>79.094999999999999</v>
      </c>
      <c r="G8">
        <f t="shared" si="1"/>
        <v>28.275000000000016</v>
      </c>
      <c r="H8">
        <f>F8/G8</f>
        <v>2.7973474801060991</v>
      </c>
      <c r="I8" s="50">
        <f>AVERAGEA(H8:H10)</f>
        <v>2.1812726122610897</v>
      </c>
      <c r="J8" s="50">
        <f>_xlfn.STDEV.P(H8:H10)</f>
        <v>0.66941560228382468</v>
      </c>
      <c r="L8">
        <v>2.7973474801060991</v>
      </c>
      <c r="O8" t="s">
        <v>252</v>
      </c>
      <c r="P8">
        <f>AVERAGEA(C20:D22)</f>
        <v>52.720000000000006</v>
      </c>
      <c r="Q8">
        <f>_xlfn.STDEV.P(C20:D22)</f>
        <v>27.204394252889845</v>
      </c>
      <c r="R8">
        <f t="shared" si="2"/>
        <v>1.9379222161654899</v>
      </c>
    </row>
    <row r="9" spans="1:18" x14ac:dyDescent="0.25">
      <c r="A9" s="10" t="s">
        <v>139</v>
      </c>
      <c r="C9" s="10">
        <v>69.540000000000006</v>
      </c>
      <c r="D9" s="10">
        <v>69.990000000000009</v>
      </c>
      <c r="F9">
        <f t="shared" si="0"/>
        <v>69.765000000000015</v>
      </c>
      <c r="G9">
        <f t="shared" si="1"/>
        <v>0.22500000000000142</v>
      </c>
      <c r="H9" s="22">
        <v>1.2507283986334645</v>
      </c>
      <c r="L9">
        <v>1.2507283986334645</v>
      </c>
      <c r="O9" t="s">
        <v>253</v>
      </c>
      <c r="P9">
        <f>AVERAGEA(C23:D25)</f>
        <v>77.701666666666668</v>
      </c>
      <c r="Q9">
        <f>_xlfn.STDEV.P(C23:D25)</f>
        <v>41.112887848243211</v>
      </c>
      <c r="R9">
        <f t="shared" si="2"/>
        <v>1.8899588604303534</v>
      </c>
    </row>
    <row r="10" spans="1:18" x14ac:dyDescent="0.25">
      <c r="A10" s="10" t="s">
        <v>140</v>
      </c>
      <c r="C10" s="10">
        <v>132.39000000000001</v>
      </c>
      <c r="D10" s="10">
        <v>164.69</v>
      </c>
      <c r="F10">
        <f t="shared" si="0"/>
        <v>148.54000000000002</v>
      </c>
      <c r="G10">
        <f t="shared" si="1"/>
        <v>16.149999999999839</v>
      </c>
      <c r="H10" s="22">
        <v>2.4957419580437055</v>
      </c>
      <c r="L10">
        <v>2.4957419580437055</v>
      </c>
      <c r="O10" t="s">
        <v>254</v>
      </c>
      <c r="P10">
        <f>AVERAGEA(C26:D28)</f>
        <v>64.745000000000005</v>
      </c>
      <c r="Q10">
        <f>_xlfn.STDEV.P(C26:D28)</f>
        <v>44.138200291810712</v>
      </c>
      <c r="R10">
        <f t="shared" si="2"/>
        <v>1.4668699578132238</v>
      </c>
    </row>
    <row r="11" spans="1:18" x14ac:dyDescent="0.25">
      <c r="A11" s="10" t="s">
        <v>141</v>
      </c>
      <c r="C11" s="10">
        <v>116.06</v>
      </c>
      <c r="D11" s="10">
        <v>157.59</v>
      </c>
      <c r="F11">
        <f t="shared" si="0"/>
        <v>136.82499999999999</v>
      </c>
      <c r="G11">
        <f t="shared" si="1"/>
        <v>20.765000000000025</v>
      </c>
      <c r="H11">
        <f>F11/G11</f>
        <v>6.5892126173850141</v>
      </c>
      <c r="I11" s="50">
        <f>AVERAGEA(H11:H13)</f>
        <v>4.8096838437340592</v>
      </c>
      <c r="J11" s="50">
        <f>_xlfn.STDEV.P(H11:H13)</f>
        <v>2.646579588488791</v>
      </c>
      <c r="L11">
        <v>6.5892126173850141</v>
      </c>
      <c r="O11" t="s">
        <v>255</v>
      </c>
      <c r="P11">
        <f>AVERAGEA(C29:D31)</f>
        <v>52.866666666666667</v>
      </c>
      <c r="Q11">
        <f>_xlfn.STDEV.P(C29:D31)</f>
        <v>20.353598917363225</v>
      </c>
      <c r="R11">
        <f t="shared" si="2"/>
        <v>2.5974112431569649</v>
      </c>
    </row>
    <row r="12" spans="1:18" x14ac:dyDescent="0.25">
      <c r="A12" s="10" t="s">
        <v>142</v>
      </c>
      <c r="C12" s="10">
        <v>197.26999999999998</v>
      </c>
      <c r="D12" s="10">
        <v>265.63</v>
      </c>
      <c r="F12">
        <f t="shared" si="0"/>
        <v>231.45</v>
      </c>
      <c r="G12">
        <f t="shared" si="1"/>
        <v>34.180000000000021</v>
      </c>
      <c r="H12">
        <f>F12/G12</f>
        <v>6.7715038033937933</v>
      </c>
      <c r="L12">
        <v>6.7715038033937933</v>
      </c>
      <c r="O12" t="s">
        <v>251</v>
      </c>
      <c r="P12">
        <f>AVERAGEA(C32:D34)</f>
        <v>105.29833333333333</v>
      </c>
      <c r="Q12">
        <f>_xlfn.STDEV.P(C32:D34)</f>
        <v>54.660786497776989</v>
      </c>
      <c r="R12">
        <f t="shared" si="2"/>
        <v>1.9263962354002304</v>
      </c>
    </row>
    <row r="13" spans="1:18" x14ac:dyDescent="0.25">
      <c r="A13" s="10" t="s">
        <v>143</v>
      </c>
      <c r="C13" s="10">
        <v>177.67</v>
      </c>
      <c r="D13" s="10">
        <v>181.61999999999998</v>
      </c>
      <c r="F13">
        <f t="shared" si="0"/>
        <v>179.64499999999998</v>
      </c>
      <c r="G13">
        <f t="shared" si="1"/>
        <v>1.9749999999999943</v>
      </c>
      <c r="H13" s="22">
        <v>1.0683351104233691</v>
      </c>
      <c r="L13">
        <v>1.0683351104233691</v>
      </c>
      <c r="O13" t="s">
        <v>256</v>
      </c>
      <c r="P13">
        <f>AVERAGEA(C35:D37)</f>
        <v>88.73</v>
      </c>
      <c r="Q13">
        <f>_xlfn.STDEV.P(C35:D37)</f>
        <v>66.397666876680745</v>
      </c>
      <c r="R13">
        <f t="shared" si="2"/>
        <v>1.3363421363102519</v>
      </c>
    </row>
    <row r="14" spans="1:18" x14ac:dyDescent="0.25">
      <c r="A14" s="10" t="s">
        <v>144</v>
      </c>
      <c r="C14" s="10">
        <v>144.27000000000001</v>
      </c>
      <c r="D14" s="10">
        <v>171.01</v>
      </c>
      <c r="F14">
        <f t="shared" si="0"/>
        <v>157.63999999999999</v>
      </c>
      <c r="G14">
        <f t="shared" si="1"/>
        <v>13.36999999999999</v>
      </c>
      <c r="H14" s="22">
        <v>0.72255215658255068</v>
      </c>
      <c r="I14" s="50">
        <f>AVERAGEA(H14:H16)</f>
        <v>1.5934912329282198</v>
      </c>
      <c r="J14" s="50">
        <f>_xlfn.STDEV.P(H14:H16)</f>
        <v>0.6323862959095462</v>
      </c>
      <c r="L14">
        <v>0.72255215658255068</v>
      </c>
      <c r="O14" t="s">
        <v>257</v>
      </c>
      <c r="P14">
        <f>AVERAGEA(C38:D40)</f>
        <v>48.37166666666667</v>
      </c>
      <c r="Q14">
        <f>_xlfn.STDEV.P(C38:D40)</f>
        <v>15.737861371722508</v>
      </c>
      <c r="R14">
        <f t="shared" si="2"/>
        <v>3.0735857639196116</v>
      </c>
    </row>
    <row r="15" spans="1:18" x14ac:dyDescent="0.25">
      <c r="A15" s="10" t="s">
        <v>145</v>
      </c>
      <c r="C15" s="10">
        <v>383.27</v>
      </c>
      <c r="D15" s="10">
        <v>114.59</v>
      </c>
      <c r="F15">
        <f t="shared" si="0"/>
        <v>248.93</v>
      </c>
      <c r="G15">
        <f t="shared" si="1"/>
        <v>134.33999999999992</v>
      </c>
      <c r="H15">
        <f t="shared" ref="H15:H27" si="3">F15/G15</f>
        <v>1.8529849635253846</v>
      </c>
      <c r="L15">
        <v>1.8529849635253846</v>
      </c>
      <c r="O15" t="s">
        <v>258</v>
      </c>
      <c r="P15">
        <f>AVERAGEA(C41:D43)</f>
        <v>105.36333333333334</v>
      </c>
      <c r="Q15">
        <f>_xlfn.STDEV.P(C41:D43)</f>
        <v>43.076877272564161</v>
      </c>
      <c r="R15">
        <f t="shared" si="2"/>
        <v>2.4459371246123189</v>
      </c>
    </row>
    <row r="16" spans="1:18" x14ac:dyDescent="0.25">
      <c r="A16" s="10" t="s">
        <v>146</v>
      </c>
      <c r="C16" s="10">
        <v>233.71999999999997</v>
      </c>
      <c r="D16" s="10">
        <v>87.87</v>
      </c>
      <c r="F16">
        <f t="shared" si="0"/>
        <v>160.79499999999999</v>
      </c>
      <c r="G16">
        <f t="shared" si="1"/>
        <v>72.924999999999955</v>
      </c>
      <c r="H16">
        <f t="shared" si="3"/>
        <v>2.2049365786767239</v>
      </c>
      <c r="L16">
        <v>2.2049365786767239</v>
      </c>
      <c r="O16" t="s">
        <v>259</v>
      </c>
      <c r="P16">
        <f>AVERAGEA(C44:D46)</f>
        <v>76.128333333333345</v>
      </c>
      <c r="Q16">
        <f>_xlfn.STDEV.P(C44:D46)</f>
        <v>48.773328236057665</v>
      </c>
      <c r="R16">
        <f t="shared" si="2"/>
        <v>1.5608599225560411</v>
      </c>
    </row>
    <row r="17" spans="1:12" x14ac:dyDescent="0.25">
      <c r="A17" s="10" t="s">
        <v>43</v>
      </c>
      <c r="C17" s="10">
        <v>17.880000000000003</v>
      </c>
      <c r="D17" s="10">
        <v>29.74</v>
      </c>
      <c r="F17">
        <f t="shared" si="0"/>
        <v>23.810000000000002</v>
      </c>
      <c r="G17">
        <f t="shared" si="1"/>
        <v>5.9299999999999891</v>
      </c>
      <c r="H17">
        <f t="shared" si="3"/>
        <v>4.0151770657672925</v>
      </c>
      <c r="I17" s="50">
        <f>AVERAGEA(H17:H19)</f>
        <v>2.1416584474480653</v>
      </c>
      <c r="J17" s="50">
        <f>_xlfn.STDEV.P(H17:H19)</f>
        <v>1.3270617033380856</v>
      </c>
      <c r="L17">
        <v>4.0151770657672925</v>
      </c>
    </row>
    <row r="18" spans="1:12" x14ac:dyDescent="0.25">
      <c r="A18" s="10" t="s">
        <v>48</v>
      </c>
      <c r="C18" s="10">
        <v>5.0999999999999996</v>
      </c>
      <c r="D18" s="10">
        <v>98.18</v>
      </c>
      <c r="F18">
        <f t="shared" si="0"/>
        <v>51.64</v>
      </c>
      <c r="G18">
        <f t="shared" si="1"/>
        <v>46.540000000000006</v>
      </c>
      <c r="H18">
        <f t="shared" si="3"/>
        <v>1.1095831542758916</v>
      </c>
      <c r="L18">
        <v>1.1095831542758916</v>
      </c>
    </row>
    <row r="19" spans="1:12" x14ac:dyDescent="0.25">
      <c r="A19" s="10" t="s">
        <v>50</v>
      </c>
      <c r="C19" s="10">
        <v>18.84</v>
      </c>
      <c r="D19" s="10">
        <v>144.35</v>
      </c>
      <c r="F19">
        <f t="shared" si="0"/>
        <v>81.594999999999999</v>
      </c>
      <c r="G19">
        <f t="shared" si="1"/>
        <v>62.754999999999981</v>
      </c>
      <c r="H19">
        <f t="shared" si="3"/>
        <v>1.3002151223010123</v>
      </c>
      <c r="L19">
        <v>1.3002151223010123</v>
      </c>
    </row>
    <row r="20" spans="1:12" x14ac:dyDescent="0.25">
      <c r="A20" s="10" t="s">
        <v>54</v>
      </c>
      <c r="C20" s="10">
        <v>28.12</v>
      </c>
      <c r="D20" s="10">
        <v>76.430000000000007</v>
      </c>
      <c r="F20">
        <f t="shared" si="0"/>
        <v>52.275000000000006</v>
      </c>
      <c r="G20">
        <f t="shared" si="1"/>
        <v>24.154999999999994</v>
      </c>
      <c r="H20">
        <f t="shared" si="3"/>
        <v>2.1641482094804396</v>
      </c>
      <c r="I20" s="50">
        <f>AVERAGEA(H20:H22)</f>
        <v>1.9580079853768606</v>
      </c>
      <c r="J20" s="50">
        <f>_xlfn.STDEV.P(H20:H22)</f>
        <v>0.14723798930821261</v>
      </c>
      <c r="L20">
        <v>2.1641482094804396</v>
      </c>
    </row>
    <row r="21" spans="1:12" x14ac:dyDescent="0.25">
      <c r="A21" s="10" t="s">
        <v>58</v>
      </c>
      <c r="C21" s="10">
        <v>25.69</v>
      </c>
      <c r="D21" s="10">
        <v>84.050000000000011</v>
      </c>
      <c r="F21">
        <f t="shared" si="0"/>
        <v>54.870000000000005</v>
      </c>
      <c r="G21">
        <f t="shared" si="1"/>
        <v>29.18000000000001</v>
      </c>
      <c r="H21">
        <f t="shared" si="3"/>
        <v>1.880397532556545</v>
      </c>
      <c r="L21">
        <v>1.880397532556545</v>
      </c>
    </row>
    <row r="22" spans="1:12" x14ac:dyDescent="0.25">
      <c r="A22" s="10" t="s">
        <v>61</v>
      </c>
      <c r="C22" s="10">
        <v>23.129999999999995</v>
      </c>
      <c r="D22" s="10">
        <v>78.900000000000006</v>
      </c>
      <c r="F22">
        <f t="shared" si="0"/>
        <v>51.015000000000001</v>
      </c>
      <c r="G22">
        <f t="shared" si="1"/>
        <v>27.885000000000009</v>
      </c>
      <c r="H22">
        <f t="shared" si="3"/>
        <v>1.8294782140935981</v>
      </c>
      <c r="L22">
        <v>1.8294782140935981</v>
      </c>
    </row>
    <row r="23" spans="1:12" x14ac:dyDescent="0.25">
      <c r="A23" s="10" t="s">
        <v>62</v>
      </c>
      <c r="C23" s="10">
        <v>25.439999999999998</v>
      </c>
      <c r="D23" s="10">
        <v>157.24</v>
      </c>
      <c r="F23">
        <f t="shared" si="0"/>
        <v>91.34</v>
      </c>
      <c r="G23">
        <f t="shared" si="1"/>
        <v>65.900000000000006</v>
      </c>
      <c r="H23">
        <f t="shared" si="3"/>
        <v>1.3860394537177541</v>
      </c>
      <c r="I23" s="50">
        <f>AVERAGEA(H23:H25)</f>
        <v>4.0461256414909812</v>
      </c>
      <c r="J23" s="50">
        <f>_xlfn.STDEV.P(H23:H25)</f>
        <v>2.2688097911061682</v>
      </c>
      <c r="L23">
        <v>1.3860394537177541</v>
      </c>
    </row>
    <row r="24" spans="1:12" x14ac:dyDescent="0.25">
      <c r="A24" s="10" t="s">
        <v>65</v>
      </c>
      <c r="C24" s="10">
        <v>63.480000000000004</v>
      </c>
      <c r="D24" s="10">
        <v>84.89</v>
      </c>
      <c r="F24">
        <f t="shared" si="0"/>
        <v>74.185000000000002</v>
      </c>
      <c r="G24">
        <f t="shared" si="1"/>
        <v>10.705000000000002</v>
      </c>
      <c r="H24">
        <f t="shared" si="3"/>
        <v>6.9299392807099478</v>
      </c>
      <c r="L24">
        <v>6.9299392807099478</v>
      </c>
    </row>
    <row r="25" spans="1:12" x14ac:dyDescent="0.25">
      <c r="A25" s="10" t="s">
        <v>67</v>
      </c>
      <c r="C25" s="10">
        <v>49.9</v>
      </c>
      <c r="D25" s="10">
        <v>85.26</v>
      </c>
      <c r="F25">
        <f t="shared" si="0"/>
        <v>67.58</v>
      </c>
      <c r="G25">
        <f t="shared" si="1"/>
        <v>17.680000000000032</v>
      </c>
      <c r="H25">
        <f t="shared" si="3"/>
        <v>3.822398190045242</v>
      </c>
      <c r="L25">
        <v>3.822398190045242</v>
      </c>
    </row>
    <row r="26" spans="1:12" x14ac:dyDescent="0.25">
      <c r="A26" s="10" t="s">
        <v>68</v>
      </c>
      <c r="C26" s="10">
        <v>25.29</v>
      </c>
      <c r="D26" s="10">
        <v>148.47</v>
      </c>
      <c r="F26">
        <f t="shared" si="0"/>
        <v>86.88</v>
      </c>
      <c r="G26">
        <f t="shared" si="1"/>
        <v>61.59</v>
      </c>
      <c r="H26">
        <f t="shared" si="3"/>
        <v>1.410618606916707</v>
      </c>
      <c r="I26" s="50">
        <f>AVERAGEA(H26:H28)</f>
        <v>2.3445892343453183</v>
      </c>
      <c r="J26" s="50">
        <f>_xlfn.STDEV.P(H26:H28)</f>
        <v>0.67657361486534018</v>
      </c>
      <c r="L26">
        <v>1.410618606916707</v>
      </c>
    </row>
    <row r="27" spans="1:12" x14ac:dyDescent="0.25">
      <c r="A27" s="10" t="s">
        <v>147</v>
      </c>
      <c r="C27" s="10">
        <v>97.779999999999987</v>
      </c>
      <c r="D27" s="10">
        <v>43.93</v>
      </c>
      <c r="F27">
        <f t="shared" si="0"/>
        <v>70.85499999999999</v>
      </c>
      <c r="G27">
        <f t="shared" si="1"/>
        <v>26.924999999999994</v>
      </c>
      <c r="H27">
        <f t="shared" si="3"/>
        <v>2.6315691736304552</v>
      </c>
      <c r="L27">
        <v>2.6315691736304552</v>
      </c>
    </row>
    <row r="28" spans="1:12" x14ac:dyDescent="0.25">
      <c r="A28" s="10" t="s">
        <v>148</v>
      </c>
      <c r="C28" s="10">
        <v>35.409999999999997</v>
      </c>
      <c r="D28" s="10">
        <v>37.590000000000003</v>
      </c>
      <c r="F28">
        <f t="shared" si="0"/>
        <v>36.5</v>
      </c>
      <c r="G28">
        <f t="shared" si="1"/>
        <v>1.0900000000000034</v>
      </c>
      <c r="H28" s="22">
        <v>2.9915799224887927</v>
      </c>
      <c r="L28">
        <v>2.9915799224887927</v>
      </c>
    </row>
    <row r="29" spans="1:12" x14ac:dyDescent="0.25">
      <c r="A29" s="10" t="s">
        <v>149</v>
      </c>
      <c r="C29" s="10">
        <v>47.57</v>
      </c>
      <c r="D29" s="10">
        <v>77.430000000000007</v>
      </c>
      <c r="F29">
        <f t="shared" si="0"/>
        <v>62.5</v>
      </c>
      <c r="G29">
        <f t="shared" si="1"/>
        <v>14.930000000000016</v>
      </c>
      <c r="H29">
        <f t="shared" ref="H29:H39" si="4">F29/G29</f>
        <v>4.1862022772940346</v>
      </c>
      <c r="I29" s="50">
        <f>AVERAGEA(H29:H31)</f>
        <v>3.641627038858045</v>
      </c>
      <c r="J29" s="50">
        <f>_xlfn.STDEV.P(H29:H31)</f>
        <v>1.491139070008104</v>
      </c>
      <c r="L29">
        <v>4.1862022772940346</v>
      </c>
    </row>
    <row r="30" spans="1:12" x14ac:dyDescent="0.25">
      <c r="A30" s="10" t="s">
        <v>150</v>
      </c>
      <c r="C30" s="10">
        <v>62.87</v>
      </c>
      <c r="D30" s="10">
        <v>42.37</v>
      </c>
      <c r="F30">
        <f t="shared" si="0"/>
        <v>52.62</v>
      </c>
      <c r="G30">
        <f t="shared" si="1"/>
        <v>10.249999999999979</v>
      </c>
      <c r="H30">
        <f t="shared" si="4"/>
        <v>5.1336585365853766</v>
      </c>
      <c r="L30">
        <v>5.1336585365853766</v>
      </c>
    </row>
    <row r="31" spans="1:12" x14ac:dyDescent="0.25">
      <c r="A31" s="10" t="s">
        <v>151</v>
      </c>
      <c r="C31" s="10">
        <v>16.39</v>
      </c>
      <c r="D31" s="10">
        <v>70.570000000000007</v>
      </c>
      <c r="F31">
        <f t="shared" si="0"/>
        <v>43.480000000000004</v>
      </c>
      <c r="G31">
        <f t="shared" si="1"/>
        <v>27.09</v>
      </c>
      <c r="H31">
        <f t="shared" si="4"/>
        <v>1.6050203026947214</v>
      </c>
      <c r="L31">
        <v>1.6050203026947214</v>
      </c>
    </row>
    <row r="32" spans="1:12" x14ac:dyDescent="0.25">
      <c r="A32" s="10" t="s">
        <v>152</v>
      </c>
      <c r="C32" s="10">
        <v>70.13000000000001</v>
      </c>
      <c r="D32" s="10">
        <v>185.29000000000002</v>
      </c>
      <c r="F32">
        <f t="shared" si="0"/>
        <v>127.71000000000001</v>
      </c>
      <c r="G32">
        <f t="shared" si="1"/>
        <v>57.580000000000027</v>
      </c>
      <c r="H32">
        <f t="shared" si="4"/>
        <v>2.2179576241750598</v>
      </c>
      <c r="I32" s="50">
        <f>AVERAGEA(H32:H34)</f>
        <v>2.0773309106750975</v>
      </c>
      <c r="J32" s="50">
        <f>_xlfn.STDEV.P(H32:H34)</f>
        <v>0.14758201948301733</v>
      </c>
      <c r="L32">
        <v>2.2179576241750598</v>
      </c>
    </row>
    <row r="33" spans="1:12" x14ac:dyDescent="0.25">
      <c r="A33" s="10" t="s">
        <v>153</v>
      </c>
      <c r="C33" s="10">
        <v>58.66</v>
      </c>
      <c r="D33" s="10">
        <v>161.52000000000001</v>
      </c>
      <c r="F33">
        <f t="shared" si="0"/>
        <v>110.09</v>
      </c>
      <c r="G33">
        <f t="shared" si="1"/>
        <v>51.430000000000007</v>
      </c>
      <c r="H33">
        <f t="shared" si="4"/>
        <v>2.1405794283492123</v>
      </c>
      <c r="L33">
        <v>2.1405794283492123</v>
      </c>
    </row>
    <row r="34" spans="1:12" x14ac:dyDescent="0.25">
      <c r="A34" s="10" t="s">
        <v>154</v>
      </c>
      <c r="C34" s="10">
        <v>36.409999999999997</v>
      </c>
      <c r="D34" s="10">
        <v>119.78</v>
      </c>
      <c r="F34">
        <f t="shared" si="0"/>
        <v>78.094999999999999</v>
      </c>
      <c r="G34">
        <f t="shared" si="1"/>
        <v>41.685000000000002</v>
      </c>
      <c r="H34">
        <f t="shared" si="4"/>
        <v>1.8734556795010193</v>
      </c>
      <c r="L34">
        <v>1.8734556795010193</v>
      </c>
    </row>
    <row r="35" spans="1:12" x14ac:dyDescent="0.25">
      <c r="A35" s="10" t="s">
        <v>155</v>
      </c>
      <c r="C35" s="10">
        <v>49.949999999999996</v>
      </c>
      <c r="D35" s="10">
        <v>235.42000000000002</v>
      </c>
      <c r="F35">
        <f t="shared" si="0"/>
        <v>142.685</v>
      </c>
      <c r="G35">
        <f t="shared" si="1"/>
        <v>92.735000000000014</v>
      </c>
      <c r="H35">
        <f t="shared" si="4"/>
        <v>1.5386315846228498</v>
      </c>
      <c r="I35" s="50">
        <f>AVERAGEA(H35:H37)</f>
        <v>4.3164170705773364</v>
      </c>
      <c r="J35" s="50">
        <f>_xlfn.STDEV.P(H35:H37)</f>
        <v>1.9753513565931329</v>
      </c>
      <c r="L35">
        <v>1.5386315846228498</v>
      </c>
    </row>
    <row r="36" spans="1:12" x14ac:dyDescent="0.25">
      <c r="A36" s="10" t="s">
        <v>156</v>
      </c>
      <c r="C36" s="10">
        <v>54.36</v>
      </c>
      <c r="D36" s="10">
        <v>76.27000000000001</v>
      </c>
      <c r="F36">
        <f t="shared" si="0"/>
        <v>65.314999999999998</v>
      </c>
      <c r="G36">
        <f t="shared" si="1"/>
        <v>10.955000000000041</v>
      </c>
      <c r="H36">
        <f t="shared" si="4"/>
        <v>5.9621177544500004</v>
      </c>
      <c r="L36">
        <v>5.9621177544500004</v>
      </c>
    </row>
    <row r="37" spans="1:12" x14ac:dyDescent="0.25">
      <c r="A37" s="10" t="s">
        <v>157</v>
      </c>
      <c r="C37" s="10">
        <v>47.51</v>
      </c>
      <c r="D37" s="10">
        <v>68.87</v>
      </c>
      <c r="F37">
        <f t="shared" si="0"/>
        <v>58.19</v>
      </c>
      <c r="G37">
        <f t="shared" si="1"/>
        <v>10.680000000000033</v>
      </c>
      <c r="H37">
        <f t="shared" si="4"/>
        <v>5.4485018726591585</v>
      </c>
      <c r="L37">
        <v>5.4485018726591585</v>
      </c>
    </row>
    <row r="38" spans="1:12" x14ac:dyDescent="0.25">
      <c r="A38" s="10" t="s">
        <v>158</v>
      </c>
      <c r="C38" s="10">
        <v>27.39</v>
      </c>
      <c r="D38" s="10">
        <v>67.37</v>
      </c>
      <c r="F38">
        <f t="shared" si="0"/>
        <v>47.38</v>
      </c>
      <c r="G38">
        <f t="shared" si="1"/>
        <v>19.989999999999991</v>
      </c>
      <c r="H38">
        <f t="shared" si="4"/>
        <v>2.3701850925462744</v>
      </c>
      <c r="I38" s="50">
        <f>AVERAGEA(H38:H40)</f>
        <v>2.7755777271035349</v>
      </c>
      <c r="J38" s="50">
        <f>_xlfn.STDEV.P(H38:H40)</f>
        <v>1.5603573033417044</v>
      </c>
      <c r="L38">
        <v>2.3701850925462744</v>
      </c>
    </row>
    <row r="39" spans="1:12" x14ac:dyDescent="0.25">
      <c r="A39" s="10" t="s">
        <v>159</v>
      </c>
      <c r="C39" s="10">
        <v>70.75</v>
      </c>
      <c r="D39" s="10">
        <v>46.59</v>
      </c>
      <c r="F39">
        <f t="shared" si="0"/>
        <v>58.67</v>
      </c>
      <c r="G39">
        <f t="shared" si="1"/>
        <v>12.079999999999993</v>
      </c>
      <c r="H39">
        <f t="shared" si="4"/>
        <v>4.8567880794702019</v>
      </c>
      <c r="L39">
        <v>4.8567880794702019</v>
      </c>
    </row>
    <row r="40" spans="1:12" x14ac:dyDescent="0.25">
      <c r="A40" s="10" t="s">
        <v>160</v>
      </c>
      <c r="C40" s="10">
        <v>37.1</v>
      </c>
      <c r="D40" s="10">
        <v>41.03</v>
      </c>
      <c r="F40">
        <f t="shared" si="0"/>
        <v>39.064999999999998</v>
      </c>
      <c r="G40">
        <f t="shared" si="1"/>
        <v>1.9649999999999999</v>
      </c>
      <c r="H40" s="22">
        <v>1.0997600092941271</v>
      </c>
      <c r="L40">
        <v>1.0997600092941271</v>
      </c>
    </row>
    <row r="41" spans="1:12" x14ac:dyDescent="0.25">
      <c r="A41" s="10" t="s">
        <v>161</v>
      </c>
      <c r="C41" s="10">
        <v>121.17</v>
      </c>
      <c r="D41" s="10">
        <v>122.32000000000001</v>
      </c>
      <c r="F41">
        <f t="shared" si="0"/>
        <v>121.745</v>
      </c>
      <c r="G41">
        <f t="shared" si="1"/>
        <v>0.57500000000000284</v>
      </c>
      <c r="H41" s="22">
        <v>0.80032924657972415</v>
      </c>
      <c r="I41" s="50">
        <f>AVERAGEA(H41:H43)</f>
        <v>2.1425994372096979</v>
      </c>
      <c r="J41" s="50">
        <f>_xlfn.STDEV.P(H41:H43)</f>
        <v>0.9695382079556627</v>
      </c>
      <c r="L41">
        <v>0.80032924657972415</v>
      </c>
    </row>
    <row r="42" spans="1:12" x14ac:dyDescent="0.25">
      <c r="A42" s="10" t="s">
        <v>162</v>
      </c>
      <c r="C42" s="10">
        <v>79.48</v>
      </c>
      <c r="D42" s="10">
        <v>180.64000000000001</v>
      </c>
      <c r="F42">
        <f t="shared" si="0"/>
        <v>130.06</v>
      </c>
      <c r="G42">
        <f t="shared" si="1"/>
        <v>50.58</v>
      </c>
      <c r="H42">
        <f>F42/G42</f>
        <v>2.5713720838276002</v>
      </c>
      <c r="L42">
        <v>2.5713720838276002</v>
      </c>
    </row>
    <row r="43" spans="1:12" x14ac:dyDescent="0.25">
      <c r="A43" s="10" t="s">
        <v>163</v>
      </c>
      <c r="C43" s="10">
        <v>43.25</v>
      </c>
      <c r="D43" s="10">
        <v>85.320000000000007</v>
      </c>
      <c r="F43">
        <f t="shared" si="0"/>
        <v>64.284999999999997</v>
      </c>
      <c r="G43">
        <f t="shared" si="1"/>
        <v>21.035000000000029</v>
      </c>
      <c r="H43">
        <f>F43/G43</f>
        <v>3.0560969812217689</v>
      </c>
      <c r="L43">
        <v>3.0560969812217689</v>
      </c>
    </row>
    <row r="44" spans="1:12" x14ac:dyDescent="0.25">
      <c r="A44" s="10" t="s">
        <v>164</v>
      </c>
      <c r="C44" s="10">
        <v>15.59</v>
      </c>
      <c r="D44" s="10">
        <v>163.81</v>
      </c>
      <c r="F44">
        <f t="shared" si="0"/>
        <v>89.7</v>
      </c>
      <c r="G44">
        <f t="shared" si="1"/>
        <v>74.11</v>
      </c>
      <c r="H44">
        <f>F44/G44</f>
        <v>1.2103629739576307</v>
      </c>
      <c r="I44" s="50">
        <f>AVERAGEA(H44:H46)</f>
        <v>2.6021357736479849</v>
      </c>
      <c r="J44" s="50">
        <f>_xlfn.STDEV.P(H44:H46)</f>
        <v>1.4549928488556074</v>
      </c>
      <c r="L44">
        <v>1.2103629739576307</v>
      </c>
    </row>
    <row r="45" spans="1:12" x14ac:dyDescent="0.25">
      <c r="A45" s="10" t="s">
        <v>165</v>
      </c>
      <c r="C45" s="10">
        <v>60.91</v>
      </c>
      <c r="D45" s="10">
        <v>94.65</v>
      </c>
      <c r="F45">
        <f t="shared" si="0"/>
        <v>77.78</v>
      </c>
      <c r="G45">
        <f t="shared" si="1"/>
        <v>16.870000000000015</v>
      </c>
      <c r="H45">
        <f>F45/G45</f>
        <v>4.6105512744516854</v>
      </c>
      <c r="L45">
        <v>4.6105512744516854</v>
      </c>
    </row>
    <row r="46" spans="1:12" x14ac:dyDescent="0.25">
      <c r="A46" s="10" t="s">
        <v>166</v>
      </c>
      <c r="C46" s="10">
        <v>30.23</v>
      </c>
      <c r="D46" s="10">
        <v>91.58</v>
      </c>
      <c r="F46">
        <f t="shared" si="0"/>
        <v>60.905000000000001</v>
      </c>
      <c r="G46">
        <f t="shared" si="1"/>
        <v>30.674999999999994</v>
      </c>
      <c r="H46">
        <f>F46/G46</f>
        <v>1.9854930725346378</v>
      </c>
      <c r="L46">
        <v>1.9854930725346378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B966E-CE41-4A71-B918-A2E579842989}">
  <dimension ref="A1:Q237"/>
  <sheetViews>
    <sheetView workbookViewId="0">
      <selection activeCell="M2" sqref="M2:M46"/>
    </sheetView>
  </sheetViews>
  <sheetFormatPr defaultRowHeight="13.95" x14ac:dyDescent="0.25"/>
  <cols>
    <col min="1" max="1" width="8.88671875" style="2"/>
    <col min="2" max="2" width="11.6640625" style="1" bestFit="1" customWidth="1"/>
    <col min="3" max="3" width="13.77734375" style="1" bestFit="1" customWidth="1"/>
    <col min="6" max="6" width="11.6640625" bestFit="1" customWidth="1"/>
    <col min="8" max="8" width="8.88671875" style="10"/>
    <col min="11" max="11" width="13.88671875" bestFit="1" customWidth="1"/>
  </cols>
  <sheetData>
    <row r="1" spans="1:17" x14ac:dyDescent="0.25">
      <c r="A1" s="2" t="s">
        <v>78</v>
      </c>
      <c r="B1" s="1" t="s">
        <v>0</v>
      </c>
      <c r="C1" s="1" t="s">
        <v>260</v>
      </c>
      <c r="D1" s="1" t="s">
        <v>261</v>
      </c>
      <c r="E1" s="1" t="s">
        <v>0</v>
      </c>
      <c r="F1" s="1" t="s">
        <v>280</v>
      </c>
      <c r="H1" s="10" t="s">
        <v>78</v>
      </c>
      <c r="I1" s="10" t="s">
        <v>242</v>
      </c>
      <c r="J1" s="10" t="s">
        <v>243</v>
      </c>
      <c r="K1" s="10" t="s">
        <v>281</v>
      </c>
    </row>
    <row r="2" spans="1:17" x14ac:dyDescent="0.25">
      <c r="A2" s="12" t="s">
        <v>69</v>
      </c>
      <c r="B2" s="5" t="s">
        <v>71</v>
      </c>
      <c r="C2" s="5">
        <v>2.38</v>
      </c>
      <c r="D2" s="1" t="s">
        <v>69</v>
      </c>
      <c r="E2" s="1" t="s">
        <v>73</v>
      </c>
      <c r="F2" s="1">
        <v>12.59</v>
      </c>
      <c r="H2" s="10" t="s">
        <v>132</v>
      </c>
      <c r="I2">
        <f>AVERAGEA(C2:C5,F2:F5)</f>
        <v>20.349999999999998</v>
      </c>
      <c r="J2">
        <f>_xlfn.STDEV.P(C2:C5,F2:F5)</f>
        <v>27.360291939231935</v>
      </c>
      <c r="K2">
        <f>I2/J2</f>
        <v>0.74377861337145035</v>
      </c>
      <c r="M2">
        <v>0.50420494827527262</v>
      </c>
      <c r="N2" s="50">
        <f>AVERAGEA(M2:M4)</f>
        <v>0.52021787884218618</v>
      </c>
      <c r="O2" s="50">
        <f>_xlfn.STDEV.P(M2:M4)</f>
        <v>1.366973338232054E-2</v>
      </c>
    </row>
    <row r="3" spans="1:17" x14ac:dyDescent="0.25">
      <c r="A3" s="12"/>
      <c r="B3" s="6" t="s">
        <v>70</v>
      </c>
      <c r="C3" s="6">
        <v>7.05</v>
      </c>
      <c r="D3" s="1"/>
      <c r="E3" s="1" t="s">
        <v>262</v>
      </c>
      <c r="F3" s="1">
        <v>1.43</v>
      </c>
      <c r="H3" s="10" t="s">
        <v>133</v>
      </c>
      <c r="I3">
        <f>AVERAGEA(C6:C16,F6:F10)</f>
        <v>5.3518749999999997</v>
      </c>
      <c r="J3">
        <f>_xlfn.STDEV.P(C6:C16,F6:F10)</f>
        <v>8.5907248084416601</v>
      </c>
      <c r="K3">
        <f t="shared" ref="K3:K46" si="0">I3/J3</f>
        <v>0.6229829402451571</v>
      </c>
      <c r="M3">
        <v>0.51884447434456427</v>
      </c>
    </row>
    <row r="4" spans="1:17" x14ac:dyDescent="0.25">
      <c r="A4" s="12"/>
      <c r="B4" s="7" t="s">
        <v>17</v>
      </c>
      <c r="C4" s="7">
        <v>22.1</v>
      </c>
      <c r="D4" s="1"/>
      <c r="E4" s="1" t="s">
        <v>17</v>
      </c>
      <c r="F4" s="1">
        <v>17.91</v>
      </c>
      <c r="H4" s="10" t="s">
        <v>134</v>
      </c>
      <c r="I4">
        <f>AVERAGEA(C17:C20,F11:F14)</f>
        <v>3.2887499999999998</v>
      </c>
      <c r="J4">
        <f>_xlfn.STDEV.P(C17:C20,F11:F14)</f>
        <v>3.5567310746667364</v>
      </c>
      <c r="K4">
        <f t="shared" si="0"/>
        <v>0.92465523284133977</v>
      </c>
      <c r="M4">
        <v>0.53760421390672186</v>
      </c>
    </row>
    <row r="5" spans="1:17" x14ac:dyDescent="0.25">
      <c r="A5" s="12"/>
      <c r="B5" s="8" t="s">
        <v>15</v>
      </c>
      <c r="C5" s="8">
        <v>90.55</v>
      </c>
      <c r="D5" s="1"/>
      <c r="E5" s="1" t="s">
        <v>70</v>
      </c>
      <c r="F5" s="1">
        <v>8.7899999999999991</v>
      </c>
      <c r="H5" s="10" t="s">
        <v>135</v>
      </c>
      <c r="I5">
        <f>AVERAGEA(C24:C25,F15:F19)</f>
        <v>34.78142857142857</v>
      </c>
      <c r="J5">
        <f>_xlfn.STDEV.P(C24:C25,F15:F19)</f>
        <v>32.182562460602981</v>
      </c>
      <c r="K5">
        <f t="shared" si="0"/>
        <v>1.0807538589882968</v>
      </c>
      <c r="M5">
        <v>0.55220409934557735</v>
      </c>
      <c r="N5" s="50">
        <f>AVERAGEA(M5:M7)</f>
        <v>0.56437794974539734</v>
      </c>
      <c r="O5" s="50">
        <f>_xlfn.STDEV.P(M5:M7)</f>
        <v>1.1872535211933943E-2</v>
      </c>
    </row>
    <row r="6" spans="1:17" x14ac:dyDescent="0.25">
      <c r="A6" s="12" t="s">
        <v>72</v>
      </c>
      <c r="B6" s="5" t="s">
        <v>23</v>
      </c>
      <c r="C6" s="5">
        <v>0.01</v>
      </c>
      <c r="D6" s="1" t="s">
        <v>72</v>
      </c>
      <c r="E6" s="1" t="s">
        <v>71</v>
      </c>
      <c r="F6" s="1">
        <v>2.92</v>
      </c>
      <c r="H6" s="10" t="s">
        <v>136</v>
      </c>
      <c r="I6">
        <f>AVERAGEA(C26:C28,F20:F22)</f>
        <v>37.518333333333331</v>
      </c>
      <c r="J6">
        <f>_xlfn.STDEV.P(C26:C28,F20:F22)</f>
        <v>27.494718533242388</v>
      </c>
      <c r="K6">
        <f t="shared" si="0"/>
        <v>1.3645650995834684</v>
      </c>
      <c r="M6">
        <v>0.56045070182067958</v>
      </c>
    </row>
    <row r="7" spans="1:17" x14ac:dyDescent="0.25">
      <c r="A7" s="12"/>
      <c r="B7" s="6" t="s">
        <v>75</v>
      </c>
      <c r="C7" s="6">
        <v>3.6</v>
      </c>
      <c r="D7" s="1"/>
      <c r="E7" s="1" t="s">
        <v>15</v>
      </c>
      <c r="F7" s="1">
        <v>1.44</v>
      </c>
      <c r="H7" s="10" t="s">
        <v>137</v>
      </c>
      <c r="I7">
        <f>AVERAGEA(C30:C32)</f>
        <v>16.510000000000002</v>
      </c>
      <c r="J7">
        <f>_xlfn.STDEV.P(C30:C32)</f>
        <v>17.74359790647507</v>
      </c>
      <c r="K7">
        <f t="shared" si="0"/>
        <v>0.93047645054981221</v>
      </c>
      <c r="M7">
        <v>0.58047904806993522</v>
      </c>
    </row>
    <row r="8" spans="1:17" x14ac:dyDescent="0.25">
      <c r="A8" s="12"/>
      <c r="B8" s="7" t="s">
        <v>74</v>
      </c>
      <c r="C8" s="7">
        <v>0.34</v>
      </c>
      <c r="D8" s="1"/>
      <c r="E8" s="1" t="s">
        <v>70</v>
      </c>
      <c r="F8" s="1">
        <v>4.1500000000000004</v>
      </c>
      <c r="H8" s="10" t="s">
        <v>138</v>
      </c>
      <c r="I8">
        <f>AVERAGEA(C33:C38,F25:F28)</f>
        <v>15.819000000000003</v>
      </c>
      <c r="J8">
        <f>_xlfn.STDEV.P(C33:C38,F25:F28)</f>
        <v>18.407165153819857</v>
      </c>
      <c r="K8">
        <f t="shared" si="0"/>
        <v>0.85939360394760411</v>
      </c>
      <c r="M8">
        <v>0.59469212617360057</v>
      </c>
      <c r="N8" s="50">
        <f>AVERAGEA(M8:M10)</f>
        <v>0.60112790758153212</v>
      </c>
      <c r="O8" s="50">
        <f>_xlfn.STDEV.P(M8:M10)</f>
        <v>8.8382138355343632E-3</v>
      </c>
    </row>
    <row r="9" spans="1:17" x14ac:dyDescent="0.25">
      <c r="A9" s="12"/>
      <c r="B9" s="8" t="s">
        <v>71</v>
      </c>
      <c r="C9" s="8">
        <v>6.53</v>
      </c>
      <c r="D9" s="1"/>
      <c r="E9" s="1" t="s">
        <v>17</v>
      </c>
      <c r="F9" s="1">
        <v>1.73</v>
      </c>
      <c r="H9" s="10" t="s">
        <v>139</v>
      </c>
      <c r="I9">
        <f>AVERAGEA(C39:C42,F29:F33)</f>
        <v>15.503333333333337</v>
      </c>
      <c r="J9">
        <f>_xlfn.STDEV.P(C39:C42,F29:F33)</f>
        <v>12.395443607318864</v>
      </c>
      <c r="K9">
        <f t="shared" si="0"/>
        <v>1.2507283986334645</v>
      </c>
      <c r="M9">
        <v>0.59506643548647253</v>
      </c>
    </row>
    <row r="10" spans="1:17" x14ac:dyDescent="0.25">
      <c r="A10" s="12"/>
      <c r="B10" s="5" t="s">
        <v>15</v>
      </c>
      <c r="C10" s="5">
        <v>36.44</v>
      </c>
      <c r="D10" s="1"/>
      <c r="E10" s="1" t="s">
        <v>23</v>
      </c>
      <c r="F10" s="1">
        <v>0.05</v>
      </c>
      <c r="H10" s="10" t="s">
        <v>140</v>
      </c>
      <c r="I10">
        <f>AVERAGEA(C43:C47,F34:F39)</f>
        <v>29.707999999999998</v>
      </c>
      <c r="J10">
        <f>_xlfn.STDEV.P(C10:C13,F10:F12)</f>
        <v>11.903474197022636</v>
      </c>
      <c r="K10">
        <f t="shared" si="0"/>
        <v>2.4957419580437055</v>
      </c>
      <c r="M10">
        <v>0.61362516108452347</v>
      </c>
    </row>
    <row r="11" spans="1:17" x14ac:dyDescent="0.25">
      <c r="A11" s="12"/>
      <c r="B11" s="6" t="s">
        <v>73</v>
      </c>
      <c r="C11" s="6">
        <v>5.68</v>
      </c>
      <c r="D11" s="1" t="s">
        <v>77</v>
      </c>
      <c r="E11" s="1" t="s">
        <v>74</v>
      </c>
      <c r="F11" s="1">
        <v>0.35</v>
      </c>
      <c r="H11" s="10" t="s">
        <v>141</v>
      </c>
      <c r="I11">
        <f>AVERAGEA(C48:C49,F40:F41)</f>
        <v>68.412500000000009</v>
      </c>
      <c r="J11">
        <f>_xlfn.STDEV.P(C48:C49,F40:F41)</f>
        <v>19.645076196085324</v>
      </c>
      <c r="K11">
        <f t="shared" si="0"/>
        <v>3.4824247723525028</v>
      </c>
      <c r="M11">
        <v>0.6229829402451571</v>
      </c>
      <c r="N11" s="50">
        <f>AVERAGEA(M11:M13)</f>
        <v>0.65004216490753775</v>
      </c>
      <c r="O11" s="50">
        <f>_xlfn.STDEV.P(M11:M13)</f>
        <v>2.0270594900573934E-2</v>
      </c>
    </row>
    <row r="12" spans="1:17" x14ac:dyDescent="0.25">
      <c r="A12" s="12"/>
      <c r="B12" s="7" t="s">
        <v>129</v>
      </c>
      <c r="C12" s="7">
        <v>9.32</v>
      </c>
      <c r="D12" s="1"/>
      <c r="E12" s="1" t="s">
        <v>73</v>
      </c>
      <c r="F12" s="1">
        <v>7.8</v>
      </c>
      <c r="H12" s="10" t="s">
        <v>142</v>
      </c>
      <c r="I12">
        <f>AVERAGEA(C50:C51,F42:F43)</f>
        <v>115.72499999999999</v>
      </c>
      <c r="J12">
        <f>_xlfn.STDEV.P(C50:C51,F42:F43)</f>
        <v>66.13539842625886</v>
      </c>
      <c r="K12">
        <f t="shared" si="0"/>
        <v>1.7498193517202996</v>
      </c>
      <c r="M12">
        <v>0.65537456448451281</v>
      </c>
      <c r="Q12" t="s">
        <v>409</v>
      </c>
    </row>
    <row r="13" spans="1:17" x14ac:dyDescent="0.25">
      <c r="A13" s="12"/>
      <c r="B13" s="8" t="s">
        <v>16</v>
      </c>
      <c r="C13" s="8">
        <v>0.48</v>
      </c>
      <c r="D13" s="1"/>
      <c r="E13" s="1" t="s">
        <v>70</v>
      </c>
      <c r="F13" s="1">
        <v>8.09</v>
      </c>
      <c r="H13" s="10" t="s">
        <v>143</v>
      </c>
      <c r="I13">
        <f>AVERAGEA(C52:C56,F44:F45)</f>
        <v>51.32714285714286</v>
      </c>
      <c r="J13">
        <f>_xlfn.STDEV.P(C52:C56,F44:F45)</f>
        <v>48.044047561820271</v>
      </c>
      <c r="K13">
        <f t="shared" si="0"/>
        <v>1.0683351104233691</v>
      </c>
      <c r="M13">
        <v>0.67176898999294332</v>
      </c>
    </row>
    <row r="14" spans="1:17" x14ac:dyDescent="0.25">
      <c r="A14" s="12"/>
      <c r="B14" s="5" t="s">
        <v>76</v>
      </c>
      <c r="C14" s="5">
        <v>1.85</v>
      </c>
      <c r="D14" s="1"/>
      <c r="E14" s="1" t="s">
        <v>17</v>
      </c>
      <c r="F14" s="1">
        <v>0.8</v>
      </c>
      <c r="H14" s="10" t="s">
        <v>144</v>
      </c>
      <c r="I14">
        <f>AVERAGEA(C57:C61,F46:F51)</f>
        <v>24.468181818181815</v>
      </c>
      <c r="J14">
        <f>_xlfn.STDEV.P(C57:C61,F46:F51)</f>
        <v>33.863551018806426</v>
      </c>
      <c r="K14">
        <f t="shared" si="0"/>
        <v>0.72255215658255068</v>
      </c>
      <c r="M14">
        <v>0.72255215658255068</v>
      </c>
      <c r="N14" s="50">
        <f>AVERAGEA(M14:M16)</f>
        <v>0.72885703752622266</v>
      </c>
      <c r="O14" s="50">
        <f>_xlfn.STDEV.P(M14:M16)</f>
        <v>5.016738304315406E-3</v>
      </c>
    </row>
    <row r="15" spans="1:17" x14ac:dyDescent="0.25">
      <c r="A15" s="12"/>
      <c r="B15" s="6" t="s">
        <v>17</v>
      </c>
      <c r="C15" s="6">
        <v>10.039999999999999</v>
      </c>
      <c r="D15" s="1" t="s">
        <v>79</v>
      </c>
      <c r="E15" s="1" t="s">
        <v>15</v>
      </c>
      <c r="F15" s="1">
        <v>23.84</v>
      </c>
      <c r="H15" s="10" t="s">
        <v>145</v>
      </c>
      <c r="I15">
        <f>AVERAGEA(C62:C65,F52:F54)</f>
        <v>71.122857142857143</v>
      </c>
      <c r="J15">
        <f>_xlfn.STDEV.P(C62:C65,F52:F54)</f>
        <v>119.59609689215087</v>
      </c>
      <c r="K15">
        <f t="shared" si="0"/>
        <v>0.59469212617360057</v>
      </c>
      <c r="M15">
        <v>0.72919205860514413</v>
      </c>
    </row>
    <row r="16" spans="1:17" x14ac:dyDescent="0.25">
      <c r="A16" s="12"/>
      <c r="B16" s="7" t="s">
        <v>70</v>
      </c>
      <c r="C16" s="7">
        <v>1.05</v>
      </c>
      <c r="D16" s="1"/>
      <c r="E16" s="1" t="s">
        <v>17</v>
      </c>
      <c r="F16" s="1">
        <v>63.36</v>
      </c>
      <c r="H16" s="10" t="s">
        <v>146</v>
      </c>
      <c r="I16">
        <f>AVERAGEA(C66:C71,F55:F59)</f>
        <v>32.158999999999999</v>
      </c>
      <c r="J16">
        <f>_xlfn.STDEV.P(C66:C71,F55:F59)</f>
        <v>44.102235646279887</v>
      </c>
      <c r="K16">
        <f t="shared" si="0"/>
        <v>0.72919205860514413</v>
      </c>
      <c r="M16">
        <v>0.73482689739097296</v>
      </c>
    </row>
    <row r="17" spans="1:15" x14ac:dyDescent="0.25">
      <c r="A17" s="12" t="s">
        <v>77</v>
      </c>
      <c r="B17" s="5" t="s">
        <v>70</v>
      </c>
      <c r="C17" s="5">
        <v>7.71</v>
      </c>
      <c r="D17" s="1"/>
      <c r="E17" s="1" t="s">
        <v>70</v>
      </c>
      <c r="F17" s="1">
        <v>6.05</v>
      </c>
      <c r="H17" s="10" t="s">
        <v>43</v>
      </c>
      <c r="I17">
        <f>AVERAGEA(C72:C75,F61:F65)</f>
        <v>5.2911111111111104</v>
      </c>
      <c r="J17">
        <f>_xlfn.STDEV.P(C72:C75,F61:F65)</f>
        <v>4.1800383954760898</v>
      </c>
      <c r="K17">
        <f t="shared" si="0"/>
        <v>1.2658044282170939</v>
      </c>
      <c r="M17">
        <v>0.74377861337145035</v>
      </c>
      <c r="N17" s="50">
        <f>AVERAGEA(M17:M19)</f>
        <v>0.75800600809705621</v>
      </c>
      <c r="O17" s="50">
        <f>_xlfn.STDEV.P(M17:M19)</f>
        <v>1.1743455894730579E-2</v>
      </c>
    </row>
    <row r="18" spans="1:15" x14ac:dyDescent="0.25">
      <c r="A18" s="12"/>
      <c r="B18" s="6" t="s">
        <v>75</v>
      </c>
      <c r="C18" s="6">
        <v>0.99</v>
      </c>
      <c r="D18" s="1"/>
      <c r="E18" s="1" t="s">
        <v>73</v>
      </c>
      <c r="F18" s="1">
        <v>2.4</v>
      </c>
      <c r="H18" s="10" t="s">
        <v>48</v>
      </c>
      <c r="I18">
        <f>AVERAGEA(C76:C79,F67:F70)</f>
        <v>8.99</v>
      </c>
      <c r="J18">
        <f>_xlfn.STDEV.P(C76:C79,F67:F70)</f>
        <v>16.280212353827398</v>
      </c>
      <c r="K18">
        <f t="shared" si="0"/>
        <v>0.55220409934557735</v>
      </c>
      <c r="M18">
        <v>0.75770019981469816</v>
      </c>
    </row>
    <row r="19" spans="1:15" x14ac:dyDescent="0.25">
      <c r="A19" s="12"/>
      <c r="B19" s="7" t="s">
        <v>16</v>
      </c>
      <c r="C19" s="7">
        <v>0.5</v>
      </c>
      <c r="D19" s="1"/>
      <c r="E19" s="1" t="s">
        <v>167</v>
      </c>
      <c r="F19" s="1">
        <v>1</v>
      </c>
      <c r="H19" s="10" t="s">
        <v>50</v>
      </c>
      <c r="I19">
        <f>AVERAGEA(C80:C84,F72:F76)</f>
        <v>18.132222222222222</v>
      </c>
      <c r="J19">
        <f>_xlfn.STDEV.P(C80:C84,F72:F76)</f>
        <v>27.666960551763534</v>
      </c>
      <c r="K19">
        <f t="shared" si="0"/>
        <v>0.65537456448451281</v>
      </c>
      <c r="M19">
        <v>0.77253921110502011</v>
      </c>
    </row>
    <row r="20" spans="1:15" x14ac:dyDescent="0.25">
      <c r="A20" s="12"/>
      <c r="B20" s="8" t="s">
        <v>71</v>
      </c>
      <c r="C20" s="8">
        <v>7.0000000000000007E-2</v>
      </c>
      <c r="D20" s="1" t="s">
        <v>80</v>
      </c>
      <c r="E20" s="1" t="s">
        <v>15</v>
      </c>
      <c r="F20" s="1">
        <v>24.12</v>
      </c>
      <c r="H20" s="10" t="s">
        <v>54</v>
      </c>
      <c r="I20">
        <f>AVERAGEA(C155:C159,F78:F81)</f>
        <v>29.282222222222224</v>
      </c>
      <c r="J20">
        <f>_xlfn.STDEV.P(C85:C90,F78:F81)</f>
        <v>10.528862474170701</v>
      </c>
      <c r="K20">
        <f t="shared" si="0"/>
        <v>2.7811382562985387</v>
      </c>
      <c r="M20">
        <v>0.79763512085461352</v>
      </c>
      <c r="N20" s="50">
        <f>AVERAGEA(M20:M22)</f>
        <v>0.80396543034087475</v>
      </c>
      <c r="O20" s="50">
        <f>_xlfn.STDEV.P(M20:M22)</f>
        <v>7.1326862211327268E-3</v>
      </c>
    </row>
    <row r="21" spans="1:15" x14ac:dyDescent="0.25">
      <c r="A21" s="12"/>
      <c r="B21" s="5" t="s">
        <v>130</v>
      </c>
      <c r="C21" s="5"/>
      <c r="D21" s="1"/>
      <c r="E21" s="1" t="s">
        <v>17</v>
      </c>
      <c r="F21" s="1">
        <v>42.77</v>
      </c>
      <c r="H21" s="10" t="s">
        <v>58</v>
      </c>
      <c r="I21">
        <f>AVERAGEA(C91:C96,F83:F85)</f>
        <v>12.163333333333334</v>
      </c>
      <c r="J21">
        <f>_xlfn.STDEV.P(C91:C96,F83:F85)</f>
        <v>11.505917318203418</v>
      </c>
      <c r="K21">
        <f t="shared" si="0"/>
        <v>1.0571372100936118</v>
      </c>
      <c r="M21">
        <v>0.80032924657972415</v>
      </c>
    </row>
    <row r="22" spans="1:15" x14ac:dyDescent="0.25">
      <c r="A22" s="12"/>
      <c r="B22" s="6" t="s">
        <v>17</v>
      </c>
      <c r="C22" s="6"/>
      <c r="D22" s="1"/>
      <c r="E22" s="1" t="s">
        <v>70</v>
      </c>
      <c r="F22" s="1">
        <v>3.38</v>
      </c>
      <c r="H22" s="10" t="s">
        <v>61</v>
      </c>
      <c r="I22">
        <f>AVERAGEA(C97:C99,F87:F93)</f>
        <v>10.203000000000001</v>
      </c>
      <c r="J22">
        <f>_xlfn.STDEV.P(C97:C99,F87:F93)</f>
        <v>13.207096615077822</v>
      </c>
      <c r="K22">
        <f t="shared" si="0"/>
        <v>0.77253921110502011</v>
      </c>
      <c r="M22">
        <v>0.81393192358828659</v>
      </c>
    </row>
    <row r="23" spans="1:15" x14ac:dyDescent="0.25">
      <c r="A23" s="12"/>
      <c r="B23" s="8" t="s">
        <v>15</v>
      </c>
      <c r="C23" s="8"/>
      <c r="D23" s="1" t="s">
        <v>81</v>
      </c>
      <c r="E23" s="1" t="s">
        <v>17</v>
      </c>
      <c r="F23" s="1"/>
      <c r="H23" s="10" t="s">
        <v>62</v>
      </c>
      <c r="I23">
        <f>AVERAGEA(C100:C104,F95:F98)</f>
        <v>19.568888888888893</v>
      </c>
      <c r="J23">
        <f>_xlfn.STDEV.P(C100:C104,F95:F98)</f>
        <v>16.409770425941325</v>
      </c>
      <c r="K23">
        <f t="shared" si="0"/>
        <v>1.1925144825885856</v>
      </c>
      <c r="M23">
        <v>0.85939360394760411</v>
      </c>
      <c r="N23" s="50">
        <f>AVERAGEA(M23:M25)</f>
        <v>0.90484176244625203</v>
      </c>
      <c r="O23" s="50">
        <f>_xlfn.STDEV.P(M23:M25)</f>
        <v>3.2224452176269555E-2</v>
      </c>
    </row>
    <row r="24" spans="1:15" x14ac:dyDescent="0.25">
      <c r="A24" s="12" t="s">
        <v>79</v>
      </c>
      <c r="B24" s="5" t="s">
        <v>17</v>
      </c>
      <c r="C24" s="5">
        <v>60.88</v>
      </c>
      <c r="D24" s="1"/>
      <c r="E24" s="1" t="s">
        <v>73</v>
      </c>
      <c r="F24" s="1"/>
      <c r="H24" s="10" t="s">
        <v>65</v>
      </c>
      <c r="I24">
        <f>AVERAGEA(C105:C109,F100:F103)</f>
        <v>16.485555555555553</v>
      </c>
      <c r="J24">
        <f>_xlfn.STDEV.P(C105:C109,F100:F103)</f>
        <v>11.577700895458106</v>
      </c>
      <c r="K24">
        <f t="shared" si="0"/>
        <v>1.423905808624127</v>
      </c>
      <c r="M24">
        <v>0.92465523284133977</v>
      </c>
    </row>
    <row r="25" spans="1:15" x14ac:dyDescent="0.25">
      <c r="A25" s="12"/>
      <c r="B25" s="3" t="s">
        <v>15</v>
      </c>
      <c r="C25" s="3">
        <v>85.94</v>
      </c>
      <c r="D25" s="1" t="s">
        <v>83</v>
      </c>
      <c r="E25" s="1" t="s">
        <v>75</v>
      </c>
      <c r="F25" s="1">
        <v>1.45</v>
      </c>
      <c r="H25" s="10" t="s">
        <v>67</v>
      </c>
      <c r="I25">
        <f>AVERAGEA(C110:C113,F105:F109)</f>
        <v>16.895000000000003</v>
      </c>
      <c r="J25">
        <f>_xlfn.STDEV.P(C43:C47,F105:F109)</f>
        <v>27.533095237065762</v>
      </c>
      <c r="K25">
        <f t="shared" si="0"/>
        <v>0.61362516108452347</v>
      </c>
      <c r="M25">
        <v>0.93047645054981221</v>
      </c>
    </row>
    <row r="26" spans="1:15" x14ac:dyDescent="0.25">
      <c r="A26" s="12" t="s">
        <v>80</v>
      </c>
      <c r="B26" s="5" t="s">
        <v>17</v>
      </c>
      <c r="C26" s="5">
        <v>81.099999999999994</v>
      </c>
      <c r="D26" s="1"/>
      <c r="E26" s="1" t="s">
        <v>15</v>
      </c>
      <c r="F26" s="1">
        <v>13.87</v>
      </c>
      <c r="H26" s="10" t="s">
        <v>68</v>
      </c>
      <c r="I26">
        <f>AVERAGEA(C114:C117,F111:F117)</f>
        <v>15.796363636363639</v>
      </c>
      <c r="J26">
        <f>_xlfn.STDEV.P(C114:C117,F111:F117)</f>
        <v>29.382886569234408</v>
      </c>
      <c r="K26">
        <f t="shared" si="0"/>
        <v>0.53760421390672186</v>
      </c>
      <c r="M26">
        <v>1.0141115469851887</v>
      </c>
      <c r="N26" s="50">
        <f>AVERAGEA(M26:M28)</f>
        <v>1.0465279558340566</v>
      </c>
      <c r="O26" s="50">
        <f>_xlfn.STDEV.P(M26:M28)</f>
        <v>2.3373288385698094E-2</v>
      </c>
    </row>
    <row r="27" spans="1:15" x14ac:dyDescent="0.25">
      <c r="A27" s="12"/>
      <c r="B27" s="6" t="s">
        <v>70</v>
      </c>
      <c r="C27" s="6">
        <v>11.74</v>
      </c>
      <c r="D27" s="1"/>
      <c r="E27" s="1" t="s">
        <v>17</v>
      </c>
      <c r="F27" s="1">
        <v>23.54</v>
      </c>
      <c r="H27" s="10" t="s">
        <v>147</v>
      </c>
      <c r="I27">
        <f>AVERAGEA(C118:C122,F119:F124)</f>
        <v>14.171000000000001</v>
      </c>
      <c r="J27">
        <f>_xlfn.STDEV.P(C118:C122,F119:F124)</f>
        <v>19.284813947767294</v>
      </c>
      <c r="K27">
        <f t="shared" si="0"/>
        <v>0.73482689739097296</v>
      </c>
      <c r="M27">
        <v>1.0571372100936118</v>
      </c>
    </row>
    <row r="28" spans="1:15" x14ac:dyDescent="0.25">
      <c r="A28" s="12"/>
      <c r="B28" s="7" t="s">
        <v>15</v>
      </c>
      <c r="C28" s="7">
        <v>62</v>
      </c>
      <c r="D28" s="1"/>
      <c r="E28" s="1" t="s">
        <v>70</v>
      </c>
      <c r="F28" s="1">
        <v>11.96</v>
      </c>
      <c r="H28" s="10" t="s">
        <v>148</v>
      </c>
      <c r="I28">
        <f>AVERAGEA(C52:C56,F126:F130)</f>
        <v>21.703000000000003</v>
      </c>
      <c r="J28">
        <f>_xlfn.STDEV.P(C123:C127,F126:F130)</f>
        <v>7.2546950314951211</v>
      </c>
      <c r="K28">
        <f t="shared" si="0"/>
        <v>2.9915799224887927</v>
      </c>
      <c r="M28">
        <v>1.0683351104233691</v>
      </c>
    </row>
    <row r="29" spans="1:15" x14ac:dyDescent="0.25">
      <c r="A29" s="12" t="s">
        <v>81</v>
      </c>
      <c r="B29" s="5" t="s">
        <v>17</v>
      </c>
      <c r="C29" s="5"/>
      <c r="D29" s="1" t="s">
        <v>84</v>
      </c>
      <c r="E29" s="1" t="s">
        <v>75</v>
      </c>
      <c r="F29" s="1">
        <v>1.86</v>
      </c>
      <c r="H29" s="10" t="s">
        <v>149</v>
      </c>
      <c r="I29">
        <f>AVERAGEA(C128:C129,F132:F137)</f>
        <v>9.3485714285714305</v>
      </c>
      <c r="J29">
        <f>_xlfn.STDEV.P(C128:C130,F132:F137)</f>
        <v>18.018061077707557</v>
      </c>
      <c r="K29">
        <f t="shared" si="0"/>
        <v>0.51884447434456427</v>
      </c>
      <c r="M29">
        <v>1.0807538589882968</v>
      </c>
      <c r="N29" s="50">
        <f>AVERAGEA(M29:M31)</f>
        <v>1.0992175498552523</v>
      </c>
      <c r="O29" s="50">
        <f>_xlfn.STDEV.P(M29:M31)</f>
        <v>1.485903404859755E-2</v>
      </c>
    </row>
    <row r="30" spans="1:15" x14ac:dyDescent="0.25">
      <c r="A30" s="12"/>
      <c r="B30" s="6" t="s">
        <v>129</v>
      </c>
      <c r="C30" s="6">
        <v>4.91</v>
      </c>
      <c r="D30" s="1"/>
      <c r="E30" s="1" t="s">
        <v>15</v>
      </c>
      <c r="F30" s="1">
        <v>36.5</v>
      </c>
      <c r="H30" s="10" t="s">
        <v>150</v>
      </c>
      <c r="I30">
        <f>AVERAGEA(C131:C133,F139:F141)</f>
        <v>17.54</v>
      </c>
      <c r="J30">
        <f>_xlfn.STDEV.P(C131:C133,F139:F141)</f>
        <v>13.975646675556732</v>
      </c>
      <c r="K30">
        <f t="shared" si="0"/>
        <v>1.2550403145692919</v>
      </c>
      <c r="M30">
        <v>1.0997600092941271</v>
      </c>
    </row>
    <row r="31" spans="1:15" x14ac:dyDescent="0.25">
      <c r="A31" s="12"/>
      <c r="B31" s="7" t="s">
        <v>82</v>
      </c>
      <c r="C31" s="7">
        <v>3.04</v>
      </c>
      <c r="D31" s="1"/>
      <c r="E31" s="1" t="s">
        <v>17</v>
      </c>
      <c r="F31" s="1">
        <v>22.82</v>
      </c>
      <c r="H31" s="10" t="s">
        <v>151</v>
      </c>
      <c r="I31">
        <f>AVERAGEA(C134:C137,F143:F148)</f>
        <v>9.6622222222222209</v>
      </c>
      <c r="J31">
        <f>_xlfn.STDEV.P(C31:C34,F26:F28)</f>
        <v>12.113586738595194</v>
      </c>
      <c r="K31">
        <f t="shared" si="0"/>
        <v>0.79763512085461352</v>
      </c>
      <c r="M31">
        <v>1.1171387812833329</v>
      </c>
    </row>
    <row r="32" spans="1:15" x14ac:dyDescent="0.25">
      <c r="A32" s="12"/>
      <c r="B32" s="8" t="s">
        <v>73</v>
      </c>
      <c r="C32" s="8">
        <v>41.58</v>
      </c>
      <c r="D32" s="1"/>
      <c r="E32" s="1" t="s">
        <v>70</v>
      </c>
      <c r="F32" s="1">
        <v>5.83</v>
      </c>
      <c r="H32" s="10" t="s">
        <v>152</v>
      </c>
      <c r="I32">
        <f>AVERAGEA(C138:C145,F150:F155)</f>
        <v>19.64769230769231</v>
      </c>
      <c r="J32">
        <f>_xlfn.STDEV.P(C155:C159,F150:F155)</f>
        <v>38.967670537349775</v>
      </c>
      <c r="K32">
        <f t="shared" si="0"/>
        <v>0.50420494827527262</v>
      </c>
      <c r="M32">
        <v>1.1258835545566934</v>
      </c>
      <c r="N32" s="50">
        <f>AVERAGEA(M32:M34)</f>
        <v>1.1334792185964913</v>
      </c>
      <c r="O32" s="50">
        <f>_xlfn.STDEV.P(M32:M34)</f>
        <v>9.1057163142593059E-3</v>
      </c>
    </row>
    <row r="33" spans="1:15" x14ac:dyDescent="0.25">
      <c r="A33" s="12" t="s">
        <v>83</v>
      </c>
      <c r="B33" s="5" t="s">
        <v>70</v>
      </c>
      <c r="C33" s="5">
        <v>24.69</v>
      </c>
      <c r="D33" s="1"/>
      <c r="E33" s="1" t="s">
        <v>16</v>
      </c>
      <c r="F33" s="1">
        <v>2.5299999999999998</v>
      </c>
      <c r="H33" s="10" t="s">
        <v>153</v>
      </c>
      <c r="I33">
        <f>AVERAGEA(C146:C148,F157:F162)</f>
        <v>24.464444444444442</v>
      </c>
      <c r="J33">
        <f>_xlfn.STDEV.P(C146:C148,F157:F162)</f>
        <v>43.651376231610158</v>
      </c>
      <c r="K33">
        <f t="shared" si="0"/>
        <v>0.56045070182067958</v>
      </c>
      <c r="M33">
        <v>1.1282714678901284</v>
      </c>
    </row>
    <row r="34" spans="1:15" x14ac:dyDescent="0.25">
      <c r="A34" s="12"/>
      <c r="B34" s="6" t="s">
        <v>71</v>
      </c>
      <c r="C34" s="6">
        <v>7.12</v>
      </c>
      <c r="D34" s="1" t="s">
        <v>85</v>
      </c>
      <c r="E34" s="1" t="s">
        <v>75</v>
      </c>
      <c r="F34" s="1">
        <v>1.84</v>
      </c>
      <c r="H34" s="10" t="s">
        <v>154</v>
      </c>
      <c r="I34">
        <f>AVERAGEA(C149:C154,F164:F169)</f>
        <v>14.199090909090915</v>
      </c>
      <c r="J34">
        <f>_xlfn.STDEV.P(C34:C37,F29:F31)</f>
        <v>12.387076708721679</v>
      </c>
      <c r="K34">
        <f t="shared" si="0"/>
        <v>1.1462826333426519</v>
      </c>
      <c r="M34">
        <v>1.1462826333426519</v>
      </c>
    </row>
    <row r="35" spans="1:15" x14ac:dyDescent="0.25">
      <c r="A35" s="12"/>
      <c r="B35" s="7" t="s">
        <v>17</v>
      </c>
      <c r="C35" s="7">
        <v>4.93</v>
      </c>
      <c r="D35" s="1"/>
      <c r="E35" s="1" t="s">
        <v>15</v>
      </c>
      <c r="F35" s="1">
        <v>84.23</v>
      </c>
      <c r="H35" s="10" t="s">
        <v>155</v>
      </c>
      <c r="I35">
        <f>AVERAGEA(C155:C159,F171:F178)</f>
        <v>21.951538461538458</v>
      </c>
      <c r="J35">
        <f>_xlfn.STDEV.P(C155:C159,F171:F178)</f>
        <v>37.816245968784337</v>
      </c>
      <c r="K35">
        <f t="shared" si="0"/>
        <v>0.58047904806993522</v>
      </c>
      <c r="M35">
        <v>1.1925144825885856</v>
      </c>
      <c r="N35" s="50">
        <f>AVERAGEA(M35:M37)</f>
        <v>1.2185545308012904</v>
      </c>
      <c r="O35" s="50">
        <f>_xlfn.STDEV.P(M35:M37)</f>
        <v>2.4158267220742352E-2</v>
      </c>
    </row>
    <row r="36" spans="1:15" x14ac:dyDescent="0.25">
      <c r="A36" s="12"/>
      <c r="B36" s="8" t="s">
        <v>75</v>
      </c>
      <c r="C36" s="8">
        <v>0.82</v>
      </c>
      <c r="D36" s="1"/>
      <c r="E36" s="1" t="s">
        <v>17</v>
      </c>
      <c r="F36" s="1">
        <v>42.27</v>
      </c>
      <c r="H36" s="10" t="s">
        <v>156</v>
      </c>
      <c r="I36">
        <f>AVERAGEA(C160:C166,F180:F182)</f>
        <v>14.514444444444443</v>
      </c>
      <c r="J36">
        <f>_xlfn.STDEV.P(C160:C166,F180:F182)</f>
        <v>21.606303149832669</v>
      </c>
      <c r="K36">
        <f t="shared" si="0"/>
        <v>0.67176898999294332</v>
      </c>
      <c r="M36">
        <v>1.2124207111818213</v>
      </c>
    </row>
    <row r="37" spans="1:15" x14ac:dyDescent="0.25">
      <c r="A37" s="12"/>
      <c r="B37" s="5" t="s">
        <v>35</v>
      </c>
      <c r="C37" s="5">
        <v>4.2699999999999996</v>
      </c>
      <c r="D37" s="1"/>
      <c r="E37" s="1" t="s">
        <v>70</v>
      </c>
      <c r="F37" s="1">
        <v>1.36</v>
      </c>
      <c r="H37" s="10" t="s">
        <v>157</v>
      </c>
      <c r="I37">
        <f>AVERAGEA(C167:C174,F184:F189)</f>
        <v>8.3128571428571441</v>
      </c>
      <c r="J37">
        <f>_xlfn.STDEV.P(C167:C174,F164:F169)</f>
        <v>7.3677810521985592</v>
      </c>
      <c r="K37">
        <f t="shared" si="0"/>
        <v>1.1282714678901284</v>
      </c>
      <c r="M37">
        <v>1.2507283986334645</v>
      </c>
    </row>
    <row r="38" spans="1:15" x14ac:dyDescent="0.25">
      <c r="A38" s="12"/>
      <c r="B38" s="3" t="s">
        <v>15</v>
      </c>
      <c r="C38" s="3">
        <v>65.540000000000006</v>
      </c>
      <c r="D38" s="1"/>
      <c r="E38" s="1" t="s">
        <v>167</v>
      </c>
      <c r="F38" s="1">
        <v>2.69</v>
      </c>
      <c r="H38" s="10" t="s">
        <v>158</v>
      </c>
      <c r="I38">
        <f>AVERAGEA(C175:C179,F191:F198)</f>
        <v>9.4177777777777774</v>
      </c>
      <c r="J38">
        <f>_xlfn.STDEV.P(C180:C184,F200:F204)</f>
        <v>11.570719251628221</v>
      </c>
      <c r="K38">
        <f t="shared" si="0"/>
        <v>0.81393192358828659</v>
      </c>
      <c r="M38">
        <v>1.2550403145692919</v>
      </c>
      <c r="N38" s="50">
        <f>AVERAGEA(M38:M40)</f>
        <v>1.2951366141232847</v>
      </c>
      <c r="O38" s="50">
        <f>_xlfn.STDEV.P(M38:M40)</f>
        <v>4.9289637048957183E-2</v>
      </c>
    </row>
    <row r="39" spans="1:15" x14ac:dyDescent="0.25">
      <c r="A39" s="12" t="s">
        <v>84</v>
      </c>
      <c r="B39" s="13" t="s">
        <v>17</v>
      </c>
      <c r="C39" s="13">
        <v>20.190000000000001</v>
      </c>
      <c r="D39" s="1"/>
      <c r="E39" s="1" t="s">
        <v>16</v>
      </c>
      <c r="F39" s="1"/>
      <c r="H39" s="10" t="s">
        <v>159</v>
      </c>
      <c r="I39">
        <f>AVERAGEA(C180:C184,F200:F204)</f>
        <v>11.734</v>
      </c>
      <c r="J39">
        <f>_xlfn.STDEV.P(C180:C184,F200:F204)</f>
        <v>11.570719251628221</v>
      </c>
      <c r="K39">
        <f t="shared" si="0"/>
        <v>1.0141115469851887</v>
      </c>
      <c r="M39">
        <v>1.2658044282170939</v>
      </c>
    </row>
    <row r="40" spans="1:15" x14ac:dyDescent="0.25">
      <c r="A40" s="12"/>
      <c r="B40" s="6" t="s">
        <v>71</v>
      </c>
      <c r="C40" s="6">
        <v>3.53</v>
      </c>
      <c r="D40" s="1" t="s">
        <v>86</v>
      </c>
      <c r="E40" s="1" t="s">
        <v>15</v>
      </c>
      <c r="F40" s="1">
        <v>68.95</v>
      </c>
      <c r="H40" s="10" t="s">
        <v>160</v>
      </c>
      <c r="I40">
        <f>AVERAGEA(C185:C188,F206:F209)</f>
        <v>10.641250000000001</v>
      </c>
      <c r="J40">
        <f>_xlfn.STDEV.P(C185:C188,F206:F209)</f>
        <v>9.6759746763568977</v>
      </c>
      <c r="K40">
        <f t="shared" si="0"/>
        <v>1.0997600092941271</v>
      </c>
      <c r="M40">
        <v>1.3645650995834684</v>
      </c>
    </row>
    <row r="41" spans="1:15" x14ac:dyDescent="0.25">
      <c r="A41" s="12"/>
      <c r="B41" s="7" t="s">
        <v>70</v>
      </c>
      <c r="C41" s="7">
        <v>14.23</v>
      </c>
      <c r="D41" s="1"/>
      <c r="E41" s="1" t="s">
        <v>17</v>
      </c>
      <c r="F41" s="1">
        <v>47.11</v>
      </c>
      <c r="H41" s="10" t="s">
        <v>161</v>
      </c>
      <c r="I41">
        <f>AVERAGEA(C189:C193,F211:F212)</f>
        <v>34.784285714285716</v>
      </c>
      <c r="J41">
        <f>_xlfn.STDEV.P(C189:C193,F211:F212)</f>
        <v>43.462469805944679</v>
      </c>
      <c r="K41">
        <f t="shared" si="0"/>
        <v>0.80032924657972415</v>
      </c>
      <c r="M41">
        <v>1.423905808624127</v>
      </c>
      <c r="N41" s="50">
        <f>AVERAGEA(M41:M43)</f>
        <v>1.8898223727960441</v>
      </c>
      <c r="O41" s="50">
        <f>_xlfn.STDEV.P(M41:M43)</f>
        <v>0.44863408789598808</v>
      </c>
    </row>
    <row r="42" spans="1:15" x14ac:dyDescent="0.25">
      <c r="A42" s="12"/>
      <c r="B42" s="8" t="s">
        <v>15</v>
      </c>
      <c r="C42" s="8">
        <v>32.04</v>
      </c>
      <c r="D42" s="1" t="s">
        <v>87</v>
      </c>
      <c r="E42" s="1" t="s">
        <v>15</v>
      </c>
      <c r="F42" s="1">
        <v>139.16</v>
      </c>
      <c r="H42" s="10" t="s">
        <v>162</v>
      </c>
      <c r="I42">
        <f>AVERAGEA(C194:C198,F214:F215)</f>
        <v>24.302857142857142</v>
      </c>
      <c r="J42">
        <f>_xlfn.STDEV.P(C194:C197,F214:F215)</f>
        <v>21.585586754951915</v>
      </c>
      <c r="K42">
        <f t="shared" si="0"/>
        <v>1.1258835545566934</v>
      </c>
      <c r="M42">
        <v>1.7498193517202996</v>
      </c>
    </row>
    <row r="43" spans="1:15" x14ac:dyDescent="0.25">
      <c r="A43" s="12" t="s">
        <v>85</v>
      </c>
      <c r="B43" s="5" t="s">
        <v>23</v>
      </c>
      <c r="C43" s="5">
        <v>1.4</v>
      </c>
      <c r="D43" s="1"/>
      <c r="E43" s="1" t="s">
        <v>17</v>
      </c>
      <c r="F43" s="1">
        <v>58.11</v>
      </c>
      <c r="H43" s="10" t="s">
        <v>163</v>
      </c>
      <c r="I43">
        <f>AVERAGEA(C199:C205,F217:F221)</f>
        <v>12.857000000000003</v>
      </c>
      <c r="J43">
        <f>_xlfn.STDEV.P(C199:C205,F217:F221)</f>
        <v>10.604404792349259</v>
      </c>
      <c r="K43">
        <f t="shared" si="0"/>
        <v>1.2124207111818213</v>
      </c>
      <c r="M43">
        <v>2.4957419580437055</v>
      </c>
    </row>
    <row r="44" spans="1:15" x14ac:dyDescent="0.25">
      <c r="A44" s="12"/>
      <c r="B44" s="6" t="s">
        <v>70</v>
      </c>
      <c r="C44" s="6">
        <v>15.09</v>
      </c>
      <c r="D44" s="1" t="s">
        <v>88</v>
      </c>
      <c r="E44" s="1" t="s">
        <v>15</v>
      </c>
      <c r="F44" s="1">
        <v>128.19</v>
      </c>
      <c r="H44" s="10" t="s">
        <v>164</v>
      </c>
      <c r="I44">
        <f>AVERAGEA(C206:C208,F223:F227)</f>
        <v>20.905000000000001</v>
      </c>
      <c r="J44">
        <f>_xlfn.STDEV.P(C206:C208,F223:F227)</f>
        <v>35.130531237087773</v>
      </c>
      <c r="K44">
        <f t="shared" si="0"/>
        <v>0.59506643548647253</v>
      </c>
      <c r="M44">
        <v>2.7811382562985387</v>
      </c>
      <c r="N44" s="50">
        <f>AVERAGEA(M44:M46)</f>
        <v>3.0850476503799449</v>
      </c>
      <c r="O44" s="50">
        <f>_xlfn.STDEV.P(M44:M46)</f>
        <v>0.29382858553656477</v>
      </c>
    </row>
    <row r="45" spans="1:15" x14ac:dyDescent="0.25">
      <c r="A45" s="12"/>
      <c r="B45" s="7" t="s">
        <v>71</v>
      </c>
      <c r="C45" s="7">
        <v>8.3699999999999992</v>
      </c>
      <c r="D45" s="1"/>
      <c r="E45" s="1" t="s">
        <v>17</v>
      </c>
      <c r="F45" s="1">
        <v>49.48</v>
      </c>
      <c r="H45" s="10" t="s">
        <v>165</v>
      </c>
      <c r="I45">
        <f>AVERAGEA(C209:C211,F229:F231)</f>
        <v>22.5</v>
      </c>
      <c r="J45">
        <f>_xlfn.STDEV.P(C45:C48,F38:F40)</f>
        <v>29.695122167715621</v>
      </c>
      <c r="K45">
        <f t="shared" si="0"/>
        <v>0.75770019981469816</v>
      </c>
      <c r="M45">
        <v>2.9915799224887927</v>
      </c>
    </row>
    <row r="46" spans="1:15" x14ac:dyDescent="0.25">
      <c r="A46" s="12"/>
      <c r="B46" s="8" t="s">
        <v>17</v>
      </c>
      <c r="C46" s="8">
        <v>60.23</v>
      </c>
      <c r="D46" s="1" t="s">
        <v>89</v>
      </c>
      <c r="E46" s="1" t="s">
        <v>17</v>
      </c>
      <c r="F46" s="1">
        <v>9.77</v>
      </c>
      <c r="H46" s="10" t="s">
        <v>166</v>
      </c>
      <c r="I46">
        <f>AVERAGEA(C212:C215,F233:F236)</f>
        <v>13.217142857142859</v>
      </c>
      <c r="J46">
        <f>_xlfn.STDEV.P(C212:C215,F233:F236)</f>
        <v>11.831245211950689</v>
      </c>
      <c r="K46">
        <f t="shared" si="0"/>
        <v>1.1171387812833329</v>
      </c>
      <c r="M46">
        <v>3.4824247723525028</v>
      </c>
    </row>
    <row r="47" spans="1:15" x14ac:dyDescent="0.25">
      <c r="A47" s="12"/>
      <c r="B47" s="3" t="s">
        <v>15</v>
      </c>
      <c r="C47" s="3">
        <v>79.599999999999994</v>
      </c>
      <c r="D47" s="1"/>
      <c r="E47" s="1" t="s">
        <v>70</v>
      </c>
      <c r="F47" s="1">
        <v>103.64</v>
      </c>
    </row>
    <row r="48" spans="1:15" x14ac:dyDescent="0.25">
      <c r="A48" s="12" t="s">
        <v>86</v>
      </c>
      <c r="B48" s="5" t="s">
        <v>17</v>
      </c>
      <c r="C48" s="5">
        <v>57.89</v>
      </c>
      <c r="D48" s="1"/>
      <c r="E48" s="1" t="s">
        <v>263</v>
      </c>
      <c r="F48" s="1">
        <v>6.42</v>
      </c>
    </row>
    <row r="49" spans="1:6" x14ac:dyDescent="0.25">
      <c r="A49" s="12"/>
      <c r="B49" s="8" t="s">
        <v>15</v>
      </c>
      <c r="C49" s="8">
        <v>99.7</v>
      </c>
      <c r="D49" s="1"/>
      <c r="E49" s="1" t="s">
        <v>71</v>
      </c>
      <c r="F49" s="1">
        <v>9.6999999999999993</v>
      </c>
    </row>
    <row r="50" spans="1:6" x14ac:dyDescent="0.25">
      <c r="A50" s="12" t="s">
        <v>87</v>
      </c>
      <c r="B50" s="5" t="s">
        <v>15</v>
      </c>
      <c r="C50" s="5">
        <v>213.57</v>
      </c>
      <c r="D50" s="1"/>
      <c r="E50" s="1" t="s">
        <v>23</v>
      </c>
      <c r="F50" s="1">
        <v>2.2400000000000002</v>
      </c>
    </row>
    <row r="51" spans="1:6" x14ac:dyDescent="0.25">
      <c r="A51" s="12"/>
      <c r="B51" s="3" t="s">
        <v>17</v>
      </c>
      <c r="C51" s="3">
        <v>52.06</v>
      </c>
      <c r="D51" s="1"/>
      <c r="E51" s="1" t="s">
        <v>264</v>
      </c>
      <c r="F51" s="1">
        <v>12.5</v>
      </c>
    </row>
    <row r="52" spans="1:6" x14ac:dyDescent="0.25">
      <c r="A52" s="12" t="s">
        <v>88</v>
      </c>
      <c r="B52" s="5" t="s">
        <v>75</v>
      </c>
      <c r="C52" s="5">
        <v>0.8</v>
      </c>
      <c r="D52" s="1" t="s">
        <v>91</v>
      </c>
      <c r="E52" s="1" t="s">
        <v>17</v>
      </c>
      <c r="F52" s="1">
        <v>358.74</v>
      </c>
    </row>
    <row r="53" spans="1:6" x14ac:dyDescent="0.25">
      <c r="A53" s="12"/>
      <c r="B53" s="6" t="s">
        <v>15</v>
      </c>
      <c r="C53" s="6">
        <v>116.02</v>
      </c>
      <c r="D53" s="1"/>
      <c r="E53" s="1" t="s">
        <v>71</v>
      </c>
      <c r="F53" s="1">
        <v>3.02</v>
      </c>
    </row>
    <row r="54" spans="1:6" x14ac:dyDescent="0.25">
      <c r="A54" s="12"/>
      <c r="B54" s="7" t="s">
        <v>16</v>
      </c>
      <c r="C54" s="7">
        <v>0.45</v>
      </c>
      <c r="D54" s="1"/>
      <c r="E54" s="1" t="s">
        <v>70</v>
      </c>
      <c r="F54" s="1">
        <v>21.51</v>
      </c>
    </row>
    <row r="55" spans="1:6" x14ac:dyDescent="0.25">
      <c r="A55" s="12"/>
      <c r="B55" s="8" t="s">
        <v>71</v>
      </c>
      <c r="C55" s="8">
        <v>22.53</v>
      </c>
      <c r="D55" s="1" t="s">
        <v>92</v>
      </c>
      <c r="E55" s="1" t="s">
        <v>17</v>
      </c>
      <c r="F55" s="1">
        <v>114.08</v>
      </c>
    </row>
    <row r="56" spans="1:6" x14ac:dyDescent="0.25">
      <c r="A56" s="12"/>
      <c r="B56" s="3" t="s">
        <v>17</v>
      </c>
      <c r="C56" s="3">
        <v>41.82</v>
      </c>
      <c r="D56" s="1"/>
      <c r="E56" s="1" t="s">
        <v>70</v>
      </c>
      <c r="F56" s="1">
        <v>111.82</v>
      </c>
    </row>
    <row r="57" spans="1:6" x14ac:dyDescent="0.25">
      <c r="A57" s="12" t="s">
        <v>89</v>
      </c>
      <c r="B57" s="5" t="s">
        <v>90</v>
      </c>
      <c r="C57" s="5">
        <v>0.47</v>
      </c>
      <c r="D57" s="1"/>
      <c r="E57" s="1" t="s">
        <v>23</v>
      </c>
      <c r="F57" s="1"/>
    </row>
    <row r="58" spans="1:6" x14ac:dyDescent="0.25">
      <c r="A58" s="12"/>
      <c r="B58" s="6" t="s">
        <v>23</v>
      </c>
      <c r="C58" s="6">
        <v>7.0000000000000007E-2</v>
      </c>
      <c r="D58" s="1"/>
      <c r="E58" s="1" t="s">
        <v>263</v>
      </c>
      <c r="F58" s="1">
        <v>1.56</v>
      </c>
    </row>
    <row r="59" spans="1:6" x14ac:dyDescent="0.25">
      <c r="A59" s="12"/>
      <c r="B59" s="7" t="s">
        <v>70</v>
      </c>
      <c r="C59" s="7">
        <v>84.92</v>
      </c>
      <c r="D59" s="1"/>
      <c r="E59" s="1" t="s">
        <v>167</v>
      </c>
      <c r="F59" s="1">
        <v>6.26</v>
      </c>
    </row>
    <row r="60" spans="1:6" x14ac:dyDescent="0.25">
      <c r="A60" s="12"/>
      <c r="B60" s="8" t="s">
        <v>17</v>
      </c>
      <c r="C60" s="8">
        <v>25.95</v>
      </c>
      <c r="D60" s="1"/>
      <c r="E60" s="1"/>
      <c r="F60" s="9">
        <f>SUM(F55:F59)</f>
        <v>233.71999999999997</v>
      </c>
    </row>
    <row r="61" spans="1:6" x14ac:dyDescent="0.25">
      <c r="A61" s="12"/>
      <c r="B61" s="3" t="s">
        <v>15</v>
      </c>
      <c r="C61" s="3">
        <v>13.47</v>
      </c>
      <c r="D61" s="1" t="s">
        <v>14</v>
      </c>
      <c r="E61" s="1" t="s">
        <v>16</v>
      </c>
      <c r="F61" s="1">
        <v>10.23</v>
      </c>
    </row>
    <row r="62" spans="1:6" x14ac:dyDescent="0.25">
      <c r="A62" s="12" t="s">
        <v>91</v>
      </c>
      <c r="B62" s="5" t="s">
        <v>17</v>
      </c>
      <c r="C62" s="5">
        <v>55.13</v>
      </c>
      <c r="D62" s="1"/>
      <c r="E62" s="1" t="s">
        <v>17</v>
      </c>
      <c r="F62" s="1">
        <v>1.85</v>
      </c>
    </row>
    <row r="63" spans="1:6" x14ac:dyDescent="0.25">
      <c r="A63" s="12"/>
      <c r="B63" s="6" t="s">
        <v>71</v>
      </c>
      <c r="C63" s="6">
        <v>0.97</v>
      </c>
      <c r="D63" s="1"/>
      <c r="E63" s="1" t="s">
        <v>265</v>
      </c>
      <c r="F63" s="1">
        <v>4.26</v>
      </c>
    </row>
    <row r="64" spans="1:6" x14ac:dyDescent="0.25">
      <c r="A64" s="12"/>
      <c r="B64" s="7" t="s">
        <v>70</v>
      </c>
      <c r="C64" s="7">
        <v>57.66</v>
      </c>
      <c r="D64" s="1"/>
      <c r="E64" s="1" t="s">
        <v>266</v>
      </c>
      <c r="F64" s="1">
        <v>0.35</v>
      </c>
    </row>
    <row r="65" spans="1:6" x14ac:dyDescent="0.25">
      <c r="A65" s="12"/>
      <c r="B65" s="8" t="s">
        <v>15</v>
      </c>
      <c r="C65" s="8">
        <v>0.83</v>
      </c>
      <c r="D65" s="1"/>
      <c r="E65" s="1" t="s">
        <v>267</v>
      </c>
      <c r="F65" s="1">
        <v>1.19</v>
      </c>
    </row>
    <row r="66" spans="1:6" x14ac:dyDescent="0.25">
      <c r="A66" s="12" t="s">
        <v>92</v>
      </c>
      <c r="B66" s="5" t="s">
        <v>71</v>
      </c>
      <c r="C66" s="5">
        <v>0.25</v>
      </c>
      <c r="D66" s="1"/>
      <c r="E66" s="1"/>
      <c r="F66" s="9">
        <f>SUM(F61:F65)</f>
        <v>17.880000000000003</v>
      </c>
    </row>
    <row r="67" spans="1:6" x14ac:dyDescent="0.25">
      <c r="A67" s="12"/>
      <c r="B67" s="6" t="s">
        <v>23</v>
      </c>
      <c r="C67" s="6">
        <v>0.28000000000000003</v>
      </c>
      <c r="D67" s="1" t="s">
        <v>19</v>
      </c>
      <c r="E67" s="1" t="s">
        <v>17</v>
      </c>
      <c r="F67" s="1">
        <v>1.1399999999999999</v>
      </c>
    </row>
    <row r="68" spans="1:6" x14ac:dyDescent="0.25">
      <c r="A68" s="12"/>
      <c r="B68" s="7" t="s">
        <v>17</v>
      </c>
      <c r="C68" s="7">
        <v>7.2</v>
      </c>
      <c r="D68" s="1"/>
      <c r="E68" s="1" t="s">
        <v>16</v>
      </c>
      <c r="F68" s="1">
        <v>2.59</v>
      </c>
    </row>
    <row r="69" spans="1:6" x14ac:dyDescent="0.25">
      <c r="A69" s="12"/>
      <c r="B69" s="8" t="s">
        <v>15</v>
      </c>
      <c r="C69" s="8">
        <v>15.82</v>
      </c>
      <c r="D69" s="1"/>
      <c r="E69" s="1" t="s">
        <v>265</v>
      </c>
      <c r="F69" s="1">
        <v>1.18</v>
      </c>
    </row>
    <row r="70" spans="1:6" x14ac:dyDescent="0.25">
      <c r="A70" s="12"/>
      <c r="B70" s="5" t="s">
        <v>93</v>
      </c>
      <c r="C70" s="5">
        <v>1.65</v>
      </c>
      <c r="D70" s="1"/>
      <c r="E70" s="1" t="s">
        <v>39</v>
      </c>
      <c r="F70" s="1">
        <v>0.19</v>
      </c>
    </row>
    <row r="71" spans="1:6" x14ac:dyDescent="0.25">
      <c r="A71" s="12"/>
      <c r="B71" s="6" t="s">
        <v>70</v>
      </c>
      <c r="C71" s="6">
        <v>62.67</v>
      </c>
      <c r="D71" s="1"/>
      <c r="E71" s="1"/>
      <c r="F71" s="9">
        <f>SUM(F67:F70)</f>
        <v>5.0999999999999996</v>
      </c>
    </row>
    <row r="72" spans="1:6" x14ac:dyDescent="0.25">
      <c r="A72" s="2" t="s">
        <v>14</v>
      </c>
      <c r="B72" s="3" t="s">
        <v>15</v>
      </c>
      <c r="C72" s="3">
        <v>1.3</v>
      </c>
      <c r="D72" s="1" t="s">
        <v>22</v>
      </c>
      <c r="E72" s="1" t="s">
        <v>16</v>
      </c>
      <c r="F72" s="1">
        <v>6.33</v>
      </c>
    </row>
    <row r="73" spans="1:6" x14ac:dyDescent="0.25">
      <c r="B73" s="4" t="s">
        <v>16</v>
      </c>
      <c r="C73" s="4">
        <v>7.16</v>
      </c>
      <c r="D73" s="1"/>
      <c r="E73" s="1" t="s">
        <v>265</v>
      </c>
      <c r="F73" s="1"/>
    </row>
    <row r="74" spans="1:6" x14ac:dyDescent="0.25">
      <c r="B74" s="5" t="s">
        <v>17</v>
      </c>
      <c r="C74" s="5">
        <v>11.66</v>
      </c>
      <c r="D74" s="1"/>
      <c r="E74" s="1" t="s">
        <v>23</v>
      </c>
      <c r="F74" s="1">
        <v>4.7300000000000004</v>
      </c>
    </row>
    <row r="75" spans="1:6" x14ac:dyDescent="0.25">
      <c r="B75" s="6" t="s">
        <v>18</v>
      </c>
      <c r="C75" s="6">
        <v>9.6199999999999992</v>
      </c>
      <c r="D75" s="1"/>
      <c r="E75" s="1" t="s">
        <v>268</v>
      </c>
      <c r="F75" s="1">
        <v>5.79</v>
      </c>
    </row>
    <row r="76" spans="1:6" x14ac:dyDescent="0.25">
      <c r="A76" s="2" t="s">
        <v>19</v>
      </c>
      <c r="B76" s="7" t="s">
        <v>17</v>
      </c>
      <c r="C76" s="7">
        <v>4.4800000000000004</v>
      </c>
      <c r="D76" s="1"/>
      <c r="E76" s="1" t="s">
        <v>269</v>
      </c>
      <c r="F76" s="1">
        <v>1.99</v>
      </c>
    </row>
    <row r="77" spans="1:6" x14ac:dyDescent="0.25">
      <c r="B77" s="8" t="s">
        <v>18</v>
      </c>
      <c r="C77" s="8"/>
      <c r="D77" s="1"/>
      <c r="E77" s="1"/>
      <c r="F77" s="9">
        <f>SUM(F72:F76)</f>
        <v>18.84</v>
      </c>
    </row>
    <row r="78" spans="1:6" x14ac:dyDescent="0.25">
      <c r="B78" s="3" t="s">
        <v>16</v>
      </c>
      <c r="C78" s="3">
        <v>4.67</v>
      </c>
      <c r="D78" s="1" t="s">
        <v>26</v>
      </c>
      <c r="E78" s="1" t="s">
        <v>267</v>
      </c>
      <c r="F78" s="1">
        <v>0.02</v>
      </c>
    </row>
    <row r="79" spans="1:6" x14ac:dyDescent="0.25">
      <c r="B79" s="4" t="s">
        <v>20</v>
      </c>
      <c r="C79" s="4">
        <v>48.68</v>
      </c>
      <c r="D79" s="1"/>
      <c r="E79" s="1" t="s">
        <v>266</v>
      </c>
      <c r="F79" s="1">
        <v>0.51</v>
      </c>
    </row>
    <row r="80" spans="1:6" x14ac:dyDescent="0.25">
      <c r="A80" s="2" t="s">
        <v>22</v>
      </c>
      <c r="B80" s="5" t="s">
        <v>23</v>
      </c>
      <c r="C80" s="5">
        <v>6.02</v>
      </c>
      <c r="D80" s="1"/>
      <c r="E80" s="1" t="s">
        <v>270</v>
      </c>
      <c r="F80" s="1">
        <v>27.07</v>
      </c>
    </row>
    <row r="81" spans="1:6" x14ac:dyDescent="0.25">
      <c r="B81" s="6" t="s">
        <v>15</v>
      </c>
      <c r="C81" s="6">
        <v>1.83</v>
      </c>
      <c r="D81" s="1"/>
      <c r="E81" s="1" t="s">
        <v>39</v>
      </c>
      <c r="F81" s="1">
        <v>0.52</v>
      </c>
    </row>
    <row r="82" spans="1:6" x14ac:dyDescent="0.25">
      <c r="B82" s="7" t="s">
        <v>24</v>
      </c>
      <c r="C82" s="7">
        <v>2.66</v>
      </c>
      <c r="D82" s="1"/>
      <c r="E82" s="1"/>
      <c r="F82" s="9">
        <f>SUM(F78:F81)</f>
        <v>28.12</v>
      </c>
    </row>
    <row r="83" spans="1:6" x14ac:dyDescent="0.25">
      <c r="B83" s="8" t="s">
        <v>25</v>
      </c>
      <c r="C83" s="8">
        <v>86.22</v>
      </c>
      <c r="D83" s="1" t="s">
        <v>29</v>
      </c>
      <c r="E83" s="1" t="s">
        <v>266</v>
      </c>
      <c r="F83" s="1">
        <v>1.19</v>
      </c>
    </row>
    <row r="84" spans="1:6" x14ac:dyDescent="0.25">
      <c r="B84" s="3" t="s">
        <v>20</v>
      </c>
      <c r="C84" s="3">
        <v>47.62</v>
      </c>
      <c r="D84" s="1"/>
      <c r="E84" s="1" t="s">
        <v>268</v>
      </c>
      <c r="F84" s="1">
        <v>5.45</v>
      </c>
    </row>
    <row r="85" spans="1:6" x14ac:dyDescent="0.25">
      <c r="A85" s="2" t="s">
        <v>26</v>
      </c>
      <c r="B85" s="9" t="s">
        <v>27</v>
      </c>
      <c r="C85" s="9">
        <v>1.59</v>
      </c>
      <c r="D85" s="1"/>
      <c r="E85" s="1" t="s">
        <v>270</v>
      </c>
      <c r="F85" s="1">
        <v>19.05</v>
      </c>
    </row>
    <row r="86" spans="1:6" x14ac:dyDescent="0.25">
      <c r="B86" s="5" t="s">
        <v>28</v>
      </c>
      <c r="C86" s="5">
        <v>9.5299999999999994</v>
      </c>
      <c r="D86" s="1"/>
      <c r="E86" s="1"/>
      <c r="F86" s="9">
        <f>SUM(F83:F85)</f>
        <v>25.69</v>
      </c>
    </row>
    <row r="87" spans="1:6" x14ac:dyDescent="0.25">
      <c r="B87" s="6" t="s">
        <v>16</v>
      </c>
      <c r="C87" s="6">
        <v>16.25</v>
      </c>
      <c r="D87" s="1" t="s">
        <v>33</v>
      </c>
      <c r="E87" s="1" t="s">
        <v>271</v>
      </c>
      <c r="F87" s="1">
        <v>0.25</v>
      </c>
    </row>
    <row r="88" spans="1:6" x14ac:dyDescent="0.25">
      <c r="B88" s="7" t="s">
        <v>23</v>
      </c>
      <c r="C88" s="7">
        <v>2.08</v>
      </c>
      <c r="D88" s="1"/>
      <c r="E88" s="1" t="s">
        <v>16</v>
      </c>
      <c r="F88" s="1">
        <v>7.19</v>
      </c>
    </row>
    <row r="89" spans="1:6" x14ac:dyDescent="0.25">
      <c r="B89" s="8" t="s">
        <v>30</v>
      </c>
      <c r="C89" s="8">
        <v>22.26</v>
      </c>
      <c r="D89" s="1"/>
      <c r="E89" s="1" t="s">
        <v>23</v>
      </c>
      <c r="F89" s="1">
        <v>2.5099999999999998</v>
      </c>
    </row>
    <row r="90" spans="1:6" x14ac:dyDescent="0.25">
      <c r="B90" s="3" t="s">
        <v>24</v>
      </c>
      <c r="C90" s="3">
        <v>24.72</v>
      </c>
      <c r="D90" s="1"/>
      <c r="E90" s="1" t="s">
        <v>167</v>
      </c>
      <c r="F90" s="1">
        <v>5.23</v>
      </c>
    </row>
    <row r="91" spans="1:6" x14ac:dyDescent="0.25">
      <c r="A91" s="2" t="s">
        <v>29</v>
      </c>
      <c r="B91" s="9" t="s">
        <v>31</v>
      </c>
      <c r="C91" s="9">
        <v>0.11</v>
      </c>
      <c r="D91" s="1"/>
      <c r="E91" s="1" t="s">
        <v>270</v>
      </c>
      <c r="F91" s="1">
        <v>3.33</v>
      </c>
    </row>
    <row r="92" spans="1:6" x14ac:dyDescent="0.25">
      <c r="B92" s="5" t="s">
        <v>20</v>
      </c>
      <c r="C92" s="5">
        <v>10.210000000000001</v>
      </c>
      <c r="D92" s="1"/>
      <c r="E92" s="1" t="s">
        <v>167</v>
      </c>
      <c r="F92" s="1">
        <v>3.9</v>
      </c>
    </row>
    <row r="93" spans="1:6" x14ac:dyDescent="0.25">
      <c r="B93" s="6" t="s">
        <v>24</v>
      </c>
      <c r="C93" s="6">
        <v>9.69</v>
      </c>
      <c r="D93" s="1"/>
      <c r="E93" s="1" t="s">
        <v>269</v>
      </c>
      <c r="F93" s="1">
        <v>0.72</v>
      </c>
    </row>
    <row r="94" spans="1:6" x14ac:dyDescent="0.25">
      <c r="B94" s="7" t="s">
        <v>23</v>
      </c>
      <c r="C94" s="7">
        <v>1.87</v>
      </c>
      <c r="D94" s="1"/>
      <c r="E94" s="1"/>
      <c r="F94" s="9">
        <f>SUM(F87:F93)</f>
        <v>23.129999999999995</v>
      </c>
    </row>
    <row r="95" spans="1:6" x14ac:dyDescent="0.25">
      <c r="B95" s="8" t="s">
        <v>32</v>
      </c>
      <c r="C95" s="8">
        <v>28.55</v>
      </c>
      <c r="D95" s="1" t="s">
        <v>34</v>
      </c>
      <c r="E95" s="1" t="s">
        <v>269</v>
      </c>
      <c r="F95" s="1">
        <v>4.88</v>
      </c>
    </row>
    <row r="96" spans="1:6" x14ac:dyDescent="0.25">
      <c r="B96" s="3" t="s">
        <v>28</v>
      </c>
      <c r="C96" s="3">
        <v>33.35</v>
      </c>
      <c r="D96" s="1"/>
      <c r="E96" s="1" t="s">
        <v>16</v>
      </c>
      <c r="F96" s="1">
        <v>15.86</v>
      </c>
    </row>
    <row r="97" spans="1:6" x14ac:dyDescent="0.25">
      <c r="A97" s="2" t="s">
        <v>33</v>
      </c>
      <c r="B97" s="9" t="s">
        <v>32</v>
      </c>
      <c r="C97" s="9">
        <v>46.06</v>
      </c>
      <c r="D97" s="1"/>
      <c r="E97" s="1" t="s">
        <v>73</v>
      </c>
      <c r="F97" s="1">
        <v>1.52</v>
      </c>
    </row>
    <row r="98" spans="1:6" x14ac:dyDescent="0.25">
      <c r="B98" s="5" t="s">
        <v>28</v>
      </c>
      <c r="C98" s="5">
        <v>18.899999999999999</v>
      </c>
      <c r="D98" s="1"/>
      <c r="E98" s="1" t="s">
        <v>71</v>
      </c>
      <c r="F98" s="1">
        <v>3.18</v>
      </c>
    </row>
    <row r="99" spans="1:6" x14ac:dyDescent="0.25">
      <c r="B99" s="6" t="s">
        <v>24</v>
      </c>
      <c r="C99" s="6">
        <v>13.94</v>
      </c>
      <c r="D99" s="1"/>
      <c r="E99" s="1"/>
      <c r="F99" s="9">
        <f>SUM(F95:F98)</f>
        <v>25.439999999999998</v>
      </c>
    </row>
    <row r="100" spans="1:6" x14ac:dyDescent="0.25">
      <c r="A100" s="2" t="s">
        <v>34</v>
      </c>
      <c r="B100" s="7" t="s">
        <v>35</v>
      </c>
      <c r="C100" s="7">
        <v>10.38</v>
      </c>
      <c r="D100" s="1" t="s">
        <v>38</v>
      </c>
      <c r="E100" s="1" t="s">
        <v>16</v>
      </c>
      <c r="F100" s="1">
        <v>5.38</v>
      </c>
    </row>
    <row r="101" spans="1:6" x14ac:dyDescent="0.25">
      <c r="B101" s="8" t="s">
        <v>24</v>
      </c>
      <c r="C101" s="8">
        <v>28.87</v>
      </c>
      <c r="D101" s="1"/>
      <c r="E101" s="1" t="s">
        <v>23</v>
      </c>
      <c r="F101" s="1">
        <v>40.119999999999997</v>
      </c>
    </row>
    <row r="102" spans="1:6" x14ac:dyDescent="0.25">
      <c r="B102" s="3" t="s">
        <v>37</v>
      </c>
      <c r="C102" s="3">
        <v>26.32</v>
      </c>
      <c r="D102" s="1"/>
      <c r="E102" s="1" t="s">
        <v>268</v>
      </c>
      <c r="F102" s="1">
        <v>0.63</v>
      </c>
    </row>
    <row r="103" spans="1:6" x14ac:dyDescent="0.25">
      <c r="B103" s="9" t="s">
        <v>18</v>
      </c>
      <c r="C103" s="9">
        <v>29.78</v>
      </c>
      <c r="D103" s="1"/>
      <c r="E103" s="1" t="s">
        <v>272</v>
      </c>
      <c r="F103" s="1">
        <v>17.350000000000001</v>
      </c>
    </row>
    <row r="104" spans="1:6" x14ac:dyDescent="0.25">
      <c r="B104" s="7" t="s">
        <v>32</v>
      </c>
      <c r="C104" s="7">
        <v>55.33</v>
      </c>
      <c r="D104" s="1"/>
      <c r="E104" s="1"/>
      <c r="F104" s="9">
        <f>SUM(F100:F103)</f>
        <v>63.480000000000004</v>
      </c>
    </row>
    <row r="105" spans="1:6" x14ac:dyDescent="0.25">
      <c r="A105" s="2" t="s">
        <v>38</v>
      </c>
      <c r="B105" s="8" t="s">
        <v>39</v>
      </c>
      <c r="C105" s="8">
        <v>15.64</v>
      </c>
      <c r="D105" s="1" t="s">
        <v>40</v>
      </c>
      <c r="E105" s="1" t="s">
        <v>16</v>
      </c>
      <c r="F105" s="1">
        <v>3.1</v>
      </c>
    </row>
    <row r="106" spans="1:6" x14ac:dyDescent="0.25">
      <c r="B106" s="3" t="s">
        <v>27</v>
      </c>
      <c r="C106" s="3">
        <v>18.68</v>
      </c>
      <c r="D106" s="1"/>
      <c r="E106" s="1" t="s">
        <v>272</v>
      </c>
      <c r="F106" s="1"/>
    </row>
    <row r="107" spans="1:6" x14ac:dyDescent="0.25">
      <c r="B107" s="9" t="s">
        <v>16</v>
      </c>
      <c r="C107" s="9">
        <v>3.69</v>
      </c>
      <c r="D107" s="1"/>
      <c r="E107" s="1" t="s">
        <v>269</v>
      </c>
      <c r="F107" s="1">
        <v>6.15</v>
      </c>
    </row>
    <row r="108" spans="1:6" x14ac:dyDescent="0.25">
      <c r="B108" s="5" t="s">
        <v>23</v>
      </c>
      <c r="C108" s="5">
        <v>25.22</v>
      </c>
      <c r="D108" s="1"/>
      <c r="E108" s="1" t="s">
        <v>27</v>
      </c>
      <c r="F108" s="1">
        <v>40.35</v>
      </c>
    </row>
    <row r="109" spans="1:6" x14ac:dyDescent="0.25">
      <c r="B109" s="6" t="s">
        <v>32</v>
      </c>
      <c r="C109" s="6">
        <v>21.66</v>
      </c>
      <c r="D109" s="1"/>
      <c r="E109" s="1" t="s">
        <v>73</v>
      </c>
      <c r="F109" s="1">
        <v>0.3</v>
      </c>
    </row>
    <row r="110" spans="1:6" x14ac:dyDescent="0.25">
      <c r="A110" s="2" t="s">
        <v>40</v>
      </c>
      <c r="B110" s="7" t="s">
        <v>23</v>
      </c>
      <c r="C110" s="7">
        <v>22.09</v>
      </c>
      <c r="D110" s="1"/>
      <c r="E110" s="1"/>
      <c r="F110" s="9">
        <f>SUM(F105:F109)</f>
        <v>49.9</v>
      </c>
    </row>
    <row r="111" spans="1:6" x14ac:dyDescent="0.25">
      <c r="B111" s="8" t="s">
        <v>17</v>
      </c>
      <c r="C111" s="8">
        <v>16.12</v>
      </c>
      <c r="D111" s="1" t="s">
        <v>41</v>
      </c>
      <c r="E111" s="1" t="s">
        <v>273</v>
      </c>
      <c r="F111" s="1">
        <v>8.7200000000000006</v>
      </c>
    </row>
    <row r="112" spans="1:6" x14ac:dyDescent="0.25">
      <c r="B112" s="3" t="s">
        <v>32</v>
      </c>
      <c r="C112" s="3">
        <v>41.35</v>
      </c>
      <c r="D112" s="1"/>
      <c r="E112" s="1" t="s">
        <v>97</v>
      </c>
      <c r="F112" s="1">
        <v>8.59</v>
      </c>
    </row>
    <row r="113" spans="1:6" x14ac:dyDescent="0.25">
      <c r="B113" s="4" t="s">
        <v>15</v>
      </c>
      <c r="C113" s="4">
        <v>5.7</v>
      </c>
      <c r="D113" s="1"/>
      <c r="E113" s="1" t="s">
        <v>16</v>
      </c>
      <c r="F113" s="1">
        <v>2.08</v>
      </c>
    </row>
    <row r="114" spans="1:6" x14ac:dyDescent="0.25">
      <c r="A114" s="2" t="s">
        <v>41</v>
      </c>
      <c r="B114" s="5" t="s">
        <v>23</v>
      </c>
      <c r="C114" s="5">
        <v>17.82</v>
      </c>
      <c r="D114" s="1"/>
      <c r="E114" s="1" t="s">
        <v>73</v>
      </c>
      <c r="F114" s="1">
        <v>2.66</v>
      </c>
    </row>
    <row r="115" spans="1:6" x14ac:dyDescent="0.25">
      <c r="B115" s="6" t="s">
        <v>24</v>
      </c>
      <c r="C115" s="6">
        <v>20.2</v>
      </c>
      <c r="D115" s="1"/>
      <c r="E115" s="1" t="s">
        <v>23</v>
      </c>
      <c r="F115" s="1">
        <v>2.66</v>
      </c>
    </row>
    <row r="116" spans="1:6" x14ac:dyDescent="0.25">
      <c r="B116" s="7" t="s">
        <v>16</v>
      </c>
      <c r="C116" s="7">
        <v>4</v>
      </c>
      <c r="D116" s="1"/>
      <c r="E116" s="1" t="s">
        <v>274</v>
      </c>
      <c r="F116" s="1">
        <v>0.33</v>
      </c>
    </row>
    <row r="117" spans="1:6" x14ac:dyDescent="0.25">
      <c r="B117" s="8" t="s">
        <v>18</v>
      </c>
      <c r="C117" s="8">
        <v>106.45</v>
      </c>
      <c r="D117" s="1"/>
      <c r="E117" s="1" t="s">
        <v>167</v>
      </c>
      <c r="F117" s="1">
        <v>0.25</v>
      </c>
    </row>
    <row r="118" spans="1:6" x14ac:dyDescent="0.25">
      <c r="A118" s="2" t="s">
        <v>94</v>
      </c>
      <c r="B118" s="5" t="s">
        <v>35</v>
      </c>
      <c r="C118" s="5">
        <v>10.27</v>
      </c>
      <c r="D118" s="1"/>
      <c r="E118" s="1"/>
      <c r="F118" s="9">
        <f>SUM(F111:F117)</f>
        <v>25.29</v>
      </c>
    </row>
    <row r="119" spans="1:6" x14ac:dyDescent="0.25">
      <c r="B119" s="6" t="s">
        <v>71</v>
      </c>
      <c r="C119" s="6">
        <v>2.98</v>
      </c>
      <c r="D119" s="1" t="s">
        <v>94</v>
      </c>
      <c r="E119" s="1" t="s">
        <v>73</v>
      </c>
      <c r="F119" s="1">
        <v>17.61</v>
      </c>
    </row>
    <row r="120" spans="1:6" x14ac:dyDescent="0.25">
      <c r="B120" s="7" t="s">
        <v>73</v>
      </c>
      <c r="C120" s="7">
        <v>2.12</v>
      </c>
      <c r="D120" s="1"/>
      <c r="E120" s="1" t="s">
        <v>269</v>
      </c>
      <c r="F120" s="1">
        <v>67.599999999999994</v>
      </c>
    </row>
    <row r="121" spans="1:6" x14ac:dyDescent="0.25">
      <c r="B121" s="8" t="s">
        <v>32</v>
      </c>
      <c r="C121" s="8">
        <v>23.95</v>
      </c>
      <c r="D121" s="1"/>
      <c r="E121" s="1" t="s">
        <v>275</v>
      </c>
      <c r="F121" s="1">
        <v>11.53</v>
      </c>
    </row>
    <row r="122" spans="1:6" x14ac:dyDescent="0.25">
      <c r="B122" s="3" t="s">
        <v>16</v>
      </c>
      <c r="C122" s="3">
        <v>4.6100000000000003</v>
      </c>
      <c r="D122" s="1"/>
      <c r="E122" s="1" t="s">
        <v>23</v>
      </c>
      <c r="F122" s="1"/>
    </row>
    <row r="123" spans="1:6" x14ac:dyDescent="0.25">
      <c r="A123" s="2" t="s">
        <v>95</v>
      </c>
      <c r="B123" s="5" t="s">
        <v>23</v>
      </c>
      <c r="C123" s="5">
        <v>6.49</v>
      </c>
      <c r="D123" s="1"/>
      <c r="E123" s="1" t="s">
        <v>170</v>
      </c>
      <c r="F123" s="1">
        <v>0.24</v>
      </c>
    </row>
    <row r="124" spans="1:6" x14ac:dyDescent="0.25">
      <c r="B124" s="6" t="s">
        <v>73</v>
      </c>
      <c r="C124" s="6">
        <v>1.71</v>
      </c>
      <c r="D124" s="1"/>
      <c r="E124" s="1" t="s">
        <v>268</v>
      </c>
      <c r="F124" s="1">
        <v>0.8</v>
      </c>
    </row>
    <row r="125" spans="1:6" x14ac:dyDescent="0.25">
      <c r="B125" s="7" t="s">
        <v>39</v>
      </c>
      <c r="C125" s="7">
        <v>2.27</v>
      </c>
      <c r="D125" s="1"/>
      <c r="E125" s="1"/>
      <c r="F125" s="9">
        <f>SUM(F119:F124)</f>
        <v>97.779999999999987</v>
      </c>
    </row>
    <row r="126" spans="1:6" x14ac:dyDescent="0.25">
      <c r="B126" s="8" t="s">
        <v>27</v>
      </c>
      <c r="C126" s="8">
        <v>18.89</v>
      </c>
      <c r="D126" s="1" t="s">
        <v>95</v>
      </c>
      <c r="E126" s="1" t="s">
        <v>16</v>
      </c>
      <c r="F126" s="1">
        <v>8.3699999999999992</v>
      </c>
    </row>
    <row r="127" spans="1:6" x14ac:dyDescent="0.25">
      <c r="B127" s="3" t="s">
        <v>16</v>
      </c>
      <c r="C127" s="3">
        <v>8.23</v>
      </c>
      <c r="D127" s="1"/>
      <c r="E127" s="1" t="s">
        <v>27</v>
      </c>
      <c r="F127" s="1">
        <v>3.33</v>
      </c>
    </row>
    <row r="128" spans="1:6" x14ac:dyDescent="0.25">
      <c r="A128" s="2" t="s">
        <v>96</v>
      </c>
      <c r="B128" s="5" t="s">
        <v>35</v>
      </c>
      <c r="C128" s="5"/>
      <c r="D128" s="1"/>
      <c r="E128" s="1" t="s">
        <v>73</v>
      </c>
      <c r="F128" s="1">
        <v>1</v>
      </c>
    </row>
    <row r="129" spans="1:6" x14ac:dyDescent="0.25">
      <c r="B129" s="6" t="s">
        <v>97</v>
      </c>
      <c r="C129" s="6">
        <v>17.87</v>
      </c>
      <c r="D129" s="1"/>
      <c r="E129" s="1" t="s">
        <v>167</v>
      </c>
      <c r="F129" s="1">
        <v>0.3</v>
      </c>
    </row>
    <row r="130" spans="1:6" x14ac:dyDescent="0.25">
      <c r="B130" s="7" t="s">
        <v>32</v>
      </c>
      <c r="C130" s="7">
        <v>59.56</v>
      </c>
      <c r="D130" s="1"/>
      <c r="E130" s="1" t="s">
        <v>168</v>
      </c>
      <c r="F130" s="1">
        <v>22.41</v>
      </c>
    </row>
    <row r="131" spans="1:6" x14ac:dyDescent="0.25">
      <c r="A131" s="2" t="s">
        <v>98</v>
      </c>
      <c r="B131" s="5" t="s">
        <v>35</v>
      </c>
      <c r="C131" s="5">
        <v>32.94</v>
      </c>
      <c r="D131" s="1"/>
      <c r="E131" s="1"/>
      <c r="F131" s="9">
        <f>SUM(F126:F130)</f>
        <v>35.409999999999997</v>
      </c>
    </row>
    <row r="132" spans="1:6" x14ac:dyDescent="0.25">
      <c r="B132" s="6" t="s">
        <v>39</v>
      </c>
      <c r="C132" s="6">
        <v>3.28</v>
      </c>
      <c r="D132" s="1" t="s">
        <v>96</v>
      </c>
      <c r="E132" s="1" t="s">
        <v>16</v>
      </c>
      <c r="F132" s="1">
        <v>12.54</v>
      </c>
    </row>
    <row r="133" spans="1:6" x14ac:dyDescent="0.25">
      <c r="B133" s="7" t="s">
        <v>16</v>
      </c>
      <c r="C133" s="7">
        <v>6.15</v>
      </c>
      <c r="D133" s="1"/>
      <c r="E133" s="1" t="s">
        <v>71</v>
      </c>
      <c r="F133" s="1">
        <v>18.79</v>
      </c>
    </row>
    <row r="134" spans="1:6" x14ac:dyDescent="0.25">
      <c r="A134" s="2" t="s">
        <v>99</v>
      </c>
      <c r="B134" s="5" t="s">
        <v>35</v>
      </c>
      <c r="C134" s="5">
        <v>7.15</v>
      </c>
      <c r="D134" s="1"/>
      <c r="E134" s="1" t="s">
        <v>27</v>
      </c>
      <c r="F134" s="1">
        <v>0.87</v>
      </c>
    </row>
    <row r="135" spans="1:6" x14ac:dyDescent="0.25">
      <c r="B135" s="6" t="s">
        <v>27</v>
      </c>
      <c r="C135" s="6">
        <v>37.71</v>
      </c>
      <c r="D135" s="1"/>
      <c r="E135" s="1" t="s">
        <v>269</v>
      </c>
      <c r="F135" s="1">
        <v>2.42</v>
      </c>
    </row>
    <row r="136" spans="1:6" x14ac:dyDescent="0.25">
      <c r="B136" s="7" t="s">
        <v>24</v>
      </c>
      <c r="C136" s="7">
        <v>21.01</v>
      </c>
      <c r="D136" s="1"/>
      <c r="E136" s="1" t="s">
        <v>97</v>
      </c>
      <c r="F136" s="1">
        <v>12.91</v>
      </c>
    </row>
    <row r="137" spans="1:6" x14ac:dyDescent="0.25">
      <c r="B137" s="8" t="s">
        <v>16</v>
      </c>
      <c r="C137" s="8">
        <v>4.7</v>
      </c>
      <c r="D137" s="1"/>
      <c r="E137" s="1" t="s">
        <v>75</v>
      </c>
      <c r="F137" s="1">
        <v>0.04</v>
      </c>
    </row>
    <row r="138" spans="1:6" x14ac:dyDescent="0.25">
      <c r="A138" s="2" t="s">
        <v>100</v>
      </c>
      <c r="B138" s="5" t="s">
        <v>101</v>
      </c>
      <c r="C138" s="5">
        <v>0.45</v>
      </c>
      <c r="D138" s="1"/>
      <c r="E138" s="1"/>
      <c r="F138" s="9">
        <f>SUM(F132:F137)</f>
        <v>47.57</v>
      </c>
    </row>
    <row r="139" spans="1:6" x14ac:dyDescent="0.25">
      <c r="B139" s="7" t="s">
        <v>103</v>
      </c>
      <c r="C139" s="7">
        <v>1.1200000000000001</v>
      </c>
      <c r="D139" s="1" t="s">
        <v>98</v>
      </c>
      <c r="E139" s="1" t="s">
        <v>27</v>
      </c>
      <c r="F139" s="1">
        <v>35.44</v>
      </c>
    </row>
    <row r="140" spans="1:6" x14ac:dyDescent="0.25">
      <c r="B140" s="8" t="s">
        <v>70</v>
      </c>
      <c r="C140" s="8">
        <v>32.96</v>
      </c>
      <c r="D140" s="1"/>
      <c r="E140" s="1" t="s">
        <v>16</v>
      </c>
      <c r="F140" s="1">
        <v>24.94</v>
      </c>
    </row>
    <row r="141" spans="1:6" x14ac:dyDescent="0.25">
      <c r="B141" s="6" t="s">
        <v>27</v>
      </c>
      <c r="C141" s="6">
        <v>4.42</v>
      </c>
      <c r="D141" s="1"/>
      <c r="E141" s="1" t="s">
        <v>269</v>
      </c>
      <c r="F141" s="1">
        <v>2.4900000000000002</v>
      </c>
    </row>
    <row r="142" spans="1:6" x14ac:dyDescent="0.25">
      <c r="B142" s="5" t="s">
        <v>16</v>
      </c>
      <c r="C142" s="5">
        <v>1.96</v>
      </c>
      <c r="D142" s="1"/>
      <c r="E142" s="1"/>
      <c r="F142" s="9">
        <f>SUM(F139:F141)</f>
        <v>62.87</v>
      </c>
    </row>
    <row r="143" spans="1:6" x14ac:dyDescent="0.25">
      <c r="B143" s="9" t="s">
        <v>167</v>
      </c>
      <c r="C143" s="9"/>
      <c r="D143" s="1" t="s">
        <v>99</v>
      </c>
      <c r="E143" s="1" t="s">
        <v>276</v>
      </c>
      <c r="F143" s="1">
        <v>10.130000000000001</v>
      </c>
    </row>
    <row r="144" spans="1:6" x14ac:dyDescent="0.25">
      <c r="B144" s="9" t="s">
        <v>102</v>
      </c>
      <c r="C144" s="9">
        <v>35.950000000000003</v>
      </c>
      <c r="D144" s="1"/>
      <c r="E144" s="1" t="s">
        <v>27</v>
      </c>
      <c r="F144" s="1">
        <v>0.63</v>
      </c>
    </row>
    <row r="145" spans="1:6" x14ac:dyDescent="0.25">
      <c r="B145" s="9" t="s">
        <v>93</v>
      </c>
      <c r="C145" s="9">
        <v>108.43</v>
      </c>
      <c r="D145" s="1"/>
      <c r="E145" s="1" t="s">
        <v>269</v>
      </c>
      <c r="F145" s="1">
        <v>1.29</v>
      </c>
    </row>
    <row r="146" spans="1:6" x14ac:dyDescent="0.25">
      <c r="A146" s="2" t="s">
        <v>104</v>
      </c>
      <c r="B146" s="5" t="s">
        <v>32</v>
      </c>
      <c r="C146" s="5">
        <v>3.08</v>
      </c>
      <c r="D146" s="1"/>
      <c r="E146" s="1" t="s">
        <v>16</v>
      </c>
      <c r="F146" s="1">
        <v>3.46</v>
      </c>
    </row>
    <row r="147" spans="1:6" x14ac:dyDescent="0.25">
      <c r="B147" s="7" t="s">
        <v>93</v>
      </c>
      <c r="C147" s="7">
        <v>13.52</v>
      </c>
      <c r="D147" s="1"/>
      <c r="E147" s="1" t="s">
        <v>39</v>
      </c>
      <c r="F147" s="1">
        <v>0.88</v>
      </c>
    </row>
    <row r="148" spans="1:6" x14ac:dyDescent="0.25">
      <c r="B148" s="8" t="s">
        <v>35</v>
      </c>
      <c r="C148" s="8">
        <v>144.91999999999999</v>
      </c>
      <c r="D148" s="1"/>
      <c r="E148" s="1" t="s">
        <v>167</v>
      </c>
      <c r="F148" s="1"/>
    </row>
    <row r="149" spans="1:6" x14ac:dyDescent="0.25">
      <c r="A149" s="2" t="s">
        <v>105</v>
      </c>
      <c r="B149" s="5" t="s">
        <v>39</v>
      </c>
      <c r="C149" s="5">
        <v>22.41</v>
      </c>
      <c r="D149" s="1"/>
      <c r="E149" s="1"/>
      <c r="F149" s="9">
        <f>SUM(F143:F148)</f>
        <v>16.39</v>
      </c>
    </row>
    <row r="150" spans="1:6" x14ac:dyDescent="0.25">
      <c r="B150" s="14" t="s">
        <v>168</v>
      </c>
      <c r="C150" s="14">
        <v>40.1</v>
      </c>
      <c r="D150" s="1" t="s">
        <v>100</v>
      </c>
      <c r="E150" s="1" t="s">
        <v>168</v>
      </c>
      <c r="F150" s="1">
        <v>11.78</v>
      </c>
    </row>
    <row r="151" spans="1:6" x14ac:dyDescent="0.25">
      <c r="B151" s="6" t="s">
        <v>169</v>
      </c>
      <c r="C151" s="6">
        <v>8.23</v>
      </c>
      <c r="D151" s="1"/>
      <c r="E151" s="1" t="s">
        <v>277</v>
      </c>
      <c r="F151" s="1">
        <v>27.71</v>
      </c>
    </row>
    <row r="152" spans="1:6" x14ac:dyDescent="0.25">
      <c r="B152" s="7" t="s">
        <v>106</v>
      </c>
      <c r="C152" s="7">
        <v>31.37</v>
      </c>
      <c r="D152" s="1"/>
      <c r="E152" s="1" t="s">
        <v>27</v>
      </c>
      <c r="F152" s="1">
        <v>2.21</v>
      </c>
    </row>
    <row r="153" spans="1:6" x14ac:dyDescent="0.25">
      <c r="B153" s="8" t="s">
        <v>107</v>
      </c>
      <c r="C153" s="8">
        <v>6.43</v>
      </c>
      <c r="D153" s="1"/>
      <c r="E153" s="1" t="s">
        <v>16</v>
      </c>
      <c r="F153" s="1">
        <v>0.14000000000000001</v>
      </c>
    </row>
    <row r="154" spans="1:6" x14ac:dyDescent="0.25">
      <c r="B154" s="5" t="s">
        <v>16</v>
      </c>
      <c r="C154" s="5">
        <v>11.24</v>
      </c>
      <c r="D154" s="1"/>
      <c r="E154" s="1" t="s">
        <v>39</v>
      </c>
      <c r="F154" s="1">
        <v>28.09</v>
      </c>
    </row>
    <row r="155" spans="1:6" x14ac:dyDescent="0.25">
      <c r="A155" s="2" t="s">
        <v>108</v>
      </c>
      <c r="B155" s="3" t="s">
        <v>109</v>
      </c>
      <c r="C155" s="3">
        <v>14.96</v>
      </c>
      <c r="D155" s="1"/>
      <c r="E155" s="1" t="s">
        <v>274</v>
      </c>
      <c r="F155" s="1">
        <v>0.2</v>
      </c>
    </row>
    <row r="156" spans="1:6" x14ac:dyDescent="0.25">
      <c r="B156" s="6" t="s">
        <v>111</v>
      </c>
      <c r="C156" s="6">
        <v>2.5299999999999998</v>
      </c>
      <c r="D156" s="1"/>
      <c r="E156" s="1"/>
      <c r="F156" s="9">
        <f>SUM(F150:F155)</f>
        <v>70.13000000000001</v>
      </c>
    </row>
    <row r="157" spans="1:6" x14ac:dyDescent="0.25">
      <c r="B157" s="7" t="s">
        <v>35</v>
      </c>
      <c r="C157" s="7">
        <v>123.72</v>
      </c>
      <c r="D157" s="1" t="s">
        <v>104</v>
      </c>
      <c r="E157" s="1" t="s">
        <v>168</v>
      </c>
      <c r="F157" s="1">
        <v>7.98</v>
      </c>
    </row>
    <row r="158" spans="1:6" x14ac:dyDescent="0.25">
      <c r="B158" s="8" t="s">
        <v>110</v>
      </c>
      <c r="C158" s="8">
        <v>5.18</v>
      </c>
      <c r="D158" s="1"/>
      <c r="E158" s="1" t="s">
        <v>265</v>
      </c>
      <c r="F158" s="1">
        <v>29.66</v>
      </c>
    </row>
    <row r="159" spans="1:6" x14ac:dyDescent="0.25">
      <c r="B159" s="3" t="s">
        <v>27</v>
      </c>
      <c r="C159" s="3">
        <v>89.03</v>
      </c>
      <c r="D159" s="1"/>
      <c r="E159" s="1" t="s">
        <v>268</v>
      </c>
      <c r="F159" s="1">
        <v>19.940000000000001</v>
      </c>
    </row>
    <row r="160" spans="1:6" x14ac:dyDescent="0.25">
      <c r="A160" s="2" t="s">
        <v>112</v>
      </c>
      <c r="B160" s="5" t="s">
        <v>110</v>
      </c>
      <c r="C160" s="5">
        <v>5.37</v>
      </c>
      <c r="D160" s="1"/>
      <c r="E160" s="1" t="s">
        <v>73</v>
      </c>
      <c r="F160" s="1">
        <v>0.6</v>
      </c>
    </row>
    <row r="161" spans="1:6" x14ac:dyDescent="0.25">
      <c r="B161" s="6" t="s">
        <v>109</v>
      </c>
      <c r="C161" s="6">
        <v>0.34</v>
      </c>
      <c r="D161" s="1"/>
      <c r="E161" s="1" t="s">
        <v>167</v>
      </c>
      <c r="F161" s="1">
        <v>0.18</v>
      </c>
    </row>
    <row r="162" spans="1:6" x14ac:dyDescent="0.25">
      <c r="B162" s="7" t="s">
        <v>35</v>
      </c>
      <c r="C162" s="7">
        <v>2.82</v>
      </c>
      <c r="D162" s="1"/>
      <c r="E162" s="1" t="s">
        <v>16</v>
      </c>
      <c r="F162" s="1">
        <v>0.3</v>
      </c>
    </row>
    <row r="163" spans="1:6" x14ac:dyDescent="0.25">
      <c r="B163" s="8" t="s">
        <v>24</v>
      </c>
      <c r="C163" s="8">
        <v>0.42</v>
      </c>
      <c r="D163" s="1"/>
      <c r="E163" s="1"/>
      <c r="F163" s="9">
        <f>SUM(F157:F162)</f>
        <v>58.66</v>
      </c>
    </row>
    <row r="164" spans="1:6" x14ac:dyDescent="0.25">
      <c r="B164" s="6" t="s">
        <v>169</v>
      </c>
      <c r="C164" s="6">
        <v>58.11</v>
      </c>
      <c r="D164" s="1" t="s">
        <v>105</v>
      </c>
      <c r="E164" s="1" t="s">
        <v>278</v>
      </c>
      <c r="F164" s="1">
        <v>16.91</v>
      </c>
    </row>
    <row r="165" spans="1:6" x14ac:dyDescent="0.25">
      <c r="B165" s="5" t="s">
        <v>16</v>
      </c>
      <c r="C165" s="5">
        <v>9.2100000000000009</v>
      </c>
      <c r="D165" s="1"/>
      <c r="E165" s="1" t="s">
        <v>123</v>
      </c>
      <c r="F165" s="1">
        <v>3.55</v>
      </c>
    </row>
    <row r="166" spans="1:6" x14ac:dyDescent="0.25">
      <c r="B166" s="3" t="s">
        <v>170</v>
      </c>
      <c r="C166" s="3"/>
      <c r="D166" s="1"/>
      <c r="E166" s="1" t="s">
        <v>267</v>
      </c>
      <c r="F166" s="1">
        <v>7.96</v>
      </c>
    </row>
    <row r="167" spans="1:6" x14ac:dyDescent="0.25">
      <c r="A167" s="2" t="s">
        <v>113</v>
      </c>
      <c r="B167" s="5" t="s">
        <v>109</v>
      </c>
      <c r="C167" s="5">
        <v>2.12</v>
      </c>
      <c r="D167" s="1"/>
      <c r="E167" s="1" t="s">
        <v>39</v>
      </c>
      <c r="F167" s="1">
        <v>7.58</v>
      </c>
    </row>
    <row r="168" spans="1:6" x14ac:dyDescent="0.25">
      <c r="B168" s="14" t="s">
        <v>73</v>
      </c>
      <c r="C168" s="14">
        <v>2.88</v>
      </c>
      <c r="D168" s="1"/>
      <c r="E168" s="1" t="s">
        <v>16</v>
      </c>
      <c r="F168" s="1"/>
    </row>
    <row r="169" spans="1:6" x14ac:dyDescent="0.25">
      <c r="B169" s="6" t="s">
        <v>110</v>
      </c>
      <c r="C169" s="6">
        <v>7.68</v>
      </c>
      <c r="D169" s="1"/>
      <c r="E169" s="1" t="s">
        <v>269</v>
      </c>
      <c r="F169" s="1">
        <v>0.41</v>
      </c>
    </row>
    <row r="170" spans="1:6" x14ac:dyDescent="0.25">
      <c r="B170" s="7" t="s">
        <v>114</v>
      </c>
      <c r="C170" s="7">
        <v>19.989999999999998</v>
      </c>
      <c r="D170" s="1"/>
      <c r="E170" s="1"/>
      <c r="F170" s="9">
        <f>SUM(F164:F169)</f>
        <v>36.409999999999997</v>
      </c>
    </row>
    <row r="171" spans="1:6" x14ac:dyDescent="0.25">
      <c r="B171" s="8" t="s">
        <v>23</v>
      </c>
      <c r="C171" s="8">
        <v>3.88</v>
      </c>
      <c r="D171" s="1" t="s">
        <v>108</v>
      </c>
      <c r="E171" s="1" t="s">
        <v>111</v>
      </c>
      <c r="F171" s="1">
        <v>2.89</v>
      </c>
    </row>
    <row r="172" spans="1:6" x14ac:dyDescent="0.25">
      <c r="B172" s="5" t="s">
        <v>111</v>
      </c>
      <c r="C172" s="5">
        <v>3.9</v>
      </c>
      <c r="D172" s="1"/>
      <c r="E172" s="1" t="s">
        <v>273</v>
      </c>
      <c r="F172" s="1">
        <v>1.23</v>
      </c>
    </row>
    <row r="173" spans="1:6" x14ac:dyDescent="0.25">
      <c r="B173" s="7" t="s">
        <v>115</v>
      </c>
      <c r="C173" s="7">
        <v>3.41</v>
      </c>
      <c r="D173" s="1"/>
      <c r="E173" s="1" t="s">
        <v>97</v>
      </c>
      <c r="F173" s="1">
        <v>36.369999999999997</v>
      </c>
    </row>
    <row r="174" spans="1:6" x14ac:dyDescent="0.25">
      <c r="B174" s="8" t="s">
        <v>169</v>
      </c>
      <c r="C174" s="8">
        <v>25.01</v>
      </c>
      <c r="D174" s="1"/>
      <c r="E174" s="1" t="s">
        <v>93</v>
      </c>
      <c r="F174" s="1">
        <v>4.57</v>
      </c>
    </row>
    <row r="175" spans="1:6" x14ac:dyDescent="0.25">
      <c r="A175" s="2" t="s">
        <v>116</v>
      </c>
      <c r="B175" s="5" t="s">
        <v>117</v>
      </c>
      <c r="C175" s="5">
        <v>1.68</v>
      </c>
      <c r="D175" s="1"/>
      <c r="E175" s="1" t="s">
        <v>15</v>
      </c>
      <c r="F175" s="1">
        <v>3.01</v>
      </c>
    </row>
    <row r="176" spans="1:6" x14ac:dyDescent="0.25">
      <c r="B176" s="6" t="s">
        <v>35</v>
      </c>
      <c r="C176" s="6"/>
      <c r="D176" s="1"/>
      <c r="E176" s="1" t="s">
        <v>70</v>
      </c>
      <c r="F176" s="1">
        <v>1.6</v>
      </c>
    </row>
    <row r="177" spans="1:6" x14ac:dyDescent="0.25">
      <c r="B177" s="7" t="s">
        <v>109</v>
      </c>
      <c r="C177" s="7">
        <v>19.02</v>
      </c>
      <c r="D177" s="1"/>
      <c r="E177" s="1" t="s">
        <v>73</v>
      </c>
      <c r="F177" s="1">
        <v>0.13</v>
      </c>
    </row>
    <row r="178" spans="1:6" x14ac:dyDescent="0.25">
      <c r="B178" s="8" t="s">
        <v>110</v>
      </c>
      <c r="C178" s="8">
        <v>5.9</v>
      </c>
      <c r="D178" s="1"/>
      <c r="E178" s="1" t="s">
        <v>167</v>
      </c>
      <c r="F178" s="1">
        <v>0.15</v>
      </c>
    </row>
    <row r="179" spans="1:6" x14ac:dyDescent="0.25">
      <c r="B179" s="3" t="s">
        <v>114</v>
      </c>
      <c r="C179" s="3">
        <v>30.77</v>
      </c>
      <c r="D179" s="1"/>
      <c r="E179" s="1"/>
      <c r="F179" s="9">
        <f>SUM(F171:F178)</f>
        <v>49.949999999999996</v>
      </c>
    </row>
    <row r="180" spans="1:6" x14ac:dyDescent="0.25">
      <c r="A180" s="2" t="s">
        <v>118</v>
      </c>
      <c r="B180" s="5" t="s">
        <v>27</v>
      </c>
      <c r="C180" s="5">
        <v>4.72</v>
      </c>
      <c r="D180" s="1" t="s">
        <v>112</v>
      </c>
      <c r="E180" s="1" t="s">
        <v>27</v>
      </c>
      <c r="F180" s="1">
        <v>50.92</v>
      </c>
    </row>
    <row r="181" spans="1:6" x14ac:dyDescent="0.25">
      <c r="B181" s="6" t="s">
        <v>35</v>
      </c>
      <c r="C181" s="6">
        <v>5.36</v>
      </c>
      <c r="D181" s="1"/>
      <c r="E181" s="1" t="s">
        <v>93</v>
      </c>
      <c r="F181" s="1">
        <v>1.53</v>
      </c>
    </row>
    <row r="182" spans="1:6" x14ac:dyDescent="0.25">
      <c r="B182" s="7" t="s">
        <v>109</v>
      </c>
      <c r="C182" s="7">
        <v>15.23</v>
      </c>
      <c r="D182" s="1"/>
      <c r="E182" s="1" t="s">
        <v>70</v>
      </c>
      <c r="F182" s="1">
        <v>1.91</v>
      </c>
    </row>
    <row r="183" spans="1:6" x14ac:dyDescent="0.25">
      <c r="B183" s="8" t="s">
        <v>167</v>
      </c>
      <c r="C183" s="8">
        <v>17.95</v>
      </c>
      <c r="D183" s="1"/>
      <c r="E183" s="1"/>
      <c r="F183" s="9">
        <f>SUM(F180:F182)</f>
        <v>54.36</v>
      </c>
    </row>
    <row r="184" spans="1:6" x14ac:dyDescent="0.25">
      <c r="B184" s="3" t="s">
        <v>70</v>
      </c>
      <c r="C184" s="3">
        <v>3.33</v>
      </c>
      <c r="D184" s="1" t="s">
        <v>113</v>
      </c>
      <c r="E184" s="1" t="s">
        <v>27</v>
      </c>
      <c r="F184" s="1">
        <v>15.75</v>
      </c>
    </row>
    <row r="185" spans="1:6" x14ac:dyDescent="0.25">
      <c r="A185" s="2" t="s">
        <v>119</v>
      </c>
      <c r="B185" s="5" t="s">
        <v>35</v>
      </c>
      <c r="C185" s="5">
        <v>7.1</v>
      </c>
      <c r="D185" s="1"/>
      <c r="E185" s="1" t="s">
        <v>111</v>
      </c>
      <c r="F185" s="1">
        <v>2.97</v>
      </c>
    </row>
    <row r="186" spans="1:6" x14ac:dyDescent="0.25">
      <c r="B186" s="6" t="s">
        <v>111</v>
      </c>
      <c r="C186" s="6">
        <v>5</v>
      </c>
      <c r="D186" s="1"/>
      <c r="E186" s="1" t="s">
        <v>71</v>
      </c>
      <c r="F186" s="1">
        <v>5.66</v>
      </c>
    </row>
    <row r="187" spans="1:6" x14ac:dyDescent="0.25">
      <c r="B187" s="7" t="s">
        <v>109</v>
      </c>
      <c r="C187" s="7">
        <v>22.83</v>
      </c>
      <c r="D187" s="1"/>
      <c r="E187" s="1" t="s">
        <v>109</v>
      </c>
      <c r="F187" s="1">
        <v>18.73</v>
      </c>
    </row>
    <row r="188" spans="1:6" x14ac:dyDescent="0.25">
      <c r="B188" s="8" t="s">
        <v>114</v>
      </c>
      <c r="C188" s="8">
        <v>13.1</v>
      </c>
      <c r="D188" s="1"/>
      <c r="E188" s="1" t="s">
        <v>265</v>
      </c>
      <c r="F188" s="1">
        <v>3.18</v>
      </c>
    </row>
    <row r="189" spans="1:6" x14ac:dyDescent="0.25">
      <c r="A189" s="2" t="s">
        <v>120</v>
      </c>
      <c r="B189" s="5" t="s">
        <v>114</v>
      </c>
      <c r="C189" s="5">
        <v>2.92</v>
      </c>
      <c r="D189" s="1"/>
      <c r="E189" s="1" t="s">
        <v>70</v>
      </c>
      <c r="F189" s="1">
        <v>1.22</v>
      </c>
    </row>
    <row r="190" spans="1:6" x14ac:dyDescent="0.25">
      <c r="B190" s="6" t="s">
        <v>110</v>
      </c>
      <c r="C190" s="6">
        <v>46.96</v>
      </c>
      <c r="D190" s="1"/>
      <c r="E190" s="1"/>
      <c r="F190" s="9">
        <f>SUM(F184:F189)</f>
        <v>47.51</v>
      </c>
    </row>
    <row r="191" spans="1:6" x14ac:dyDescent="0.25">
      <c r="B191" s="7" t="s">
        <v>70</v>
      </c>
      <c r="C191" s="7">
        <v>0.86</v>
      </c>
      <c r="D191" s="1" t="s">
        <v>116</v>
      </c>
      <c r="E191" s="1" t="s">
        <v>15</v>
      </c>
      <c r="F191" s="1"/>
    </row>
    <row r="192" spans="1:6" x14ac:dyDescent="0.25">
      <c r="B192" s="8" t="s">
        <v>109</v>
      </c>
      <c r="C192" s="8">
        <v>69.5</v>
      </c>
      <c r="D192" s="1"/>
      <c r="E192" s="1" t="s">
        <v>27</v>
      </c>
      <c r="F192" s="1">
        <v>20.83</v>
      </c>
    </row>
    <row r="193" spans="1:6" x14ac:dyDescent="0.25">
      <c r="B193" s="3" t="s">
        <v>24</v>
      </c>
      <c r="C193" s="3">
        <v>2.08</v>
      </c>
      <c r="D193" s="1"/>
      <c r="E193" s="1" t="s">
        <v>265</v>
      </c>
      <c r="F193" s="1">
        <v>0.1</v>
      </c>
    </row>
    <row r="194" spans="1:6" x14ac:dyDescent="0.25">
      <c r="A194" s="2" t="s">
        <v>121</v>
      </c>
      <c r="B194" s="5" t="s">
        <v>35</v>
      </c>
      <c r="C194" s="5">
        <v>22.47</v>
      </c>
      <c r="D194" s="1"/>
      <c r="E194" s="1" t="s">
        <v>273</v>
      </c>
      <c r="F194" s="1">
        <v>5.74</v>
      </c>
    </row>
    <row r="195" spans="1:6" x14ac:dyDescent="0.25">
      <c r="B195" s="6" t="s">
        <v>115</v>
      </c>
      <c r="C195" s="6">
        <v>9.4700000000000006</v>
      </c>
      <c r="D195" s="1"/>
      <c r="E195" s="1" t="s">
        <v>279</v>
      </c>
      <c r="F195" s="1">
        <v>0.52</v>
      </c>
    </row>
    <row r="196" spans="1:6" x14ac:dyDescent="0.25">
      <c r="B196" s="7" t="s">
        <v>114</v>
      </c>
      <c r="C196" s="7">
        <v>14.02</v>
      </c>
      <c r="D196" s="1"/>
      <c r="E196" s="1" t="s">
        <v>16</v>
      </c>
      <c r="F196" s="1"/>
    </row>
    <row r="197" spans="1:6" x14ac:dyDescent="0.25">
      <c r="B197" s="8" t="s">
        <v>110</v>
      </c>
      <c r="C197" s="8">
        <v>19.36</v>
      </c>
      <c r="D197" s="1"/>
      <c r="E197" s="1" t="s">
        <v>73</v>
      </c>
      <c r="F197" s="1">
        <v>0.2</v>
      </c>
    </row>
    <row r="198" spans="1:6" x14ac:dyDescent="0.25">
      <c r="B198" s="3" t="s">
        <v>109</v>
      </c>
      <c r="C198" s="3">
        <v>25.32</v>
      </c>
      <c r="D198" s="1"/>
      <c r="E198" s="1" t="s">
        <v>274</v>
      </c>
      <c r="F198" s="1"/>
    </row>
    <row r="199" spans="1:6" x14ac:dyDescent="0.25">
      <c r="A199" s="2" t="s">
        <v>122</v>
      </c>
      <c r="B199" s="5" t="s">
        <v>114</v>
      </c>
      <c r="C199" s="5">
        <v>10.51</v>
      </c>
      <c r="D199" s="1"/>
      <c r="E199" s="1"/>
      <c r="F199" s="9">
        <f>SUM(F191:F198)</f>
        <v>27.39</v>
      </c>
    </row>
    <row r="200" spans="1:6" x14ac:dyDescent="0.25">
      <c r="B200" s="6" t="s">
        <v>124</v>
      </c>
      <c r="C200" s="6">
        <v>18.84</v>
      </c>
      <c r="D200" s="1" t="s">
        <v>118</v>
      </c>
      <c r="E200" s="1" t="s">
        <v>93</v>
      </c>
      <c r="F200" s="1">
        <v>38.25</v>
      </c>
    </row>
    <row r="201" spans="1:6" x14ac:dyDescent="0.25">
      <c r="B201" s="7" t="s">
        <v>27</v>
      </c>
      <c r="C201" s="7">
        <v>7.49</v>
      </c>
      <c r="D201" s="1"/>
      <c r="E201" s="1" t="s">
        <v>27</v>
      </c>
      <c r="F201" s="1">
        <v>6.64</v>
      </c>
    </row>
    <row r="202" spans="1:6" x14ac:dyDescent="0.25">
      <c r="B202" s="8" t="s">
        <v>93</v>
      </c>
      <c r="C202" s="8">
        <v>4.7699999999999996</v>
      </c>
      <c r="D202" s="1"/>
      <c r="E202" s="1" t="s">
        <v>273</v>
      </c>
      <c r="F202" s="1">
        <v>24.31</v>
      </c>
    </row>
    <row r="203" spans="1:6" x14ac:dyDescent="0.25">
      <c r="B203" s="5" t="s">
        <v>123</v>
      </c>
      <c r="C203" s="5">
        <v>4.0999999999999996</v>
      </c>
      <c r="D203" s="1"/>
      <c r="E203" s="1" t="s">
        <v>167</v>
      </c>
      <c r="F203" s="1">
        <v>0.55000000000000004</v>
      </c>
    </row>
    <row r="204" spans="1:6" x14ac:dyDescent="0.25">
      <c r="B204" s="6" t="s">
        <v>110</v>
      </c>
      <c r="C204" s="6">
        <v>11.14</v>
      </c>
      <c r="D204" s="1"/>
      <c r="E204" s="1" t="s">
        <v>167</v>
      </c>
      <c r="F204" s="1">
        <v>1</v>
      </c>
    </row>
    <row r="205" spans="1:6" x14ac:dyDescent="0.25">
      <c r="B205" s="7" t="s">
        <v>109</v>
      </c>
      <c r="C205" s="7">
        <v>28.47</v>
      </c>
      <c r="D205" s="1"/>
      <c r="E205" s="1"/>
      <c r="F205" s="9">
        <f>SUM(F200:F204)</f>
        <v>70.75</v>
      </c>
    </row>
    <row r="206" spans="1:6" x14ac:dyDescent="0.25">
      <c r="A206" s="2" t="s">
        <v>125</v>
      </c>
      <c r="B206" s="5" t="s">
        <v>110</v>
      </c>
      <c r="C206" s="5">
        <v>11.14</v>
      </c>
      <c r="D206" s="1" t="s">
        <v>119</v>
      </c>
      <c r="E206" s="1" t="s">
        <v>93</v>
      </c>
      <c r="F206" s="1">
        <v>7.7</v>
      </c>
    </row>
    <row r="207" spans="1:6" x14ac:dyDescent="0.25">
      <c r="B207" s="6" t="s">
        <v>35</v>
      </c>
      <c r="C207" s="6">
        <v>110.9</v>
      </c>
      <c r="D207" s="1"/>
      <c r="E207" s="1" t="s">
        <v>109</v>
      </c>
      <c r="F207" s="1">
        <v>28.76</v>
      </c>
    </row>
    <row r="208" spans="1:6" x14ac:dyDescent="0.25">
      <c r="B208" s="3" t="s">
        <v>109</v>
      </c>
      <c r="C208" s="3">
        <v>29.61</v>
      </c>
      <c r="D208" s="1"/>
      <c r="E208" s="1" t="s">
        <v>167</v>
      </c>
      <c r="F208" s="1">
        <v>0.21</v>
      </c>
    </row>
    <row r="209" spans="1:6" x14ac:dyDescent="0.25">
      <c r="A209" s="2" t="s">
        <v>36</v>
      </c>
      <c r="B209" s="7" t="s">
        <v>35</v>
      </c>
      <c r="C209" s="7">
        <v>48.42</v>
      </c>
      <c r="D209" s="1"/>
      <c r="E209" s="1" t="s">
        <v>39</v>
      </c>
      <c r="F209" s="1">
        <v>0.43</v>
      </c>
    </row>
    <row r="210" spans="1:6" x14ac:dyDescent="0.25">
      <c r="B210" s="8" t="s">
        <v>24</v>
      </c>
      <c r="C210" s="8">
        <v>20.66</v>
      </c>
      <c r="D210" s="1"/>
      <c r="E210" s="1"/>
      <c r="F210" s="9">
        <f>SUM(F206:F209)</f>
        <v>37.1</v>
      </c>
    </row>
    <row r="211" spans="1:6" x14ac:dyDescent="0.25">
      <c r="B211" s="3" t="s">
        <v>32</v>
      </c>
      <c r="C211" s="3">
        <v>5.01</v>
      </c>
      <c r="D211" s="1" t="s">
        <v>120</v>
      </c>
      <c r="E211" s="1" t="s">
        <v>93</v>
      </c>
      <c r="F211" s="1">
        <v>121.01</v>
      </c>
    </row>
    <row r="212" spans="1:6" x14ac:dyDescent="0.25">
      <c r="A212" s="2" t="s">
        <v>126</v>
      </c>
      <c r="B212" s="5" t="s">
        <v>23</v>
      </c>
      <c r="C212" s="5">
        <v>21.96</v>
      </c>
      <c r="D212" s="1"/>
      <c r="E212" s="1" t="s">
        <v>109</v>
      </c>
      <c r="F212" s="1">
        <v>0.16</v>
      </c>
    </row>
    <row r="213" spans="1:6" x14ac:dyDescent="0.25">
      <c r="B213" s="6" t="s">
        <v>35</v>
      </c>
      <c r="C213" s="6">
        <v>9.16</v>
      </c>
      <c r="D213" s="1"/>
      <c r="E213" s="1"/>
      <c r="F213" s="9">
        <f>SUM(F211:F212)</f>
        <v>121.17</v>
      </c>
    </row>
    <row r="214" spans="1:6" x14ac:dyDescent="0.25">
      <c r="B214" s="7" t="s">
        <v>109</v>
      </c>
      <c r="C214" s="7"/>
      <c r="D214" s="1" t="s">
        <v>121</v>
      </c>
      <c r="E214" s="1" t="s">
        <v>93</v>
      </c>
      <c r="F214" s="1">
        <v>71.09</v>
      </c>
    </row>
    <row r="215" spans="1:6" x14ac:dyDescent="0.25">
      <c r="B215" s="8" t="s">
        <v>114</v>
      </c>
      <c r="C215" s="8">
        <v>30.46</v>
      </c>
      <c r="D215" s="1"/>
      <c r="E215" s="1" t="s">
        <v>16</v>
      </c>
      <c r="F215" s="1">
        <v>8.39</v>
      </c>
    </row>
    <row r="216" spans="1:6" x14ac:dyDescent="0.25">
      <c r="D216" s="1"/>
      <c r="E216" s="1"/>
      <c r="F216" s="9">
        <f>SUM(F214:F215)</f>
        <v>79.48</v>
      </c>
    </row>
    <row r="217" spans="1:6" x14ac:dyDescent="0.25">
      <c r="D217" s="1" t="s">
        <v>122</v>
      </c>
      <c r="E217" s="1" t="s">
        <v>169</v>
      </c>
      <c r="F217" s="1">
        <v>35.020000000000003</v>
      </c>
    </row>
    <row r="218" spans="1:6" x14ac:dyDescent="0.25">
      <c r="D218" s="1"/>
      <c r="E218" s="1" t="s">
        <v>16</v>
      </c>
      <c r="F218" s="1">
        <v>7.4</v>
      </c>
    </row>
    <row r="219" spans="1:6" x14ac:dyDescent="0.25">
      <c r="D219" s="1"/>
      <c r="E219" s="1" t="s">
        <v>168</v>
      </c>
      <c r="F219" s="1"/>
    </row>
    <row r="220" spans="1:6" x14ac:dyDescent="0.25">
      <c r="D220" s="1"/>
      <c r="E220" s="1" t="s">
        <v>109</v>
      </c>
      <c r="F220" s="1"/>
    </row>
    <row r="221" spans="1:6" x14ac:dyDescent="0.25">
      <c r="D221" s="1"/>
      <c r="E221" s="1" t="s">
        <v>70</v>
      </c>
      <c r="F221" s="1">
        <v>0.83</v>
      </c>
    </row>
    <row r="222" spans="1:6" x14ac:dyDescent="0.25">
      <c r="D222" s="1"/>
      <c r="E222" s="1"/>
      <c r="F222" s="9">
        <f>SUM(F217:F221)</f>
        <v>43.25</v>
      </c>
    </row>
    <row r="223" spans="1:6" x14ac:dyDescent="0.25">
      <c r="D223" s="1" t="s">
        <v>125</v>
      </c>
      <c r="E223" s="1" t="s">
        <v>169</v>
      </c>
      <c r="F223" s="1">
        <v>4.16</v>
      </c>
    </row>
    <row r="224" spans="1:6" x14ac:dyDescent="0.25">
      <c r="D224" s="1"/>
      <c r="E224" s="1" t="s">
        <v>70</v>
      </c>
      <c r="F224" s="1">
        <v>2.08</v>
      </c>
    </row>
    <row r="225" spans="4:6" x14ac:dyDescent="0.25">
      <c r="D225" s="1"/>
      <c r="E225" s="1" t="s">
        <v>265</v>
      </c>
      <c r="F225" s="1">
        <v>6.37</v>
      </c>
    </row>
    <row r="226" spans="4:6" x14ac:dyDescent="0.25">
      <c r="D226" s="1"/>
      <c r="E226" s="1" t="s">
        <v>39</v>
      </c>
      <c r="F226" s="1">
        <v>0.25</v>
      </c>
    </row>
    <row r="227" spans="4:6" x14ac:dyDescent="0.25">
      <c r="D227" s="1"/>
      <c r="E227" s="1" t="s">
        <v>16</v>
      </c>
      <c r="F227" s="1">
        <v>2.73</v>
      </c>
    </row>
    <row r="228" spans="4:6" x14ac:dyDescent="0.25">
      <c r="D228" s="1"/>
      <c r="E228" s="1"/>
      <c r="F228" s="9">
        <f>SUM(F223:F227)</f>
        <v>15.59</v>
      </c>
    </row>
    <row r="229" spans="4:6" x14ac:dyDescent="0.25">
      <c r="D229" s="1" t="s">
        <v>36</v>
      </c>
      <c r="E229" s="1" t="s">
        <v>169</v>
      </c>
      <c r="F229" s="1">
        <v>53.3</v>
      </c>
    </row>
    <row r="230" spans="4:6" x14ac:dyDescent="0.25">
      <c r="D230" s="1"/>
      <c r="E230" s="1" t="s">
        <v>265</v>
      </c>
      <c r="F230" s="1">
        <v>6.67</v>
      </c>
    </row>
    <row r="231" spans="4:6" x14ac:dyDescent="0.25">
      <c r="D231" s="1"/>
      <c r="E231" s="1" t="s">
        <v>39</v>
      </c>
      <c r="F231" s="1">
        <v>0.94</v>
      </c>
    </row>
    <row r="232" spans="4:6" x14ac:dyDescent="0.25">
      <c r="D232" s="1"/>
      <c r="E232" s="1"/>
      <c r="F232" s="9">
        <f>SUM(F229:F231)</f>
        <v>60.91</v>
      </c>
    </row>
    <row r="233" spans="4:6" x14ac:dyDescent="0.25">
      <c r="D233" s="1" t="s">
        <v>126</v>
      </c>
      <c r="E233" s="1" t="s">
        <v>111</v>
      </c>
      <c r="F233" s="1">
        <v>0.71</v>
      </c>
    </row>
    <row r="234" spans="4:6" x14ac:dyDescent="0.25">
      <c r="D234" s="1"/>
      <c r="E234" s="1" t="s">
        <v>15</v>
      </c>
      <c r="F234" s="1">
        <v>26.44</v>
      </c>
    </row>
    <row r="235" spans="4:6" x14ac:dyDescent="0.25">
      <c r="D235" s="1"/>
      <c r="E235" s="1" t="s">
        <v>73</v>
      </c>
      <c r="F235" s="1">
        <v>0.9</v>
      </c>
    </row>
    <row r="236" spans="4:6" x14ac:dyDescent="0.25">
      <c r="D236" s="1"/>
      <c r="E236" s="1" t="s">
        <v>167</v>
      </c>
      <c r="F236" s="1">
        <v>2.89</v>
      </c>
    </row>
    <row r="237" spans="4:6" x14ac:dyDescent="0.25">
      <c r="F237" s="9">
        <f>SUM(F234:F236)</f>
        <v>30.23</v>
      </c>
    </row>
  </sheetData>
  <sortState xmlns:xlrd2="http://schemas.microsoft.com/office/spreadsheetml/2017/richdata2" ref="M2:M46">
    <sortCondition ref="M2:M46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计算</vt:lpstr>
      <vt:lpstr>物理性状</vt:lpstr>
      <vt:lpstr>Sheet1</vt:lpstr>
      <vt:lpstr>CNP</vt:lpstr>
      <vt:lpstr>生物量</vt:lpstr>
      <vt:lpstr>FD与CWM</vt:lpstr>
      <vt:lpstr>性状降维</vt:lpstr>
      <vt:lpstr>时间稳定性</vt:lpstr>
      <vt:lpstr>Sheet3</vt:lpstr>
      <vt:lpstr>生态系统稳定性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 chun</dc:creator>
  <cp:lastModifiedBy>www13</cp:lastModifiedBy>
  <dcterms:created xsi:type="dcterms:W3CDTF">2015-06-05T18:19:34Z</dcterms:created>
  <dcterms:modified xsi:type="dcterms:W3CDTF">2023-04-24T07:07:33Z</dcterms:modified>
</cp:coreProperties>
</file>