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5062\Desktop\Thesis issues\paper 5-second\GitHub\"/>
    </mc:Choice>
  </mc:AlternateContent>
  <xr:revisionPtr revIDLastSave="0" documentId="13_ncr:1_{8923B517-BE23-4C94-9934-EB4BDB87258E}" xr6:coauthVersionLast="47" xr6:coauthVersionMax="47" xr10:uidLastSave="{00000000-0000-0000-0000-000000000000}"/>
  <bookViews>
    <workbookView xWindow="-120" yWindow="-120" windowWidth="29040" windowHeight="17640" xr2:uid="{BDA1A94D-8FAE-4911-B583-80BEF49C56B6}"/>
  </bookViews>
  <sheets>
    <sheet name="Investment analysis model" sheetId="1" r:id="rId1"/>
    <sheet name="Price regression model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0" i="1"/>
  <c r="E18" i="1"/>
  <c r="C22" i="1"/>
  <c r="E7" i="1"/>
  <c r="B7" i="10" l="1"/>
  <c r="C7" i="10"/>
  <c r="B9" i="10" l="1"/>
  <c r="B8" i="10"/>
  <c r="B19" i="1" s="1"/>
  <c r="C17" i="1"/>
  <c r="C19" i="1" l="1"/>
  <c r="D16" i="1"/>
  <c r="E22" i="1"/>
  <c r="C7" i="1"/>
  <c r="E21" i="1"/>
  <c r="D21" i="1"/>
  <c r="D23" i="1" s="1"/>
  <c r="C21" i="1"/>
  <c r="C23" i="1" s="1"/>
  <c r="M3" i="1"/>
  <c r="S3" i="1" s="1"/>
  <c r="M4" i="1"/>
  <c r="S4" i="1" s="1"/>
  <c r="M5" i="1"/>
  <c r="S5" i="1" s="1"/>
  <c r="M56" i="1"/>
  <c r="M2" i="1"/>
  <c r="S2" i="1" s="1"/>
  <c r="K3" i="1"/>
  <c r="K4" i="1"/>
  <c r="K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E16" i="1"/>
  <c r="C16" i="1"/>
  <c r="B23" i="1"/>
  <c r="B24" i="1" s="1"/>
  <c r="B25" i="1" s="1"/>
  <c r="H6" i="1"/>
  <c r="C14" i="1"/>
  <c r="D14" i="1"/>
  <c r="E14" i="1"/>
  <c r="B14" i="1"/>
  <c r="C5" i="1"/>
  <c r="C6" i="1" s="1"/>
  <c r="D5" i="1"/>
  <c r="D6" i="1" s="1"/>
  <c r="E5" i="1"/>
  <c r="E6" i="1" s="1"/>
  <c r="E8" i="1" s="1"/>
  <c r="B5" i="1"/>
  <c r="B6" i="1" s="1"/>
  <c r="B8" i="1" s="1"/>
  <c r="B10" i="1" s="1"/>
  <c r="E23" i="1" l="1"/>
  <c r="C8" i="1"/>
  <c r="C10" i="1" s="1"/>
  <c r="D12" i="1"/>
  <c r="C12" i="1"/>
  <c r="D8" i="1"/>
  <c r="D10" i="1" s="1"/>
  <c r="B12" i="1"/>
  <c r="L42" i="1"/>
  <c r="L41" i="1"/>
  <c r="L40" i="1"/>
  <c r="L50" i="1"/>
  <c r="L49" i="1"/>
  <c r="L48" i="1"/>
  <c r="L47" i="1"/>
  <c r="L54" i="1"/>
  <c r="L46" i="1"/>
  <c r="L38" i="1"/>
  <c r="L53" i="1"/>
  <c r="L45" i="1"/>
  <c r="L37" i="1"/>
  <c r="L55" i="1"/>
  <c r="L39" i="1"/>
  <c r="L52" i="1"/>
  <c r="L44" i="1"/>
  <c r="L36" i="1"/>
  <c r="L51" i="1"/>
  <c r="L43" i="1"/>
  <c r="L56" i="1"/>
  <c r="D27" i="1"/>
  <c r="S56" i="1" s="1"/>
  <c r="C27" i="1"/>
  <c r="B27" i="1"/>
  <c r="E27" i="1"/>
  <c r="D20" i="1"/>
  <c r="E20" i="1"/>
  <c r="C20" i="1"/>
  <c r="C24" i="1" s="1"/>
  <c r="C25" i="1" s="1"/>
  <c r="B20" i="1"/>
  <c r="R46" i="1" l="1"/>
  <c r="R54" i="1"/>
  <c r="R44" i="1"/>
  <c r="R42" i="1"/>
  <c r="R52" i="1"/>
  <c r="R43" i="1"/>
  <c r="R50" i="1"/>
  <c r="R49" i="1"/>
  <c r="R45" i="1"/>
  <c r="R51" i="1"/>
  <c r="R53" i="1"/>
  <c r="R41" i="1"/>
  <c r="J5" i="1"/>
  <c r="L5" i="1" s="1"/>
  <c r="K8" i="1"/>
  <c r="K16" i="1"/>
  <c r="L16" i="1" s="1"/>
  <c r="K24" i="1"/>
  <c r="L24" i="1" s="1"/>
  <c r="K32" i="1"/>
  <c r="L32" i="1" s="1"/>
  <c r="K9" i="1"/>
  <c r="K17" i="1"/>
  <c r="L17" i="1" s="1"/>
  <c r="K25" i="1"/>
  <c r="L25" i="1" s="1"/>
  <c r="K33" i="1"/>
  <c r="L33" i="1" s="1"/>
  <c r="K31" i="1"/>
  <c r="L31" i="1" s="1"/>
  <c r="K10" i="1"/>
  <c r="K18" i="1"/>
  <c r="L18" i="1" s="1"/>
  <c r="K26" i="1"/>
  <c r="L26" i="1" s="1"/>
  <c r="K34" i="1"/>
  <c r="L34" i="1" s="1"/>
  <c r="K11" i="1"/>
  <c r="K19" i="1"/>
  <c r="L19" i="1" s="1"/>
  <c r="K27" i="1"/>
  <c r="L27" i="1" s="1"/>
  <c r="K35" i="1"/>
  <c r="L35" i="1" s="1"/>
  <c r="K7" i="1"/>
  <c r="K12" i="1"/>
  <c r="K20" i="1"/>
  <c r="L20" i="1" s="1"/>
  <c r="K28" i="1"/>
  <c r="L28" i="1" s="1"/>
  <c r="K13" i="1"/>
  <c r="K21" i="1"/>
  <c r="L21" i="1" s="1"/>
  <c r="K29" i="1"/>
  <c r="L29" i="1" s="1"/>
  <c r="K23" i="1"/>
  <c r="L23" i="1" s="1"/>
  <c r="K6" i="1"/>
  <c r="K14" i="1"/>
  <c r="K22" i="1"/>
  <c r="L22" i="1" s="1"/>
  <c r="K30" i="1"/>
  <c r="L30" i="1" s="1"/>
  <c r="K15" i="1"/>
  <c r="J4" i="1"/>
  <c r="L4" i="1" s="1"/>
  <c r="J6" i="1"/>
  <c r="J14" i="1"/>
  <c r="J15" i="1"/>
  <c r="J8" i="1"/>
  <c r="J9" i="1"/>
  <c r="J10" i="1"/>
  <c r="J11" i="1"/>
  <c r="J12" i="1"/>
  <c r="J13" i="1"/>
  <c r="J2" i="1"/>
  <c r="L2" i="1" s="1"/>
  <c r="J3" i="1"/>
  <c r="L3" i="1" s="1"/>
  <c r="J7" i="1"/>
  <c r="B10" i="10"/>
  <c r="D19" i="1" s="1"/>
  <c r="N56" i="1"/>
  <c r="R48" i="1"/>
  <c r="R56" i="1"/>
  <c r="R47" i="1"/>
  <c r="R55" i="1"/>
  <c r="R36" i="1"/>
  <c r="R40" i="1"/>
  <c r="R37" i="1"/>
  <c r="R39" i="1"/>
  <c r="R38" i="1"/>
  <c r="D24" i="1" l="1"/>
  <c r="D25" i="1" s="1"/>
  <c r="R30" i="1"/>
  <c r="R2" i="1"/>
  <c r="R4" i="1"/>
  <c r="R21" i="1"/>
  <c r="R19" i="1"/>
  <c r="R25" i="1"/>
  <c r="R17" i="1"/>
  <c r="R28" i="1"/>
  <c r="R34" i="1"/>
  <c r="R26" i="1"/>
  <c r="R24" i="1"/>
  <c r="R20" i="1"/>
  <c r="R32" i="1"/>
  <c r="R18" i="1"/>
  <c r="N3" i="1"/>
  <c r="R3" i="1"/>
  <c r="R16" i="1"/>
  <c r="R22" i="1"/>
  <c r="R23" i="1"/>
  <c r="R35" i="1"/>
  <c r="R31" i="1"/>
  <c r="R29" i="1"/>
  <c r="R27" i="1"/>
  <c r="R33" i="1"/>
  <c r="R5" i="1"/>
  <c r="N5" i="1"/>
  <c r="O2" i="1"/>
  <c r="P2" i="1" s="1"/>
  <c r="Q2" i="1" s="1"/>
  <c r="L11" i="1"/>
  <c r="L7" i="1"/>
  <c r="L9" i="1"/>
  <c r="L8" i="1"/>
  <c r="L10" i="1"/>
  <c r="L6" i="1"/>
  <c r="E19" i="1"/>
  <c r="L14" i="1"/>
  <c r="L12" i="1"/>
  <c r="N4" i="1"/>
  <c r="L15" i="1"/>
  <c r="N2" i="1"/>
  <c r="O3" i="1"/>
  <c r="P3" i="1" s="1"/>
  <c r="Q3" i="1" s="1"/>
  <c r="O4" i="1"/>
  <c r="P4" i="1" s="1"/>
  <c r="Q4" i="1" s="1"/>
  <c r="J57" i="1"/>
  <c r="O5" i="1"/>
  <c r="P5" i="1" s="1"/>
  <c r="Q5" i="1" s="1"/>
  <c r="L13" i="1"/>
  <c r="K57" i="1"/>
  <c r="E24" i="1" l="1"/>
  <c r="E25" i="1" s="1"/>
  <c r="M32" i="1" s="1"/>
  <c r="O32" i="1" s="1"/>
  <c r="R9" i="1"/>
  <c r="R13" i="1"/>
  <c r="R12" i="1"/>
  <c r="R10" i="1"/>
  <c r="R15" i="1"/>
  <c r="R8" i="1"/>
  <c r="R7" i="1"/>
  <c r="R14" i="1"/>
  <c r="R11" i="1"/>
  <c r="R6" i="1"/>
  <c r="O56" i="1"/>
  <c r="L57" i="1"/>
  <c r="M42" i="1"/>
  <c r="O42" i="1" s="1"/>
  <c r="M50" i="1"/>
  <c r="O50" i="1" s="1"/>
  <c r="M43" i="1"/>
  <c r="O43" i="1" s="1"/>
  <c r="M51" i="1"/>
  <c r="O51" i="1" s="1"/>
  <c r="M36" i="1"/>
  <c r="O36" i="1" s="1"/>
  <c r="M44" i="1"/>
  <c r="O44" i="1" s="1"/>
  <c r="M52" i="1"/>
  <c r="O52" i="1" s="1"/>
  <c r="M37" i="1"/>
  <c r="O37" i="1" s="1"/>
  <c r="M45" i="1"/>
  <c r="O45" i="1" s="1"/>
  <c r="M53" i="1"/>
  <c r="O53" i="1" s="1"/>
  <c r="M41" i="1"/>
  <c r="O41" i="1" s="1"/>
  <c r="M38" i="1"/>
  <c r="O38" i="1" s="1"/>
  <c r="M46" i="1"/>
  <c r="O46" i="1" s="1"/>
  <c r="M54" i="1"/>
  <c r="O54" i="1" s="1"/>
  <c r="M39" i="1"/>
  <c r="O39" i="1" s="1"/>
  <c r="M47" i="1"/>
  <c r="O47" i="1" s="1"/>
  <c r="M55" i="1"/>
  <c r="O55" i="1" s="1"/>
  <c r="M40" i="1"/>
  <c r="O40" i="1" s="1"/>
  <c r="M48" i="1"/>
  <c r="O48" i="1" s="1"/>
  <c r="M49" i="1"/>
  <c r="O49" i="1" s="1"/>
  <c r="M9" i="1" l="1"/>
  <c r="N9" i="1" s="1"/>
  <c r="M27" i="1"/>
  <c r="N27" i="1" s="1"/>
  <c r="M17" i="1"/>
  <c r="S17" i="1" s="1"/>
  <c r="M24" i="1"/>
  <c r="N24" i="1" s="1"/>
  <c r="M29" i="1"/>
  <c r="O29" i="1" s="1"/>
  <c r="M30" i="1"/>
  <c r="O30" i="1" s="1"/>
  <c r="M8" i="1"/>
  <c r="O8" i="1" s="1"/>
  <c r="M28" i="1"/>
  <c r="O28" i="1" s="1"/>
  <c r="M22" i="1"/>
  <c r="N22" i="1" s="1"/>
  <c r="M21" i="1"/>
  <c r="N21" i="1" s="1"/>
  <c r="M14" i="1"/>
  <c r="N14" i="1" s="1"/>
  <c r="M34" i="1"/>
  <c r="O34" i="1" s="1"/>
  <c r="M26" i="1"/>
  <c r="N26" i="1" s="1"/>
  <c r="M13" i="1"/>
  <c r="N13" i="1" s="1"/>
  <c r="M31" i="1"/>
  <c r="O31" i="1" s="1"/>
  <c r="M7" i="1"/>
  <c r="O7" i="1" s="1"/>
  <c r="M25" i="1"/>
  <c r="S25" i="1" s="1"/>
  <c r="M20" i="1"/>
  <c r="N20" i="1" s="1"/>
  <c r="M6" i="1"/>
  <c r="M16" i="1"/>
  <c r="S16" i="1" s="1"/>
  <c r="M12" i="1"/>
  <c r="N12" i="1" s="1"/>
  <c r="M35" i="1"/>
  <c r="O35" i="1" s="1"/>
  <c r="M18" i="1"/>
  <c r="N18" i="1" s="1"/>
  <c r="M23" i="1"/>
  <c r="S23" i="1" s="1"/>
  <c r="M19" i="1"/>
  <c r="S19" i="1" s="1"/>
  <c r="M33" i="1"/>
  <c r="O33" i="1" s="1"/>
  <c r="M10" i="1"/>
  <c r="N10" i="1" s="1"/>
  <c r="M15" i="1"/>
  <c r="S15" i="1" s="1"/>
  <c r="M11" i="1"/>
  <c r="N11" i="1" s="1"/>
  <c r="R57" i="1"/>
  <c r="O19" i="1"/>
  <c r="O10" i="1"/>
  <c r="O15" i="1"/>
  <c r="O11" i="1"/>
  <c r="O27" i="1"/>
  <c r="O18" i="1"/>
  <c r="O25" i="1"/>
  <c r="O22" i="1"/>
  <c r="O23" i="1"/>
  <c r="O17" i="1"/>
  <c r="O14" i="1"/>
  <c r="O6" i="1"/>
  <c r="O21" i="1"/>
  <c r="O26" i="1"/>
  <c r="O9" i="1"/>
  <c r="O13" i="1"/>
  <c r="O16" i="1"/>
  <c r="O24" i="1"/>
  <c r="O20" i="1"/>
  <c r="O12" i="1"/>
  <c r="S47" i="1"/>
  <c r="N47" i="1"/>
  <c r="S37" i="1"/>
  <c r="N37" i="1"/>
  <c r="S39" i="1"/>
  <c r="N39" i="1"/>
  <c r="S52" i="1"/>
  <c r="N52" i="1"/>
  <c r="S44" i="1"/>
  <c r="N44" i="1"/>
  <c r="S46" i="1"/>
  <c r="N46" i="1"/>
  <c r="S36" i="1"/>
  <c r="N36" i="1"/>
  <c r="S54" i="1"/>
  <c r="N54" i="1"/>
  <c r="S49" i="1"/>
  <c r="N49" i="1"/>
  <c r="S38" i="1"/>
  <c r="N38" i="1"/>
  <c r="S51" i="1"/>
  <c r="N51" i="1"/>
  <c r="S41" i="1"/>
  <c r="N41" i="1"/>
  <c r="S43" i="1"/>
  <c r="N43" i="1"/>
  <c r="S40" i="1"/>
  <c r="N40" i="1"/>
  <c r="S53" i="1"/>
  <c r="N53" i="1"/>
  <c r="S50" i="1"/>
  <c r="N50" i="1"/>
  <c r="S48" i="1"/>
  <c r="N48" i="1"/>
  <c r="S55" i="1"/>
  <c r="N55" i="1"/>
  <c r="S45" i="1"/>
  <c r="N45" i="1"/>
  <c r="S42" i="1"/>
  <c r="N42" i="1"/>
  <c r="S32" i="1"/>
  <c r="N32" i="1"/>
  <c r="P48" i="1" l="1"/>
  <c r="Q48" i="1" s="1"/>
  <c r="P52" i="1"/>
  <c r="Q52" i="1" s="1"/>
  <c r="P39" i="1"/>
  <c r="Q39" i="1" s="1"/>
  <c r="P56" i="1"/>
  <c r="Q56" i="1" s="1"/>
  <c r="P49" i="1"/>
  <c r="Q49" i="1" s="1"/>
  <c r="P55" i="1"/>
  <c r="Q55" i="1" s="1"/>
  <c r="P45" i="1"/>
  <c r="Q45" i="1" s="1"/>
  <c r="P41" i="1"/>
  <c r="Q41" i="1" s="1"/>
  <c r="P53" i="1"/>
  <c r="Q53" i="1" s="1"/>
  <c r="P51" i="1"/>
  <c r="Q51" i="1" s="1"/>
  <c r="P46" i="1"/>
  <c r="Q46" i="1" s="1"/>
  <c r="P47" i="1"/>
  <c r="Q47" i="1" s="1"/>
  <c r="P44" i="1"/>
  <c r="Q44" i="1" s="1"/>
  <c r="P42" i="1"/>
  <c r="Q42" i="1" s="1"/>
  <c r="P43" i="1"/>
  <c r="Q43" i="1" s="1"/>
  <c r="P37" i="1"/>
  <c r="Q37" i="1" s="1"/>
  <c r="P54" i="1"/>
  <c r="Q54" i="1" s="1"/>
  <c r="P50" i="1"/>
  <c r="Q50" i="1" s="1"/>
  <c r="P40" i="1"/>
  <c r="Q40" i="1" s="1"/>
  <c r="P38" i="1"/>
  <c r="Q38" i="1" s="1"/>
  <c r="S27" i="1"/>
  <c r="N8" i="1"/>
  <c r="S8" i="1"/>
  <c r="S9" i="1"/>
  <c r="S18" i="1"/>
  <c r="S31" i="1"/>
  <c r="N31" i="1"/>
  <c r="S20" i="1"/>
  <c r="S21" i="1"/>
  <c r="N17" i="1"/>
  <c r="S33" i="1"/>
  <c r="N29" i="1"/>
  <c r="N25" i="1"/>
  <c r="S22" i="1"/>
  <c r="S26" i="1"/>
  <c r="S29" i="1"/>
  <c r="S13" i="1"/>
  <c r="P7" i="1"/>
  <c r="Q7" i="1" s="1"/>
  <c r="N23" i="1"/>
  <c r="N34" i="1"/>
  <c r="S24" i="1"/>
  <c r="S34" i="1"/>
  <c r="S28" i="1"/>
  <c r="S14" i="1"/>
  <c r="S7" i="1"/>
  <c r="N7" i="1"/>
  <c r="N6" i="1"/>
  <c r="P8" i="1"/>
  <c r="Q8" i="1" s="1"/>
  <c r="N28" i="1"/>
  <c r="S6" i="1"/>
  <c r="N16" i="1"/>
  <c r="P6" i="1"/>
  <c r="Q6" i="1" s="1"/>
  <c r="S30" i="1"/>
  <c r="P9" i="1"/>
  <c r="Q9" i="1" s="1"/>
  <c r="N30" i="1"/>
  <c r="S10" i="1"/>
  <c r="N33" i="1"/>
  <c r="P35" i="1"/>
  <c r="Q35" i="1" s="1"/>
  <c r="P32" i="1"/>
  <c r="Q32" i="1" s="1"/>
  <c r="P28" i="1"/>
  <c r="Q28" i="1" s="1"/>
  <c r="P22" i="1"/>
  <c r="Q22" i="1" s="1"/>
  <c r="P29" i="1"/>
  <c r="Q29" i="1" s="1"/>
  <c r="P13" i="1"/>
  <c r="Q13" i="1" s="1"/>
  <c r="M57" i="1"/>
  <c r="S12" i="1"/>
  <c r="P34" i="1"/>
  <c r="Q34" i="1" s="1"/>
  <c r="N35" i="1"/>
  <c r="P20" i="1"/>
  <c r="Q20" i="1" s="1"/>
  <c r="N15" i="1"/>
  <c r="P31" i="1"/>
  <c r="Q31" i="1" s="1"/>
  <c r="S35" i="1"/>
  <c r="P17" i="1"/>
  <c r="Q17" i="1" s="1"/>
  <c r="P18" i="1"/>
  <c r="Q18" i="1" s="1"/>
  <c r="P10" i="1"/>
  <c r="Q10" i="1" s="1"/>
  <c r="P12" i="1"/>
  <c r="Q12" i="1" s="1"/>
  <c r="P14" i="1"/>
  <c r="Q14" i="1" s="1"/>
  <c r="P25" i="1"/>
  <c r="Q25" i="1" s="1"/>
  <c r="P15" i="1"/>
  <c r="Q15" i="1" s="1"/>
  <c r="P33" i="1"/>
  <c r="Q33" i="1" s="1"/>
  <c r="P24" i="1"/>
  <c r="Q24" i="1" s="1"/>
  <c r="P23" i="1"/>
  <c r="Q23" i="1" s="1"/>
  <c r="P27" i="1"/>
  <c r="Q27" i="1" s="1"/>
  <c r="P19" i="1"/>
  <c r="Q19" i="1" s="1"/>
  <c r="P36" i="1"/>
  <c r="Q36" i="1" s="1"/>
  <c r="S11" i="1"/>
  <c r="P30" i="1"/>
  <c r="Q30" i="1" s="1"/>
  <c r="P26" i="1"/>
  <c r="Q26" i="1" s="1"/>
  <c r="N19" i="1"/>
  <c r="P16" i="1"/>
  <c r="Q16" i="1" s="1"/>
  <c r="P21" i="1"/>
  <c r="Q21" i="1" s="1"/>
  <c r="P11" i="1"/>
  <c r="Q11" i="1" s="1"/>
  <c r="F32" i="1" l="1"/>
  <c r="F33" i="1"/>
  <c r="S57" i="1"/>
  <c r="F29" i="1" s="1"/>
  <c r="F31" i="1" l="1"/>
  <c r="F30" i="1"/>
</calcChain>
</file>

<file path=xl/sharedStrings.xml><?xml version="1.0" encoding="utf-8"?>
<sst xmlns="http://schemas.openxmlformats.org/spreadsheetml/2006/main" count="98" uniqueCount="83">
  <si>
    <t>Total</t>
  </si>
  <si>
    <t>Year</t>
  </si>
  <si>
    <t>Revenues</t>
  </si>
  <si>
    <t>Typical numbers of turbines/reactors</t>
  </si>
  <si>
    <t>Average turbine/reactor capacity</t>
  </si>
  <si>
    <t>unit</t>
  </si>
  <si>
    <t>MW</t>
  </si>
  <si>
    <t>units</t>
  </si>
  <si>
    <t>Construction cost per unit</t>
  </si>
  <si>
    <t>euros</t>
  </si>
  <si>
    <t>Total construction cost for a typical power plant</t>
  </si>
  <si>
    <t>Construction time on average</t>
  </si>
  <si>
    <t>years</t>
  </si>
  <si>
    <t>Construction cost per year on average</t>
  </si>
  <si>
    <t>Construction costs</t>
  </si>
  <si>
    <t>euros/MW</t>
  </si>
  <si>
    <t>Operational and maintainance costs per year</t>
  </si>
  <si>
    <t>Capacity factor</t>
  </si>
  <si>
    <t>Conversion factor from MW to MWH</t>
  </si>
  <si>
    <t>Lifecycle of turbines/reactors</t>
  </si>
  <si>
    <t>MW/MWH</t>
  </si>
  <si>
    <t>euros/MWH</t>
  </si>
  <si>
    <t>Electricity price on grid</t>
  </si>
  <si>
    <t>Typical capacity of power plants in MW</t>
  </si>
  <si>
    <t>Typical capacity of power plants in MWH</t>
  </si>
  <si>
    <t>MWH</t>
  </si>
  <si>
    <t>1=onshore</t>
  </si>
  <si>
    <t>2=offshore</t>
  </si>
  <si>
    <t>3=Traditional nuclear</t>
  </si>
  <si>
    <t>4=Modualr nuclear</t>
  </si>
  <si>
    <t>Code</t>
  </si>
  <si>
    <t>Discounted Benefits</t>
  </si>
  <si>
    <t>Discount rate</t>
  </si>
  <si>
    <t>O&amp;M costs</t>
  </si>
  <si>
    <t>Benefit-Cost Ratio</t>
  </si>
  <si>
    <t>Discounted Costs</t>
  </si>
  <si>
    <t>Results:</t>
  </si>
  <si>
    <t>Net Present Value</t>
  </si>
  <si>
    <t>Total Costs</t>
  </si>
  <si>
    <t>Accumulative Costs</t>
  </si>
  <si>
    <t>-</t>
  </si>
  <si>
    <t>Accumulative Revenues</t>
  </si>
  <si>
    <t>Accumulative Net Benefits</t>
  </si>
  <si>
    <t>Residual value rate</t>
  </si>
  <si>
    <t>Salvage value</t>
  </si>
  <si>
    <t>Internal rate of Return</t>
  </si>
  <si>
    <t>Net benefits</t>
  </si>
  <si>
    <t>Yearly Discounted Net Benefits</t>
  </si>
  <si>
    <t>Payback Period (years)</t>
  </si>
  <si>
    <t>Operational and maintainance costs</t>
  </si>
  <si>
    <t xml:space="preserve">Subsidy for investment cost </t>
  </si>
  <si>
    <t>Total construction cost for a typical power plant after subsidy</t>
  </si>
  <si>
    <t>Electricity price after adding price premium</t>
  </si>
  <si>
    <t>Tax rate after tax credit</t>
  </si>
  <si>
    <t>Revenues of power plants per year after tax</t>
  </si>
  <si>
    <t>Note:</t>
  </si>
  <si>
    <t>Final results we want to show in the paper</t>
  </si>
  <si>
    <t>Data that can be changed</t>
  </si>
  <si>
    <t>Input number</t>
  </si>
  <si>
    <t>Electricity price</t>
  </si>
  <si>
    <t>Unchanged data</t>
  </si>
  <si>
    <t>Wind share</t>
  </si>
  <si>
    <t>Coefficient of model 1</t>
  </si>
  <si>
    <t>Coefficient of model 2</t>
  </si>
  <si>
    <t>Constant</t>
  </si>
  <si>
    <t>Wind electricity price</t>
  </si>
  <si>
    <t>Nuclear electricity price</t>
  </si>
  <si>
    <t>Price premium of nuclear(Difference of wind and nuclear electricity price)</t>
  </si>
  <si>
    <t>Intermediate results will change with the change of yellow cells</t>
  </si>
  <si>
    <t>Intermediate results that unchanged</t>
  </si>
  <si>
    <t>Final results (calculated by all intermediate results) we want to show in the paper</t>
  </si>
  <si>
    <t>1 onshare</t>
  </si>
  <si>
    <t>2 offshore</t>
  </si>
  <si>
    <t>3 traditional nuclear</t>
  </si>
  <si>
    <t>4 SMR nuclear</t>
  </si>
  <si>
    <t>Corporate income tax</t>
  </si>
  <si>
    <t>Clean enenrgy tax credit</t>
  </si>
  <si>
    <t>Wind share in electricity mix</t>
  </si>
  <si>
    <t>n/a</t>
  </si>
  <si>
    <t>Financial support in form of a premium additional to market prices</t>
  </si>
  <si>
    <t>Model 2: Deflated_Diff= 43.51*Wind share + 0.1*Deflated_EPaverage -6.28</t>
  </si>
  <si>
    <t>Model 1: Deflated_EPwind = -41.3*Wind share+ 0.9*Deflated_EPaverage +6.08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</si>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</sst>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9" fontId="0" fillId="0" borderId="0" xfId="0" applyNumberFormat="1"/>
    <xf numFmtId="0" fontId="1" fillId="0" borderId="0" xfId="0" applyFont="1" applyFill="1"/>
    <xf numFmtId="0" fontId="0" fillId="2" borderId="0" xfId="0" applyFill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4" borderId="1" xfId="0" applyFill="1" applyBorder="1"/>
    <xf numFmtId="3" fontId="0" fillId="4" borderId="1" xfId="0" applyNumberFormat="1" applyFont="1" applyFill="1" applyBorder="1"/>
    <xf numFmtId="0" fontId="1" fillId="2" borderId="7" xfId="0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4" borderId="0" xfId="0" applyFill="1"/>
    <xf numFmtId="0" fontId="0" fillId="0" borderId="4" xfId="0" applyFill="1" applyBorder="1"/>
    <xf numFmtId="0" fontId="0" fillId="0" borderId="4" xfId="0" applyFill="1" applyBorder="1" applyAlignment="1">
      <alignment wrapText="1"/>
    </xf>
    <xf numFmtId="49" fontId="0" fillId="0" borderId="4" xfId="0" applyNumberFormat="1" applyFill="1" applyBorder="1" applyAlignment="1">
      <alignment wrapText="1"/>
    </xf>
    <xf numFmtId="0" fontId="0" fillId="0" borderId="0" xfId="0" applyNumberFormat="1" applyBorder="1"/>
    <xf numFmtId="0" fontId="1" fillId="0" borderId="3" xfId="0" applyFont="1" applyBorder="1" applyAlignment="1">
      <alignment wrapText="1"/>
    </xf>
    <xf numFmtId="39" fontId="0" fillId="3" borderId="1" xfId="0" applyNumberFormat="1" applyFill="1" applyBorder="1"/>
    <xf numFmtId="37" fontId="0" fillId="0" borderId="0" xfId="0" applyNumberFormat="1" applyBorder="1"/>
    <xf numFmtId="37" fontId="1" fillId="0" borderId="0" xfId="0" applyNumberFormat="1" applyFont="1" applyBorder="1"/>
    <xf numFmtId="37" fontId="1" fillId="2" borderId="7" xfId="0" applyNumberFormat="1" applyFont="1" applyFill="1" applyBorder="1"/>
    <xf numFmtId="37" fontId="1" fillId="2" borderId="7" xfId="0" applyNumberFormat="1" applyFont="1" applyFill="1" applyBorder="1" applyAlignment="1">
      <alignment horizontal="right"/>
    </xf>
    <xf numFmtId="37" fontId="1" fillId="0" borderId="5" xfId="0" applyNumberFormat="1" applyFont="1" applyBorder="1"/>
    <xf numFmtId="37" fontId="1" fillId="2" borderId="8" xfId="0" applyNumberFormat="1" applyFont="1" applyFill="1" applyBorder="1"/>
    <xf numFmtId="0" fontId="1" fillId="2" borderId="7" xfId="0" applyFont="1" applyFill="1" applyBorder="1" applyAlignment="1">
      <alignment horizontal="left"/>
    </xf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0" borderId="0" xfId="0" applyAlignment="1">
      <alignment horizontal="right" wrapText="1"/>
    </xf>
    <xf numFmtId="0" fontId="0" fillId="7" borderId="0" xfId="0" applyFill="1"/>
    <xf numFmtId="0" fontId="0" fillId="4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Font="1" applyFill="1" applyBorder="1"/>
    <xf numFmtId="3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Border="1"/>
    <xf numFmtId="3" fontId="0" fillId="0" borderId="1" xfId="0" applyNumberFormat="1" applyFont="1" applyBorder="1"/>
    <xf numFmtId="164" fontId="0" fillId="4" borderId="1" xfId="0" applyNumberFormat="1" applyFill="1" applyBorder="1"/>
    <xf numFmtId="10" fontId="0" fillId="4" borderId="1" xfId="0" applyNumberFormat="1" applyFill="1" applyBorder="1"/>
    <xf numFmtId="0" fontId="0" fillId="0" borderId="1" xfId="0" applyFont="1" applyBorder="1" applyAlignment="1">
      <alignment wrapText="1"/>
    </xf>
    <xf numFmtId="0" fontId="0" fillId="7" borderId="1" xfId="0" applyFont="1" applyFill="1" applyBorder="1"/>
    <xf numFmtId="3" fontId="0" fillId="7" borderId="1" xfId="0" applyNumberFormat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/>
    <xf numFmtId="164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/>
    <xf numFmtId="0" fontId="0" fillId="2" borderId="1" xfId="0" applyFill="1" applyBorder="1"/>
    <xf numFmtId="0" fontId="0" fillId="4" borderId="1" xfId="0" applyNumberForma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0" fontId="0" fillId="3" borderId="1" xfId="0" applyNumberFormat="1" applyFill="1" applyBorder="1"/>
    <xf numFmtId="0" fontId="0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BC80-3906-4E15-A7FC-C848DFC0B177}">
  <dimension ref="A1:S57"/>
  <sheetViews>
    <sheetView tabSelected="1" zoomScaleNormal="100" workbookViewId="0">
      <selection activeCell="D16" sqref="D16"/>
    </sheetView>
  </sheetViews>
  <sheetFormatPr defaultRowHeight="15" x14ac:dyDescent="0.25"/>
  <cols>
    <col min="1" max="1" width="43.5703125" customWidth="1"/>
    <col min="2" max="2" width="13.5703125" customWidth="1"/>
    <col min="3" max="3" width="14.7109375" customWidth="1"/>
    <col min="4" max="4" width="20.5703125" customWidth="1"/>
    <col min="5" max="5" width="15" customWidth="1"/>
    <col min="6" max="6" width="18.42578125" customWidth="1"/>
    <col min="7" max="7" width="8.42578125" customWidth="1"/>
    <col min="8" max="8" width="19.28515625" customWidth="1"/>
    <col min="9" max="9" width="5.42578125" customWidth="1"/>
    <col min="10" max="10" width="14.5703125" customWidth="1"/>
    <col min="11" max="12" width="16" customWidth="1"/>
    <col min="13" max="13" width="15.42578125" customWidth="1"/>
    <col min="14" max="14" width="15.5703125" customWidth="1"/>
    <col min="15" max="15" width="17.7109375" customWidth="1"/>
    <col min="16" max="16" width="14.7109375" customWidth="1"/>
    <col min="17" max="17" width="12.85546875" customWidth="1"/>
    <col min="18" max="18" width="16.7109375" customWidth="1"/>
    <col min="19" max="19" width="15.28515625" customWidth="1"/>
  </cols>
  <sheetData>
    <row r="1" spans="1:19" ht="28.5" customHeight="1" x14ac:dyDescent="0.25">
      <c r="A1" s="37"/>
      <c r="B1" s="38" t="s">
        <v>71</v>
      </c>
      <c r="C1" s="38" t="s">
        <v>72</v>
      </c>
      <c r="D1" s="38" t="s">
        <v>73</v>
      </c>
      <c r="E1" s="38" t="s">
        <v>74</v>
      </c>
      <c r="F1" s="37" t="s">
        <v>5</v>
      </c>
      <c r="H1" s="8" t="s">
        <v>30</v>
      </c>
      <c r="I1" s="4" t="s">
        <v>1</v>
      </c>
      <c r="J1" s="12" t="s">
        <v>14</v>
      </c>
      <c r="K1" s="4" t="s">
        <v>33</v>
      </c>
      <c r="L1" s="13" t="s">
        <v>38</v>
      </c>
      <c r="M1" s="13" t="s">
        <v>2</v>
      </c>
      <c r="N1" s="12" t="s">
        <v>46</v>
      </c>
      <c r="O1" s="12" t="s">
        <v>39</v>
      </c>
      <c r="P1" s="12" t="s">
        <v>41</v>
      </c>
      <c r="Q1" s="12" t="s">
        <v>42</v>
      </c>
      <c r="R1" s="14" t="s">
        <v>35</v>
      </c>
      <c r="S1" s="20" t="s">
        <v>31</v>
      </c>
    </row>
    <row r="2" spans="1:19" x14ac:dyDescent="0.25">
      <c r="A2" s="39" t="s">
        <v>8</v>
      </c>
      <c r="B2" s="40">
        <v>1213000</v>
      </c>
      <c r="C2" s="40">
        <v>2701800</v>
      </c>
      <c r="D2" s="40">
        <v>5654000</v>
      </c>
      <c r="E2" s="40">
        <v>2503600</v>
      </c>
      <c r="F2" s="39" t="s">
        <v>15</v>
      </c>
      <c r="H2" s="9">
        <v>4</v>
      </c>
      <c r="I2" s="5">
        <v>0</v>
      </c>
      <c r="J2" s="22">
        <f t="shared" ref="J2:J33" si="0">-1*IF(AND($H$2=1,I2&lt;$B$9),$B$10,IF(AND($H$2=2,I2&lt;$C$9),$C$10,IF(AND($H$2=3,I2&lt;$D$9),$D$10,IF(AND($H$2=4,I2&lt;$E$9),$E$10, 0))))</f>
        <v>-125805899.99999999</v>
      </c>
      <c r="K2" s="22">
        <f t="shared" ref="K2:K33" si="1">-1*IF(AND($H$2=1,I2&gt;=$B$9,I2&lt;$B$9+$B$15),$B$12,IF(AND($H$2=2,I2&gt;=$C$9,I2&lt;$C$9+$C$15),$C$12,IF(AND($H$2=3,I2&gt;=$D$9,I2&lt;$D$9+$D$15),$D$12,IF(AND($H$2=4,I2&gt;=$E$9,I2&lt;$E$9+$E$15),$E$12,0))))</f>
        <v>0</v>
      </c>
      <c r="L2" s="23">
        <f>J2+K2</f>
        <v>-125805899.99999999</v>
      </c>
      <c r="M2" s="23">
        <f t="shared" ref="M2:M33" si="2">IF(AND($H$2=1,I2&gt;=$B$9,I2&lt;$B$9+$B$15),$B$25,IF(AND($H$2=2,I2&gt;=$C$9,I2&lt;$C$9+$C$15),$C$25,IF(AND($H$2=3,I2&gt;=$D$9,I2&lt;$D$9+$D$15),$D$25,IF(AND($H$2=4,I2&gt;=$E$9,I2&lt;$E$9+$E$15),$E$25,IF(AND($H$2=1,I2=$B$9+$B$15),$B$27, IF(AND($H$2=2,I2=$C$9+$C$15),$C$27,IF(AND($H$2=3,I2=$D$9+$D$15),$D$27,IF(AND($H$2=4,I2=$E$9+$E$15),$E$27,0))))))))</f>
        <v>0</v>
      </c>
      <c r="N2" s="22">
        <f>M2+L2</f>
        <v>-125805899.99999999</v>
      </c>
      <c r="O2" s="22">
        <f>IF(L2&lt;&gt;0,SUM($L$2:$L2),IF(AND(L2=0,M2&lt;&gt;0),SUM($L1:$L$2),0))</f>
        <v>-125805899.99999999</v>
      </c>
      <c r="P2" s="22">
        <f>IF(O2&lt;&gt;0,SUM($M$2:$M2),0)</f>
        <v>0</v>
      </c>
      <c r="Q2" s="19" t="str">
        <f>IF(AND(P2+O2&gt;0,P2&lt;&gt;0),"Payback",IF(P2+O2&lt;0,"Not payback","N/A"))</f>
        <v>Not payback</v>
      </c>
      <c r="R2" s="23">
        <f>L2/(1+$H$4)^I2</f>
        <v>-125805899.99999999</v>
      </c>
      <c r="S2" s="26">
        <f>M2/(1+$H$4)^I2</f>
        <v>0</v>
      </c>
    </row>
    <row r="3" spans="1:19" x14ac:dyDescent="0.25">
      <c r="A3" s="41" t="s">
        <v>3</v>
      </c>
      <c r="B3" s="42">
        <v>150</v>
      </c>
      <c r="C3" s="42">
        <v>100</v>
      </c>
      <c r="D3" s="42">
        <v>1</v>
      </c>
      <c r="E3" s="42">
        <v>1</v>
      </c>
      <c r="F3" s="42" t="s">
        <v>7</v>
      </c>
      <c r="H3" s="8" t="s">
        <v>32</v>
      </c>
      <c r="I3" s="5">
        <v>1</v>
      </c>
      <c r="J3" s="22">
        <f t="shared" si="0"/>
        <v>-125805899.99999999</v>
      </c>
      <c r="K3" s="22">
        <f t="shared" si="1"/>
        <v>0</v>
      </c>
      <c r="L3" s="23">
        <f t="shared" ref="L3:L56" si="3">J3+K3</f>
        <v>-125805899.99999999</v>
      </c>
      <c r="M3" s="23">
        <f t="shared" si="2"/>
        <v>0</v>
      </c>
      <c r="N3" s="22">
        <f t="shared" ref="N3:N56" si="4">M3+L3</f>
        <v>-125805899.99999999</v>
      </c>
      <c r="O3" s="22">
        <f>IF(L3&lt;&gt;0,SUM($L$2:$L3),IF(AND(L3=0,M3&lt;&gt;0),SUM($L2:$L$2),0))</f>
        <v>-251611799.99999997</v>
      </c>
      <c r="P3" s="22">
        <f>IF(O3&lt;&gt;0,SUM($M$2:$M3),0)</f>
        <v>0</v>
      </c>
      <c r="Q3" s="19" t="str">
        <f t="shared" ref="Q3:Q56" si="5">IF(AND(P3+O3&gt;0,P3&lt;&gt;0),"Payback",IF(P3+O3&lt;0,"Not payback","N/A"))</f>
        <v>Not payback</v>
      </c>
      <c r="R3" s="23">
        <f>L3/(1+$H$4)^I3</f>
        <v>-116486944.44444442</v>
      </c>
      <c r="S3" s="26">
        <f>M3/(1+$H$4)^I3</f>
        <v>0</v>
      </c>
    </row>
    <row r="4" spans="1:19" x14ac:dyDescent="0.25">
      <c r="A4" s="41" t="s">
        <v>4</v>
      </c>
      <c r="B4" s="42">
        <v>3</v>
      </c>
      <c r="C4" s="42">
        <v>7.4</v>
      </c>
      <c r="D4" s="42">
        <v>1000</v>
      </c>
      <c r="E4" s="42">
        <v>300</v>
      </c>
      <c r="F4" s="42" t="s">
        <v>6</v>
      </c>
      <c r="H4" s="60">
        <v>0.08</v>
      </c>
      <c r="I4" s="5">
        <v>2</v>
      </c>
      <c r="J4" s="22">
        <f t="shared" si="0"/>
        <v>-125805899.99999999</v>
      </c>
      <c r="K4" s="22">
        <f t="shared" si="1"/>
        <v>0</v>
      </c>
      <c r="L4" s="23">
        <f t="shared" si="3"/>
        <v>-125805899.99999999</v>
      </c>
      <c r="M4" s="23">
        <f t="shared" si="2"/>
        <v>0</v>
      </c>
      <c r="N4" s="22">
        <f t="shared" si="4"/>
        <v>-125805899.99999999</v>
      </c>
      <c r="O4" s="22">
        <f>IF(L4&lt;&gt;0,SUM($L$2:$L4),IF(AND(L4=0,M4&lt;&gt;0),SUM($L$2:$L3),0))</f>
        <v>-377417699.99999994</v>
      </c>
      <c r="P4" s="22">
        <f>IF(O4&lt;&gt;0,SUM($M$2:$M4),0)</f>
        <v>0</v>
      </c>
      <c r="Q4" s="19" t="str">
        <f t="shared" si="5"/>
        <v>Not payback</v>
      </c>
      <c r="R4" s="23">
        <f>L4/(1+$H$4)^I4</f>
        <v>-107858281.89300409</v>
      </c>
      <c r="S4" s="26">
        <f t="shared" ref="S4:S56" si="6">M4/(1+$H$4)^I4</f>
        <v>0</v>
      </c>
    </row>
    <row r="5" spans="1:19" x14ac:dyDescent="0.25">
      <c r="A5" s="39" t="s">
        <v>23</v>
      </c>
      <c r="B5" s="39">
        <f>B3*B4</f>
        <v>450</v>
      </c>
      <c r="C5" s="39">
        <f>C3*C4</f>
        <v>740</v>
      </c>
      <c r="D5" s="39">
        <f>D3*D4</f>
        <v>1000</v>
      </c>
      <c r="E5" s="39">
        <f>E3*E4</f>
        <v>300</v>
      </c>
      <c r="F5" s="35" t="s">
        <v>6</v>
      </c>
      <c r="H5" s="18"/>
      <c r="I5" s="5">
        <v>3</v>
      </c>
      <c r="J5" s="22">
        <f t="shared" si="0"/>
        <v>-125805899.99999999</v>
      </c>
      <c r="K5" s="22">
        <f t="shared" si="1"/>
        <v>0</v>
      </c>
      <c r="L5" s="23">
        <f t="shared" si="3"/>
        <v>-125805899.99999999</v>
      </c>
      <c r="M5" s="23">
        <f t="shared" si="2"/>
        <v>0</v>
      </c>
      <c r="N5" s="22">
        <f t="shared" si="4"/>
        <v>-125805899.99999999</v>
      </c>
      <c r="O5" s="22">
        <f>IF(L5&lt;&gt;0,SUM($L$2:$L5),IF(AND(L5=0,M5&lt;&gt;0),SUM($L$2:$L4),0))</f>
        <v>-503223599.99999994</v>
      </c>
      <c r="P5" s="22">
        <f>IF(O5&lt;&gt;0,SUM($M$2:$M5),0)</f>
        <v>0</v>
      </c>
      <c r="Q5" s="19" t="str">
        <f t="shared" si="5"/>
        <v>Not payback</v>
      </c>
      <c r="R5" s="23">
        <f t="shared" ref="R5:R56" si="7">L5/(1+$H$4)^I5</f>
        <v>-99868779.530559346</v>
      </c>
      <c r="S5" s="26">
        <f t="shared" si="6"/>
        <v>0</v>
      </c>
    </row>
    <row r="6" spans="1:19" x14ac:dyDescent="0.25">
      <c r="A6" s="41" t="s">
        <v>10</v>
      </c>
      <c r="B6" s="43">
        <f>B2*B5</f>
        <v>545850000</v>
      </c>
      <c r="C6" s="43">
        <f>C2*C5</f>
        <v>1999332000</v>
      </c>
      <c r="D6" s="43">
        <f>D2*D5</f>
        <v>5654000000</v>
      </c>
      <c r="E6" s="43">
        <f>E2*E5</f>
        <v>751080000</v>
      </c>
      <c r="F6" s="42" t="s">
        <v>9</v>
      </c>
      <c r="H6" s="17" t="str">
        <f>""</f>
        <v/>
      </c>
      <c r="I6" s="5">
        <v>4</v>
      </c>
      <c r="J6" s="22">
        <f t="shared" si="0"/>
        <v>0</v>
      </c>
      <c r="K6" s="22">
        <f t="shared" si="1"/>
        <v>-368613300</v>
      </c>
      <c r="L6" s="23">
        <f t="shared" si="3"/>
        <v>-368613300</v>
      </c>
      <c r="M6" s="23">
        <f t="shared" si="2"/>
        <v>565410633.4799999</v>
      </c>
      <c r="N6" s="22">
        <f t="shared" si="4"/>
        <v>196797333.4799999</v>
      </c>
      <c r="O6" s="22">
        <f>IF(L6&lt;&gt;0,SUM($L$2:$L6),IF(AND(L6=0,M6&lt;&gt;0),SUM($L$2:$L5),0))</f>
        <v>-871836900</v>
      </c>
      <c r="P6" s="22">
        <f>IF(O6&lt;&gt;0,SUM($M$2:$M6),0)</f>
        <v>565410633.4799999</v>
      </c>
      <c r="Q6" s="19" t="str">
        <f t="shared" si="5"/>
        <v>Not payback</v>
      </c>
      <c r="R6" s="23">
        <f t="shared" si="7"/>
        <v>-270941779.63781488</v>
      </c>
      <c r="S6" s="26">
        <f t="shared" si="6"/>
        <v>415593694.69635373</v>
      </c>
    </row>
    <row r="7" spans="1:19" x14ac:dyDescent="0.25">
      <c r="A7" s="34" t="s">
        <v>50</v>
      </c>
      <c r="B7" s="44">
        <v>0.4</v>
      </c>
      <c r="C7" s="44">
        <f>B7</f>
        <v>0.4</v>
      </c>
      <c r="D7" s="61">
        <v>0.33</v>
      </c>
      <c r="E7" s="61">
        <f>D7</f>
        <v>0.33</v>
      </c>
      <c r="F7" s="45"/>
      <c r="H7" s="16"/>
      <c r="I7" s="5">
        <v>5</v>
      </c>
      <c r="J7" s="22">
        <f t="shared" si="0"/>
        <v>0</v>
      </c>
      <c r="K7" s="22">
        <f t="shared" si="1"/>
        <v>-368613300</v>
      </c>
      <c r="L7" s="23">
        <f t="shared" si="3"/>
        <v>-368613300</v>
      </c>
      <c r="M7" s="23">
        <f t="shared" si="2"/>
        <v>565410633.4799999</v>
      </c>
      <c r="N7" s="22">
        <f t="shared" si="4"/>
        <v>196797333.4799999</v>
      </c>
      <c r="O7" s="22">
        <f>IF(L7&lt;&gt;0,SUM($L$2:$L7),IF(AND(L7=0,M7&lt;&gt;0),SUM($L$2:$L6),0))</f>
        <v>-1240450200</v>
      </c>
      <c r="P7" s="22">
        <f>IF(O7&lt;&gt;0,SUM($M$2:$M7),0)</f>
        <v>1130821266.9599998</v>
      </c>
      <c r="Q7" s="19" t="str">
        <f t="shared" si="5"/>
        <v>Not payback</v>
      </c>
      <c r="R7" s="23">
        <f t="shared" si="7"/>
        <v>-250872018.18316191</v>
      </c>
      <c r="S7" s="26">
        <f t="shared" si="6"/>
        <v>384808976.5706979</v>
      </c>
    </row>
    <row r="8" spans="1:19" ht="30" x14ac:dyDescent="0.25">
      <c r="A8" s="46" t="s">
        <v>51</v>
      </c>
      <c r="B8" s="43">
        <f>B6*(1-B7)</f>
        <v>327510000</v>
      </c>
      <c r="C8" s="43">
        <f>C6*(1-C7)</f>
        <v>1199599200</v>
      </c>
      <c r="D8" s="43">
        <f>D6*(1-D7)</f>
        <v>3788179999.9999995</v>
      </c>
      <c r="E8" s="43">
        <f>E6*(1-E7)</f>
        <v>503223599.99999994</v>
      </c>
      <c r="F8" s="42" t="s">
        <v>9</v>
      </c>
      <c r="H8" s="6"/>
      <c r="I8" s="5">
        <v>6</v>
      </c>
      <c r="J8" s="22">
        <f t="shared" si="0"/>
        <v>0</v>
      </c>
      <c r="K8" s="22">
        <f t="shared" si="1"/>
        <v>-368613300</v>
      </c>
      <c r="L8" s="23">
        <f t="shared" si="3"/>
        <v>-368613300</v>
      </c>
      <c r="M8" s="23">
        <f t="shared" si="2"/>
        <v>565410633.4799999</v>
      </c>
      <c r="N8" s="22">
        <f t="shared" si="4"/>
        <v>196797333.4799999</v>
      </c>
      <c r="O8" s="22">
        <f>IF(L8&lt;&gt;0,SUM($L$2:$L8),IF(AND(L8=0,M8&lt;&gt;0),SUM($L$2:$L7),0))</f>
        <v>-1609063500</v>
      </c>
      <c r="P8" s="22">
        <f>IF(O8&lt;&gt;0,SUM($M$2:$M8),0)</f>
        <v>1696231900.4399996</v>
      </c>
      <c r="Q8" s="19" t="str">
        <f t="shared" si="5"/>
        <v>Payback</v>
      </c>
      <c r="R8" s="23">
        <f t="shared" si="7"/>
        <v>-232288905.7251499</v>
      </c>
      <c r="S8" s="26">
        <f t="shared" si="6"/>
        <v>356304607.93583131</v>
      </c>
    </row>
    <row r="9" spans="1:19" x14ac:dyDescent="0.25">
      <c r="A9" s="39" t="s">
        <v>11</v>
      </c>
      <c r="B9" s="39">
        <v>6</v>
      </c>
      <c r="C9" s="39">
        <v>9</v>
      </c>
      <c r="D9" s="39">
        <v>14</v>
      </c>
      <c r="E9" s="39">
        <v>4</v>
      </c>
      <c r="F9" s="35" t="s">
        <v>12</v>
      </c>
      <c r="H9" s="6"/>
      <c r="I9" s="5">
        <v>7</v>
      </c>
      <c r="J9" s="22">
        <f t="shared" si="0"/>
        <v>0</v>
      </c>
      <c r="K9" s="22">
        <f t="shared" si="1"/>
        <v>-368613300</v>
      </c>
      <c r="L9" s="23">
        <f t="shared" si="3"/>
        <v>-368613300</v>
      </c>
      <c r="M9" s="23">
        <f t="shared" si="2"/>
        <v>565410633.4799999</v>
      </c>
      <c r="N9" s="22">
        <f t="shared" si="4"/>
        <v>196797333.4799999</v>
      </c>
      <c r="O9" s="22">
        <f>IF(L9&lt;&gt;0,SUM($L$2:$L9),IF(AND(L9=0,M9&lt;&gt;0),SUM($L$2:$L8),0))</f>
        <v>-1977676800</v>
      </c>
      <c r="P9" s="22">
        <f>IF(O9&lt;&gt;0,SUM($M$2:$M9),0)</f>
        <v>2261642533.9199996</v>
      </c>
      <c r="Q9" s="19" t="str">
        <f t="shared" si="5"/>
        <v>Payback</v>
      </c>
      <c r="R9" s="23">
        <f t="shared" si="7"/>
        <v>-215082320.11587951</v>
      </c>
      <c r="S9" s="26">
        <f t="shared" si="6"/>
        <v>329911674.01465863</v>
      </c>
    </row>
    <row r="10" spans="1:19" x14ac:dyDescent="0.25">
      <c r="A10" s="47" t="s">
        <v>13</v>
      </c>
      <c r="B10" s="48">
        <f>B8/B9</f>
        <v>54585000</v>
      </c>
      <c r="C10" s="48">
        <f>C8/C9</f>
        <v>133288800</v>
      </c>
      <c r="D10" s="48">
        <f>D8/D9</f>
        <v>270584285.71428567</v>
      </c>
      <c r="E10" s="48">
        <f>E8/E9</f>
        <v>125805899.99999999</v>
      </c>
      <c r="F10" s="47" t="s">
        <v>9</v>
      </c>
      <c r="H10" s="6"/>
      <c r="I10" s="5">
        <v>8</v>
      </c>
      <c r="J10" s="22">
        <f t="shared" si="0"/>
        <v>0</v>
      </c>
      <c r="K10" s="22">
        <f t="shared" si="1"/>
        <v>-368613300</v>
      </c>
      <c r="L10" s="23">
        <f t="shared" si="3"/>
        <v>-368613300</v>
      </c>
      <c r="M10" s="23">
        <f t="shared" si="2"/>
        <v>565410633.4799999</v>
      </c>
      <c r="N10" s="22">
        <f t="shared" si="4"/>
        <v>196797333.4799999</v>
      </c>
      <c r="O10" s="22">
        <f>IF(L10&lt;&gt;0,SUM($L$2:$L10),IF(AND(L10=0,M10&lt;&gt;0),SUM($L$2:$L9),0))</f>
        <v>-2346290100</v>
      </c>
      <c r="P10" s="22">
        <f>IF(O10&lt;&gt;0,SUM($M$2:$M10),0)</f>
        <v>2827053167.3999996</v>
      </c>
      <c r="Q10" s="19" t="str">
        <f t="shared" si="5"/>
        <v>Payback</v>
      </c>
      <c r="R10" s="23">
        <f t="shared" si="7"/>
        <v>-199150296.40359214</v>
      </c>
      <c r="S10" s="26">
        <f t="shared" si="6"/>
        <v>305473772.23579502</v>
      </c>
    </row>
    <row r="11" spans="1:19" x14ac:dyDescent="0.25">
      <c r="A11" s="39" t="s">
        <v>49</v>
      </c>
      <c r="B11" s="39">
        <v>42000</v>
      </c>
      <c r="C11" s="39">
        <v>85499.999999999985</v>
      </c>
      <c r="D11" s="39">
        <v>3281600</v>
      </c>
      <c r="E11" s="39">
        <v>1228711</v>
      </c>
      <c r="F11" s="35" t="s">
        <v>15</v>
      </c>
      <c r="H11" s="6"/>
      <c r="I11" s="5">
        <v>9</v>
      </c>
      <c r="J11" s="22">
        <f t="shared" si="0"/>
        <v>0</v>
      </c>
      <c r="K11" s="22">
        <f t="shared" si="1"/>
        <v>-368613300</v>
      </c>
      <c r="L11" s="23">
        <f t="shared" si="3"/>
        <v>-368613300</v>
      </c>
      <c r="M11" s="23">
        <f t="shared" si="2"/>
        <v>565410633.4799999</v>
      </c>
      <c r="N11" s="22">
        <f t="shared" si="4"/>
        <v>196797333.4799999</v>
      </c>
      <c r="O11" s="22">
        <f>IF(L11&lt;&gt;0,SUM($L$2:$L11),IF(AND(L11=0,M11&lt;&gt;0),SUM($L$2:$L10),0))</f>
        <v>-2714903400</v>
      </c>
      <c r="P11" s="22">
        <f>IF(O11&lt;&gt;0,SUM($M$2:$M11),0)</f>
        <v>3392463800.8799996</v>
      </c>
      <c r="Q11" s="19" t="str">
        <f t="shared" si="5"/>
        <v>Payback</v>
      </c>
      <c r="R11" s="23">
        <f t="shared" si="7"/>
        <v>-184398422.59591863</v>
      </c>
      <c r="S11" s="26">
        <f t="shared" si="6"/>
        <v>282846085.40351391</v>
      </c>
    </row>
    <row r="12" spans="1:19" x14ac:dyDescent="0.25">
      <c r="A12" s="49" t="s">
        <v>16</v>
      </c>
      <c r="B12" s="50">
        <f>B11*B5</f>
        <v>18900000</v>
      </c>
      <c r="C12" s="50">
        <f>C11*C5</f>
        <v>63269999.999999993</v>
      </c>
      <c r="D12" s="50">
        <f>D11*D5</f>
        <v>3281600000</v>
      </c>
      <c r="E12" s="50">
        <f>E11*E5</f>
        <v>368613300</v>
      </c>
      <c r="F12" s="49" t="s">
        <v>9</v>
      </c>
      <c r="H12" s="6"/>
      <c r="I12" s="5">
        <v>10</v>
      </c>
      <c r="J12" s="22">
        <f t="shared" si="0"/>
        <v>0</v>
      </c>
      <c r="K12" s="22">
        <f t="shared" si="1"/>
        <v>-368613300</v>
      </c>
      <c r="L12" s="23">
        <f t="shared" si="3"/>
        <v>-368613300</v>
      </c>
      <c r="M12" s="23">
        <f t="shared" si="2"/>
        <v>565410633.4799999</v>
      </c>
      <c r="N12" s="22">
        <f t="shared" si="4"/>
        <v>196797333.4799999</v>
      </c>
      <c r="O12" s="22">
        <f>IF(L12&lt;&gt;0,SUM($L$2:$L12),IF(AND(L12=0,M12&lt;&gt;0),SUM($L$2:$L11),0))</f>
        <v>-3083516700</v>
      </c>
      <c r="P12" s="22">
        <f>IF(O12&lt;&gt;0,SUM($M$2:$M12),0)</f>
        <v>3957874434.3599997</v>
      </c>
      <c r="Q12" s="19" t="str">
        <f t="shared" si="5"/>
        <v>Payback</v>
      </c>
      <c r="R12" s="23">
        <f t="shared" si="7"/>
        <v>-170739280.18140614</v>
      </c>
      <c r="S12" s="26">
        <f t="shared" si="6"/>
        <v>261894523.52177212</v>
      </c>
    </row>
    <row r="13" spans="1:19" x14ac:dyDescent="0.25">
      <c r="A13" s="41" t="s">
        <v>17</v>
      </c>
      <c r="B13" s="42">
        <v>0.25</v>
      </c>
      <c r="C13" s="35">
        <v>0.51</v>
      </c>
      <c r="D13" s="42">
        <v>0.92</v>
      </c>
      <c r="E13" s="42">
        <v>0.94</v>
      </c>
      <c r="F13" s="42"/>
      <c r="H13" s="6"/>
      <c r="I13" s="5">
        <v>11</v>
      </c>
      <c r="J13" s="22">
        <f t="shared" si="0"/>
        <v>0</v>
      </c>
      <c r="K13" s="22">
        <f t="shared" si="1"/>
        <v>-368613300</v>
      </c>
      <c r="L13" s="23">
        <f t="shared" si="3"/>
        <v>-368613300</v>
      </c>
      <c r="M13" s="23">
        <f t="shared" si="2"/>
        <v>565410633.4799999</v>
      </c>
      <c r="N13" s="22">
        <f t="shared" si="4"/>
        <v>196797333.4799999</v>
      </c>
      <c r="O13" s="22">
        <f>IF(L13&lt;&gt;0,SUM($L$2:$L13),IF(AND(L13=0,M13&lt;&gt;0),SUM($L$2:$L12),0))</f>
        <v>-3452130000</v>
      </c>
      <c r="P13" s="22">
        <f>IF(O13&lt;&gt;0,SUM($M$2:$M13),0)</f>
        <v>4523285067.8399992</v>
      </c>
      <c r="Q13" s="19" t="str">
        <f t="shared" si="5"/>
        <v>Payback</v>
      </c>
      <c r="R13" s="23">
        <f t="shared" si="7"/>
        <v>-158091926.09389457</v>
      </c>
      <c r="S13" s="26">
        <f t="shared" si="6"/>
        <v>242494929.18682602</v>
      </c>
    </row>
    <row r="14" spans="1:19" x14ac:dyDescent="0.25">
      <c r="A14" s="41" t="s">
        <v>18</v>
      </c>
      <c r="B14" s="41">
        <f>365*24*B13</f>
        <v>2190</v>
      </c>
      <c r="C14" s="41">
        <f>365*24*C13</f>
        <v>4467.6000000000004</v>
      </c>
      <c r="D14" s="41">
        <f>365*24*D13</f>
        <v>8059.2000000000007</v>
      </c>
      <c r="E14" s="41">
        <f>365*24*E13</f>
        <v>8234.4</v>
      </c>
      <c r="F14" s="42" t="s">
        <v>20</v>
      </c>
      <c r="H14" s="6"/>
      <c r="I14" s="5">
        <v>12</v>
      </c>
      <c r="J14" s="22">
        <f t="shared" si="0"/>
        <v>0</v>
      </c>
      <c r="K14" s="22">
        <f t="shared" si="1"/>
        <v>-368613300</v>
      </c>
      <c r="L14" s="23">
        <f t="shared" si="3"/>
        <v>-368613300</v>
      </c>
      <c r="M14" s="23">
        <f t="shared" si="2"/>
        <v>565410633.4799999</v>
      </c>
      <c r="N14" s="22">
        <f t="shared" si="4"/>
        <v>196797333.4799999</v>
      </c>
      <c r="O14" s="22">
        <f>IF(L14&lt;&gt;0,SUM($L$2:$L14),IF(AND(L14=0,M14&lt;&gt;0),SUM($L$2:$L13),0))</f>
        <v>-3820743300</v>
      </c>
      <c r="P14" s="22">
        <f>IF(O14&lt;&gt;0,SUM($M$2:$M14),0)</f>
        <v>5088695701.3199987</v>
      </c>
      <c r="Q14" s="19" t="str">
        <f t="shared" si="5"/>
        <v>Payback</v>
      </c>
      <c r="R14" s="23">
        <f t="shared" si="7"/>
        <v>-146381413.04990238</v>
      </c>
      <c r="S14" s="26">
        <f t="shared" si="6"/>
        <v>224532341.8396537</v>
      </c>
    </row>
    <row r="15" spans="1:19" x14ac:dyDescent="0.25">
      <c r="A15" s="39" t="s">
        <v>19</v>
      </c>
      <c r="B15" s="51">
        <v>20</v>
      </c>
      <c r="C15" s="51">
        <v>20</v>
      </c>
      <c r="D15" s="51">
        <v>40</v>
      </c>
      <c r="E15" s="51">
        <v>30</v>
      </c>
      <c r="F15" s="42" t="s">
        <v>12</v>
      </c>
      <c r="H15" s="6"/>
      <c r="I15" s="5">
        <v>13</v>
      </c>
      <c r="J15" s="22">
        <f t="shared" si="0"/>
        <v>0</v>
      </c>
      <c r="K15" s="22">
        <f t="shared" si="1"/>
        <v>-368613300</v>
      </c>
      <c r="L15" s="23">
        <f t="shared" si="3"/>
        <v>-368613300</v>
      </c>
      <c r="M15" s="23">
        <f t="shared" si="2"/>
        <v>565410633.4799999</v>
      </c>
      <c r="N15" s="22">
        <f t="shared" si="4"/>
        <v>196797333.4799999</v>
      </c>
      <c r="O15" s="22">
        <f>IF(L15&lt;&gt;0,SUM($L$2:$L15),IF(AND(L15=0,M15&lt;&gt;0),SUM($L$2:$L14),0))</f>
        <v>-4189356600</v>
      </c>
      <c r="P15" s="22">
        <f>IF(O15&lt;&gt;0,SUM($M$2:$M15),0)</f>
        <v>5654106334.7999983</v>
      </c>
      <c r="Q15" s="19" t="str">
        <f t="shared" si="5"/>
        <v>Payback</v>
      </c>
      <c r="R15" s="23">
        <f t="shared" si="7"/>
        <v>-135538345.41657627</v>
      </c>
      <c r="S15" s="26">
        <f t="shared" si="6"/>
        <v>207900316.51819789</v>
      </c>
    </row>
    <row r="16" spans="1:19" x14ac:dyDescent="0.25">
      <c r="A16" s="34" t="s">
        <v>22</v>
      </c>
      <c r="B16" s="36">
        <v>250</v>
      </c>
      <c r="C16" s="36">
        <f>B16</f>
        <v>250</v>
      </c>
      <c r="D16" s="36">
        <f>B16</f>
        <v>250</v>
      </c>
      <c r="E16" s="36">
        <f>B16</f>
        <v>250</v>
      </c>
      <c r="F16" s="8" t="s">
        <v>21</v>
      </c>
      <c r="H16" s="6"/>
      <c r="I16" s="5">
        <v>14</v>
      </c>
      <c r="J16" s="22">
        <f t="shared" si="0"/>
        <v>0</v>
      </c>
      <c r="K16" s="22">
        <f t="shared" si="1"/>
        <v>-368613300</v>
      </c>
      <c r="L16" s="23">
        <f t="shared" si="3"/>
        <v>-368613300</v>
      </c>
      <c r="M16" s="23">
        <f t="shared" si="2"/>
        <v>565410633.4799999</v>
      </c>
      <c r="N16" s="22">
        <f t="shared" si="4"/>
        <v>196797333.4799999</v>
      </c>
      <c r="O16" s="22">
        <f>IF(L16&lt;&gt;0,SUM($L$2:$L16),IF(AND(L16=0,M16&lt;&gt;0),SUM($L$2:$L15),0))</f>
        <v>-4557969900</v>
      </c>
      <c r="P16" s="22">
        <f>IF(O16&lt;&gt;0,SUM($M$2:$M16),0)</f>
        <v>6219516968.2799978</v>
      </c>
      <c r="Q16" s="19" t="str">
        <f t="shared" si="5"/>
        <v>Payback</v>
      </c>
      <c r="R16" s="23">
        <f t="shared" si="7"/>
        <v>-125498467.97831134</v>
      </c>
      <c r="S16" s="26">
        <f t="shared" si="6"/>
        <v>192500293.0724054</v>
      </c>
    </row>
    <row r="17" spans="1:19" x14ac:dyDescent="0.25">
      <c r="A17" s="34" t="s">
        <v>77</v>
      </c>
      <c r="B17" s="36">
        <v>1</v>
      </c>
      <c r="C17" s="36">
        <f>B17</f>
        <v>1</v>
      </c>
      <c r="D17" s="52" t="s">
        <v>78</v>
      </c>
      <c r="E17" s="52" t="s">
        <v>78</v>
      </c>
      <c r="F17" s="8"/>
      <c r="H17" s="6"/>
      <c r="I17" s="5">
        <v>15</v>
      </c>
      <c r="J17" s="22">
        <f t="shared" si="0"/>
        <v>0</v>
      </c>
      <c r="K17" s="22">
        <f t="shared" si="1"/>
        <v>-368613300</v>
      </c>
      <c r="L17" s="23">
        <f t="shared" si="3"/>
        <v>-368613300</v>
      </c>
      <c r="M17" s="23">
        <f t="shared" si="2"/>
        <v>565410633.4799999</v>
      </c>
      <c r="N17" s="22">
        <f t="shared" si="4"/>
        <v>196797333.4799999</v>
      </c>
      <c r="O17" s="22">
        <f>IF(L17&lt;&gt;0,SUM($L$2:$L17),IF(AND(L17=0,M17&lt;&gt;0),SUM($L$2:$L16),0))</f>
        <v>-4926583200</v>
      </c>
      <c r="P17" s="22">
        <f>IF(O17&lt;&gt;0,SUM($M$2:$M17),0)</f>
        <v>6784927601.7599974</v>
      </c>
      <c r="Q17" s="19" t="str">
        <f t="shared" si="5"/>
        <v>Payback</v>
      </c>
      <c r="R17" s="23">
        <f t="shared" si="7"/>
        <v>-116202285.16510308</v>
      </c>
      <c r="S17" s="26">
        <f t="shared" si="6"/>
        <v>178241012.10407907</v>
      </c>
    </row>
    <row r="18" spans="1:19" ht="30" x14ac:dyDescent="0.25">
      <c r="A18" s="53" t="s">
        <v>79</v>
      </c>
      <c r="B18" s="8">
        <v>56</v>
      </c>
      <c r="C18" s="8">
        <v>175</v>
      </c>
      <c r="D18" s="62">
        <v>0</v>
      </c>
      <c r="E18" s="62">
        <f>D18</f>
        <v>0</v>
      </c>
      <c r="F18" s="8" t="s">
        <v>21</v>
      </c>
      <c r="H18" s="6"/>
      <c r="I18" s="5">
        <v>16</v>
      </c>
      <c r="J18" s="22">
        <f t="shared" si="0"/>
        <v>0</v>
      </c>
      <c r="K18" s="22">
        <f t="shared" si="1"/>
        <v>-368613300</v>
      </c>
      <c r="L18" s="23">
        <f t="shared" si="3"/>
        <v>-368613300</v>
      </c>
      <c r="M18" s="23">
        <f t="shared" si="2"/>
        <v>565410633.4799999</v>
      </c>
      <c r="N18" s="22">
        <f t="shared" si="4"/>
        <v>196797333.4799999</v>
      </c>
      <c r="O18" s="22">
        <f>IF(L18&lt;&gt;0,SUM($L$2:$L18),IF(AND(L18=0,M18&lt;&gt;0),SUM($L$2:$L17),0))</f>
        <v>-5295196500</v>
      </c>
      <c r="P18" s="22">
        <f>IF(O18&lt;&gt;0,SUM($M$2:$M18),0)</f>
        <v>7350338235.2399969</v>
      </c>
      <c r="Q18" s="19" t="str">
        <f t="shared" si="5"/>
        <v>Payback</v>
      </c>
      <c r="R18" s="23">
        <f t="shared" si="7"/>
        <v>-107594708.48620656</v>
      </c>
      <c r="S18" s="26">
        <f t="shared" si="6"/>
        <v>165037974.17044359</v>
      </c>
    </row>
    <row r="19" spans="1:19" x14ac:dyDescent="0.25">
      <c r="A19" s="54" t="s">
        <v>52</v>
      </c>
      <c r="B19" s="55">
        <f>'Price regression model'!B8+B18</f>
        <v>245.78</v>
      </c>
      <c r="C19" s="55">
        <f>'Price regression model'!B8+C18</f>
        <v>364.78</v>
      </c>
      <c r="D19" s="55">
        <f>'Price regression model'!B10+D18</f>
        <v>252.01</v>
      </c>
      <c r="E19" s="55">
        <f>'Price regression model'!B10+E18</f>
        <v>252.01</v>
      </c>
      <c r="F19" s="55" t="s">
        <v>21</v>
      </c>
      <c r="H19" s="6"/>
      <c r="I19" s="5">
        <v>17</v>
      </c>
      <c r="J19" s="22">
        <f t="shared" si="0"/>
        <v>0</v>
      </c>
      <c r="K19" s="22">
        <f t="shared" si="1"/>
        <v>-368613300</v>
      </c>
      <c r="L19" s="23">
        <f t="shared" si="3"/>
        <v>-368613300</v>
      </c>
      <c r="M19" s="23">
        <f t="shared" si="2"/>
        <v>565410633.4799999</v>
      </c>
      <c r="N19" s="22">
        <f t="shared" si="4"/>
        <v>196797333.4799999</v>
      </c>
      <c r="O19" s="22">
        <f>IF(L19&lt;&gt;0,SUM($L$2:$L19),IF(AND(L19=0,M19&lt;&gt;0),SUM($L$2:$L18),0))</f>
        <v>-5663809800</v>
      </c>
      <c r="P19" s="22">
        <f>IF(O19&lt;&gt;0,SUM($M$2:$M19),0)</f>
        <v>7915748868.7199965</v>
      </c>
      <c r="Q19" s="19" t="str">
        <f t="shared" si="5"/>
        <v>Payback</v>
      </c>
      <c r="R19" s="23">
        <f t="shared" si="7"/>
        <v>-99624730.079820886</v>
      </c>
      <c r="S19" s="26">
        <f t="shared" si="6"/>
        <v>152812939.04670703</v>
      </c>
    </row>
    <row r="20" spans="1:19" x14ac:dyDescent="0.25">
      <c r="A20" s="39" t="s">
        <v>24</v>
      </c>
      <c r="B20" s="42">
        <f>B5*B14</f>
        <v>985500</v>
      </c>
      <c r="C20" s="42">
        <f>C5*C14</f>
        <v>3306024.0000000005</v>
      </c>
      <c r="D20" s="42">
        <f>D5*D14</f>
        <v>8059200.0000000009</v>
      </c>
      <c r="E20" s="42">
        <f>E5*E14</f>
        <v>2470320</v>
      </c>
      <c r="F20" s="42" t="s">
        <v>25</v>
      </c>
      <c r="H20" s="6"/>
      <c r="I20" s="5">
        <v>18</v>
      </c>
      <c r="J20" s="22">
        <f t="shared" si="0"/>
        <v>0</v>
      </c>
      <c r="K20" s="22">
        <f t="shared" si="1"/>
        <v>-368613300</v>
      </c>
      <c r="L20" s="23">
        <f t="shared" si="3"/>
        <v>-368613300</v>
      </c>
      <c r="M20" s="23">
        <f t="shared" si="2"/>
        <v>565410633.4799999</v>
      </c>
      <c r="N20" s="22">
        <f t="shared" si="4"/>
        <v>196797333.4799999</v>
      </c>
      <c r="O20" s="22">
        <f>IF(L20&lt;&gt;0,SUM($L$2:$L20),IF(AND(L20=0,M20&lt;&gt;0),SUM($L$2:$L19),0))</f>
        <v>-6032423100</v>
      </c>
      <c r="P20" s="22">
        <f>IF(O20&lt;&gt;0,SUM($M$2:$M20),0)</f>
        <v>8481159502.199996</v>
      </c>
      <c r="Q20" s="19" t="str">
        <f t="shared" si="5"/>
        <v>Payback</v>
      </c>
      <c r="R20" s="23">
        <f t="shared" si="7"/>
        <v>-92245120.444278598</v>
      </c>
      <c r="S20" s="26">
        <f t="shared" si="6"/>
        <v>141493462.08028427</v>
      </c>
    </row>
    <row r="21" spans="1:19" x14ac:dyDescent="0.25">
      <c r="A21" s="39" t="s">
        <v>75</v>
      </c>
      <c r="B21" s="56">
        <v>0.45</v>
      </c>
      <c r="C21" s="56">
        <f>B21</f>
        <v>0.45</v>
      </c>
      <c r="D21" s="56">
        <f>B21</f>
        <v>0.45</v>
      </c>
      <c r="E21" s="56">
        <f>B21</f>
        <v>0.45</v>
      </c>
      <c r="F21" s="57"/>
      <c r="H21" s="6"/>
      <c r="I21" s="5">
        <v>19</v>
      </c>
      <c r="J21" s="22">
        <f t="shared" si="0"/>
        <v>0</v>
      </c>
      <c r="K21" s="22">
        <f t="shared" si="1"/>
        <v>-368613300</v>
      </c>
      <c r="L21" s="23">
        <f t="shared" si="3"/>
        <v>-368613300</v>
      </c>
      <c r="M21" s="23">
        <f t="shared" si="2"/>
        <v>565410633.4799999</v>
      </c>
      <c r="N21" s="22">
        <f t="shared" si="4"/>
        <v>196797333.4799999</v>
      </c>
      <c r="O21" s="22">
        <f>IF(L21&lt;&gt;0,SUM($L$2:$L21),IF(AND(L21=0,M21&lt;&gt;0),SUM($L$2:$L20),0))</f>
        <v>-6401036400</v>
      </c>
      <c r="P21" s="22">
        <f>IF(O21&lt;&gt;0,SUM($M$2:$M21),0)</f>
        <v>9046570135.6799965</v>
      </c>
      <c r="Q21" s="19" t="str">
        <f t="shared" si="5"/>
        <v>Payback</v>
      </c>
      <c r="R21" s="23">
        <f t="shared" si="7"/>
        <v>-85412148.559517205</v>
      </c>
      <c r="S21" s="26">
        <f t="shared" si="6"/>
        <v>131012464.88915208</v>
      </c>
    </row>
    <row r="22" spans="1:19" x14ac:dyDescent="0.25">
      <c r="A22" s="34" t="s">
        <v>76</v>
      </c>
      <c r="B22" s="44">
        <v>0.4</v>
      </c>
      <c r="C22" s="44">
        <f>B22</f>
        <v>0.4</v>
      </c>
      <c r="D22" s="61">
        <v>0.5</v>
      </c>
      <c r="E22" s="61">
        <f>D22</f>
        <v>0.5</v>
      </c>
      <c r="F22" s="45"/>
      <c r="H22" s="6"/>
      <c r="I22" s="5">
        <v>20</v>
      </c>
      <c r="J22" s="22">
        <f t="shared" si="0"/>
        <v>0</v>
      </c>
      <c r="K22" s="22">
        <f t="shared" si="1"/>
        <v>-368613300</v>
      </c>
      <c r="L22" s="23">
        <f t="shared" si="3"/>
        <v>-368613300</v>
      </c>
      <c r="M22" s="23">
        <f t="shared" si="2"/>
        <v>565410633.4799999</v>
      </c>
      <c r="N22" s="22">
        <f t="shared" si="4"/>
        <v>196797333.4799999</v>
      </c>
      <c r="O22" s="22">
        <f>IF(L22&lt;&gt;0,SUM($L$2:$L22),IF(AND(L22=0,M22&lt;&gt;0),SUM($L$2:$L21),0))</f>
        <v>-6769649700</v>
      </c>
      <c r="P22" s="22">
        <f>IF(O22&lt;&gt;0,SUM($M$2:$M22),0)</f>
        <v>9611980769.159996</v>
      </c>
      <c r="Q22" s="19" t="str">
        <f t="shared" si="5"/>
        <v>Payback</v>
      </c>
      <c r="R22" s="23">
        <f t="shared" si="7"/>
        <v>-79085322.740293711</v>
      </c>
      <c r="S22" s="26">
        <f t="shared" si="6"/>
        <v>121307837.86032601</v>
      </c>
    </row>
    <row r="23" spans="1:19" x14ac:dyDescent="0.25">
      <c r="A23" s="39" t="s">
        <v>53</v>
      </c>
      <c r="B23" s="58">
        <f>B21*(1-B22)</f>
        <v>0.27</v>
      </c>
      <c r="C23" s="58">
        <f>C21*(1-C22)</f>
        <v>0.27</v>
      </c>
      <c r="D23" s="58">
        <f>D21*(1-D22)</f>
        <v>0.22500000000000001</v>
      </c>
      <c r="E23" s="58">
        <f>E21*(1-E22)</f>
        <v>0.22500000000000001</v>
      </c>
      <c r="F23" s="42"/>
      <c r="H23" s="6"/>
      <c r="I23" s="5">
        <v>21</v>
      </c>
      <c r="J23" s="22">
        <f t="shared" si="0"/>
        <v>0</v>
      </c>
      <c r="K23" s="22">
        <f t="shared" si="1"/>
        <v>-368613300</v>
      </c>
      <c r="L23" s="23">
        <f t="shared" si="3"/>
        <v>-368613300</v>
      </c>
      <c r="M23" s="23">
        <f t="shared" si="2"/>
        <v>565410633.4799999</v>
      </c>
      <c r="N23" s="22">
        <f t="shared" si="4"/>
        <v>196797333.4799999</v>
      </c>
      <c r="O23" s="22">
        <f>IF(L23&lt;&gt;0,SUM($L$2:$L23),IF(AND(L23=0,M23&lt;&gt;0),SUM($L$2:$L22),0))</f>
        <v>-7138263000</v>
      </c>
      <c r="P23" s="22">
        <f>IF(O23&lt;&gt;0,SUM($M$2:$M23),0)</f>
        <v>10177391402.639996</v>
      </c>
      <c r="Q23" s="19" t="str">
        <f t="shared" si="5"/>
        <v>Payback</v>
      </c>
      <c r="R23" s="23">
        <f t="shared" si="7"/>
        <v>-73227150.68545714</v>
      </c>
      <c r="S23" s="26">
        <f t="shared" si="6"/>
        <v>112322072.09289445</v>
      </c>
    </row>
    <row r="24" spans="1:19" x14ac:dyDescent="0.25">
      <c r="A24" s="68" t="s">
        <v>82</v>
      </c>
      <c r="B24">
        <f>IF(B19*B20-B12&gt;0, (B19*B20-B12)*B23,0)</f>
        <v>60295371.300000004</v>
      </c>
      <c r="C24">
        <f t="shared" ref="C24:E24" si="8">IF(C19*C20-C12&gt;0, (C19*C20-C12)*C23,0)</f>
        <v>308529387.37440002</v>
      </c>
      <c r="D24">
        <f t="shared" si="8"/>
        <v>0</v>
      </c>
      <c r="E24">
        <f t="shared" si="8"/>
        <v>57134709.719999984</v>
      </c>
      <c r="H24" s="6"/>
      <c r="I24" s="5">
        <v>22</v>
      </c>
      <c r="J24" s="22">
        <f t="shared" si="0"/>
        <v>0</v>
      </c>
      <c r="K24" s="22">
        <f t="shared" si="1"/>
        <v>-368613300</v>
      </c>
      <c r="L24" s="23">
        <f t="shared" si="3"/>
        <v>-368613300</v>
      </c>
      <c r="M24" s="23">
        <f t="shared" si="2"/>
        <v>565410633.4799999</v>
      </c>
      <c r="N24" s="22">
        <f t="shared" si="4"/>
        <v>196797333.4799999</v>
      </c>
      <c r="O24" s="22">
        <f>IF(L24&lt;&gt;0,SUM($L$2:$L24),IF(AND(L24=0,M24&lt;&gt;0),SUM($L$2:$L23),0))</f>
        <v>-7506876300</v>
      </c>
      <c r="P24" s="22">
        <f>IF(O24&lt;&gt;0,SUM($M$2:$M24),0)</f>
        <v>10742802036.119995</v>
      </c>
      <c r="Q24" s="19" t="str">
        <f t="shared" si="5"/>
        <v>Payback</v>
      </c>
      <c r="R24" s="23">
        <f t="shared" si="7"/>
        <v>-67802917.301349193</v>
      </c>
      <c r="S24" s="26">
        <f t="shared" si="6"/>
        <v>104001918.60453188</v>
      </c>
    </row>
    <row r="25" spans="1:19" x14ac:dyDescent="0.25">
      <c r="A25" s="47" t="s">
        <v>54</v>
      </c>
      <c r="B25" s="48">
        <f>B19*B20-B24</f>
        <v>181920818.69999999</v>
      </c>
      <c r="C25" s="48">
        <f t="shared" ref="C25:E25" si="9">C19*C20-C24</f>
        <v>897442047.34560001</v>
      </c>
      <c r="D25" s="48">
        <f t="shared" si="9"/>
        <v>2030998992.0000002</v>
      </c>
      <c r="E25" s="48">
        <f t="shared" si="9"/>
        <v>565410633.4799999</v>
      </c>
      <c r="F25" s="55" t="s">
        <v>9</v>
      </c>
      <c r="H25" s="6"/>
      <c r="I25" s="5">
        <v>23</v>
      </c>
      <c r="J25" s="22">
        <f t="shared" si="0"/>
        <v>0</v>
      </c>
      <c r="K25" s="22">
        <f t="shared" si="1"/>
        <v>-368613300</v>
      </c>
      <c r="L25" s="23">
        <f t="shared" si="3"/>
        <v>-368613300</v>
      </c>
      <c r="M25" s="23">
        <f t="shared" si="2"/>
        <v>565410633.4799999</v>
      </c>
      <c r="N25" s="22">
        <f t="shared" si="4"/>
        <v>196797333.4799999</v>
      </c>
      <c r="O25" s="22">
        <f>IF(L25&lt;&gt;0,SUM($L$2:$L25),IF(AND(L25=0,M25&lt;&gt;0),SUM($L$2:$L24),0))</f>
        <v>-7875489600</v>
      </c>
      <c r="P25" s="22">
        <f>IF(O25&lt;&gt;0,SUM($M$2:$M25),0)</f>
        <v>11308212669.599995</v>
      </c>
      <c r="Q25" s="19" t="str">
        <f t="shared" si="5"/>
        <v>Payback</v>
      </c>
      <c r="R25" s="23">
        <f t="shared" si="7"/>
        <v>-62780478.982730731</v>
      </c>
      <c r="S25" s="26">
        <f t="shared" si="6"/>
        <v>96298072.781973973</v>
      </c>
    </row>
    <row r="26" spans="1:19" x14ac:dyDescent="0.25">
      <c r="A26" s="42" t="s">
        <v>43</v>
      </c>
      <c r="B26" s="58">
        <v>4.7500000000000001E-2</v>
      </c>
      <c r="C26" s="58">
        <v>0.05</v>
      </c>
      <c r="D26" s="58">
        <v>0.03</v>
      </c>
      <c r="E26" s="58">
        <v>0.03</v>
      </c>
      <c r="F26" s="42"/>
      <c r="H26" s="6"/>
      <c r="I26" s="5">
        <v>24</v>
      </c>
      <c r="J26" s="22">
        <f t="shared" si="0"/>
        <v>0</v>
      </c>
      <c r="K26" s="22">
        <f t="shared" si="1"/>
        <v>-368613300</v>
      </c>
      <c r="L26" s="23">
        <f t="shared" si="3"/>
        <v>-368613300</v>
      </c>
      <c r="M26" s="23">
        <f t="shared" si="2"/>
        <v>565410633.4799999</v>
      </c>
      <c r="N26" s="22">
        <f t="shared" si="4"/>
        <v>196797333.4799999</v>
      </c>
      <c r="O26" s="22">
        <f>IF(L26&lt;&gt;0,SUM($L$2:$L26),IF(AND(L26=0,M26&lt;&gt;0),SUM($L$2:$L25),0))</f>
        <v>-8244102900</v>
      </c>
      <c r="P26" s="22">
        <f>IF(O26&lt;&gt;0,SUM($M$2:$M26),0)</f>
        <v>11873623303.079994</v>
      </c>
      <c r="Q26" s="19" t="str">
        <f t="shared" si="5"/>
        <v>Payback</v>
      </c>
      <c r="R26" s="23">
        <f t="shared" si="7"/>
        <v>-58130073.132158086</v>
      </c>
      <c r="S26" s="26">
        <f t="shared" si="6"/>
        <v>89164882.205531448</v>
      </c>
    </row>
    <row r="27" spans="1:19" ht="27.75" customHeight="1" x14ac:dyDescent="0.25">
      <c r="A27" s="49" t="s">
        <v>44</v>
      </c>
      <c r="B27" s="50">
        <f>B6*B26</f>
        <v>25927875</v>
      </c>
      <c r="C27" s="50">
        <f>C6*C26</f>
        <v>99966600</v>
      </c>
      <c r="D27" s="50">
        <f>D6*D26</f>
        <v>169620000</v>
      </c>
      <c r="E27" s="50">
        <f>E6*E26</f>
        <v>22532400</v>
      </c>
      <c r="F27" s="59" t="s">
        <v>9</v>
      </c>
      <c r="H27" s="6"/>
      <c r="I27" s="5">
        <v>25</v>
      </c>
      <c r="J27" s="22">
        <f t="shared" si="0"/>
        <v>0</v>
      </c>
      <c r="K27" s="22">
        <f t="shared" si="1"/>
        <v>-368613300</v>
      </c>
      <c r="L27" s="23">
        <f t="shared" si="3"/>
        <v>-368613300</v>
      </c>
      <c r="M27" s="23">
        <f t="shared" si="2"/>
        <v>565410633.4799999</v>
      </c>
      <c r="N27" s="22">
        <f t="shared" si="4"/>
        <v>196797333.4799999</v>
      </c>
      <c r="O27" s="22">
        <f>IF(L27&lt;&gt;0,SUM($L$2:$L27),IF(AND(L27=0,M27&lt;&gt;0),SUM($L$2:$L26),0))</f>
        <v>-8612716200</v>
      </c>
      <c r="P27" s="22">
        <f>IF(O27&lt;&gt;0,SUM($M$2:$M27),0)</f>
        <v>12439033936.559994</v>
      </c>
      <c r="Q27" s="19" t="str">
        <f t="shared" si="5"/>
        <v>Payback</v>
      </c>
      <c r="R27" s="23">
        <f t="shared" si="7"/>
        <v>-53824141.789035261</v>
      </c>
      <c r="S27" s="26">
        <f t="shared" si="6"/>
        <v>82560076.116232812</v>
      </c>
    </row>
    <row r="28" spans="1:19" x14ac:dyDescent="0.25">
      <c r="H28" s="6"/>
      <c r="I28" s="5">
        <v>26</v>
      </c>
      <c r="J28" s="22">
        <f t="shared" si="0"/>
        <v>0</v>
      </c>
      <c r="K28" s="22">
        <f t="shared" si="1"/>
        <v>-368613300</v>
      </c>
      <c r="L28" s="23">
        <f t="shared" si="3"/>
        <v>-368613300</v>
      </c>
      <c r="M28" s="23">
        <f t="shared" si="2"/>
        <v>565410633.4799999</v>
      </c>
      <c r="N28" s="22">
        <f>M28+L28</f>
        <v>196797333.4799999</v>
      </c>
      <c r="O28" s="22">
        <f>IF(L28&lt;&gt;0,SUM($L$2:$L28),IF(AND(L28=0,M28&lt;&gt;0),SUM($L$2:$L27),0))</f>
        <v>-8981329500</v>
      </c>
      <c r="P28" s="22">
        <f>IF(O28&lt;&gt;0,SUM($M$2:$M28),0)</f>
        <v>13004444570.039993</v>
      </c>
      <c r="Q28" s="19" t="str">
        <f t="shared" si="5"/>
        <v>Payback</v>
      </c>
      <c r="R28" s="23">
        <f t="shared" si="7"/>
        <v>-49837168.323180795</v>
      </c>
      <c r="S28" s="26">
        <f t="shared" si="6"/>
        <v>76444514.922437802</v>
      </c>
    </row>
    <row r="29" spans="1:19" x14ac:dyDescent="0.25">
      <c r="C29" s="63" t="s">
        <v>36</v>
      </c>
      <c r="D29" s="65" t="s">
        <v>34</v>
      </c>
      <c r="E29" s="65"/>
      <c r="F29" s="11">
        <f>-1*S57/R57</f>
        <v>1.3499675955340622</v>
      </c>
      <c r="H29" s="6"/>
      <c r="I29" s="5">
        <v>27</v>
      </c>
      <c r="J29" s="22">
        <f t="shared" si="0"/>
        <v>0</v>
      </c>
      <c r="K29" s="22">
        <f t="shared" si="1"/>
        <v>-368613300</v>
      </c>
      <c r="L29" s="23">
        <f t="shared" si="3"/>
        <v>-368613300</v>
      </c>
      <c r="M29" s="23">
        <f t="shared" si="2"/>
        <v>565410633.4799999</v>
      </c>
      <c r="N29" s="22">
        <f t="shared" si="4"/>
        <v>196797333.4799999</v>
      </c>
      <c r="O29" s="22">
        <f>IF(L29&lt;&gt;0,SUM($L$2:$L29),IF(AND(L29=0,M29&lt;&gt;0),SUM($L$2:$L28),0))</f>
        <v>-9349942800</v>
      </c>
      <c r="P29" s="22">
        <f>IF(O29&lt;&gt;0,SUM($M$2:$M29),0)</f>
        <v>13569855203.519993</v>
      </c>
      <c r="Q29" s="19" t="str">
        <f t="shared" si="5"/>
        <v>Payback</v>
      </c>
      <c r="R29" s="23">
        <f t="shared" si="7"/>
        <v>-46145526.225167401</v>
      </c>
      <c r="S29" s="26">
        <f t="shared" si="6"/>
        <v>70781958.261516482</v>
      </c>
    </row>
    <row r="30" spans="1:19" x14ac:dyDescent="0.25">
      <c r="C30" s="64"/>
      <c r="D30" s="65" t="s">
        <v>37</v>
      </c>
      <c r="E30" s="65"/>
      <c r="F30" s="21">
        <f>S57+R57</f>
        <v>1310362693.676816</v>
      </c>
      <c r="H30" s="6"/>
      <c r="I30" s="5">
        <v>28</v>
      </c>
      <c r="J30" s="22">
        <f t="shared" si="0"/>
        <v>0</v>
      </c>
      <c r="K30" s="22">
        <f t="shared" si="1"/>
        <v>-368613300</v>
      </c>
      <c r="L30" s="23">
        <f t="shared" si="3"/>
        <v>-368613300</v>
      </c>
      <c r="M30" s="23">
        <f t="shared" si="2"/>
        <v>565410633.4799999</v>
      </c>
      <c r="N30" s="22">
        <f t="shared" si="4"/>
        <v>196797333.4799999</v>
      </c>
      <c r="O30" s="22">
        <f>IF(L30&lt;&gt;0,SUM($L$2:$L30),IF(AND(L30=0,M30&lt;&gt;0),SUM($L$2:$L29),0))</f>
        <v>-9718556100</v>
      </c>
      <c r="P30" s="22">
        <f>IF(O30&lt;&gt;0,SUM($M$2:$M30),0)</f>
        <v>14135265836.999992</v>
      </c>
      <c r="Q30" s="19" t="str">
        <f t="shared" si="5"/>
        <v>Payback</v>
      </c>
      <c r="R30" s="23">
        <f t="shared" si="7"/>
        <v>-42727339.097377226</v>
      </c>
      <c r="S30" s="26">
        <f t="shared" si="6"/>
        <v>65538850.242144883</v>
      </c>
    </row>
    <row r="31" spans="1:19" ht="15" customHeight="1" x14ac:dyDescent="0.25">
      <c r="A31" t="s">
        <v>55</v>
      </c>
      <c r="C31" s="64"/>
      <c r="D31" s="66" t="s">
        <v>47</v>
      </c>
      <c r="E31" s="65"/>
      <c r="F31" s="21">
        <f>IF(H2=1,(S57+R57)/(B9+B15),IF(H2=2,(S57+R57)/(C9+C15),IF(H2=3,(S57+R57)/(D9+D15),IF(H2=4,(S57+R57)/(E9+E15)))))</f>
        <v>38540079.225788705</v>
      </c>
      <c r="H31" s="6"/>
      <c r="I31" s="5">
        <v>29</v>
      </c>
      <c r="J31" s="22">
        <f t="shared" si="0"/>
        <v>0</v>
      </c>
      <c r="K31" s="22">
        <f t="shared" si="1"/>
        <v>-368613300</v>
      </c>
      <c r="L31" s="23">
        <f t="shared" si="3"/>
        <v>-368613300</v>
      </c>
      <c r="M31" s="23">
        <f t="shared" si="2"/>
        <v>565410633.4799999</v>
      </c>
      <c r="N31" s="22">
        <f t="shared" si="4"/>
        <v>196797333.4799999</v>
      </c>
      <c r="O31" s="22">
        <f>IF(L31&lt;&gt;0,SUM($L$2:$L31),IF(AND(L31=0,M31&lt;&gt;0),SUM($L$2:$L30),0))</f>
        <v>-10087169400</v>
      </c>
      <c r="P31" s="22">
        <f>IF(O31&lt;&gt;0,SUM($M$2:$M31),0)</f>
        <v>14700676470.479992</v>
      </c>
      <c r="Q31" s="19" t="str">
        <f t="shared" si="5"/>
        <v>Payback</v>
      </c>
      <c r="R31" s="23">
        <f>L31/(1+$H$4)^I31</f>
        <v>-39562351.016090021</v>
      </c>
      <c r="S31" s="26">
        <f t="shared" si="6"/>
        <v>60684120.594578594</v>
      </c>
    </row>
    <row r="32" spans="1:19" ht="30" x14ac:dyDescent="0.25">
      <c r="A32" s="2" t="s">
        <v>26</v>
      </c>
      <c r="C32" s="64"/>
      <c r="D32" s="66" t="s">
        <v>45</v>
      </c>
      <c r="E32" s="66"/>
      <c r="F32" s="67">
        <f>IRR(N2:N56)</f>
        <v>0.26527908945514911</v>
      </c>
      <c r="H32" s="6"/>
      <c r="I32" s="5">
        <v>30</v>
      </c>
      <c r="J32" s="22">
        <f t="shared" si="0"/>
        <v>0</v>
      </c>
      <c r="K32" s="22">
        <f t="shared" si="1"/>
        <v>-368613300</v>
      </c>
      <c r="L32" s="23">
        <f t="shared" si="3"/>
        <v>-368613300</v>
      </c>
      <c r="M32" s="23">
        <f t="shared" si="2"/>
        <v>565410633.4799999</v>
      </c>
      <c r="N32" s="22">
        <f t="shared" si="4"/>
        <v>196797333.4799999</v>
      </c>
      <c r="O32" s="22">
        <f>IF(L32&lt;&gt;0,SUM($L$2:$L32),IF(AND(L32=0,M32&lt;&gt;0),SUM($L$2:$L31),0))</f>
        <v>-10455782700</v>
      </c>
      <c r="P32" s="22">
        <f>IF(O32&lt;&gt;0,SUM($M$2:$M32),0)</f>
        <v>15266087103.959991</v>
      </c>
      <c r="Q32" s="19" t="str">
        <f t="shared" si="5"/>
        <v>Payback</v>
      </c>
      <c r="R32" s="23">
        <f t="shared" si="7"/>
        <v>-36631806.496379644</v>
      </c>
      <c r="S32" s="26">
        <f t="shared" si="6"/>
        <v>56189000.550535724</v>
      </c>
    </row>
    <row r="33" spans="1:19" x14ac:dyDescent="0.25">
      <c r="A33" s="2" t="s">
        <v>27</v>
      </c>
      <c r="C33" s="64"/>
      <c r="D33" s="65" t="s">
        <v>48</v>
      </c>
      <c r="E33" s="65"/>
      <c r="F33" s="11">
        <f>MATCH("Payback",Q2:Q56,0)</f>
        <v>7</v>
      </c>
      <c r="H33" s="6"/>
      <c r="I33" s="5">
        <v>31</v>
      </c>
      <c r="J33" s="22">
        <f t="shared" si="0"/>
        <v>0</v>
      </c>
      <c r="K33" s="22">
        <f t="shared" si="1"/>
        <v>-368613300</v>
      </c>
      <c r="L33" s="23">
        <f t="shared" si="3"/>
        <v>-368613300</v>
      </c>
      <c r="M33" s="23">
        <f t="shared" si="2"/>
        <v>565410633.4799999</v>
      </c>
      <c r="N33" s="22">
        <f t="shared" si="4"/>
        <v>196797333.4799999</v>
      </c>
      <c r="O33" s="22">
        <f>IF(L33&lt;&gt;0,SUM($L$2:$L33),IF(AND(L33=0,M33&lt;&gt;0),SUM($L$2:$L32),0))</f>
        <v>-10824396000</v>
      </c>
      <c r="P33" s="22">
        <f>IF(O33&lt;&gt;0,SUM($M$2:$M33),0)</f>
        <v>15831497737.439991</v>
      </c>
      <c r="Q33" s="19" t="str">
        <f>IF(AND(P33+O33&gt;0,P33&lt;&gt;0),"Payback",IF(P33+O33&lt;0,"Not payback","N/A"))</f>
        <v>Payback</v>
      </c>
      <c r="R33" s="23">
        <f t="shared" si="7"/>
        <v>-33918339.348499663</v>
      </c>
      <c r="S33" s="26">
        <f t="shared" si="6"/>
        <v>52026852.361607149</v>
      </c>
    </row>
    <row r="34" spans="1:19" x14ac:dyDescent="0.25">
      <c r="A34" s="2" t="s">
        <v>28</v>
      </c>
      <c r="F34" s="1"/>
      <c r="H34" s="6"/>
      <c r="I34" s="5">
        <v>32</v>
      </c>
      <c r="J34" s="22">
        <f t="shared" ref="J34:J56" si="10">-1*IF(AND($H$2=1,I34&lt;$B$9),$B$10,IF(AND($H$2=2,I34&lt;$C$9),$C$10,IF(AND($H$2=3,I34&lt;$D$9),$D$10,IF(AND($H$2=4,I34&lt;$E$9),$E$10, 0))))</f>
        <v>0</v>
      </c>
      <c r="K34" s="22">
        <f t="shared" ref="K34:K56" si="11">-1*IF(AND($H$2=1,I34&gt;=$B$9,I34&lt;$B$9+$B$15),$B$12,IF(AND($H$2=2,I34&gt;=$C$9,I34&lt;$C$9+$C$15),$C$12,IF(AND($H$2=3,I34&gt;=$D$9,I34&lt;$D$9+$D$15),$D$12,IF(AND($H$2=4,I34&gt;=$E$9,I34&lt;$E$9+$E$15),$E$12,0))))</f>
        <v>-368613300</v>
      </c>
      <c r="L34" s="23">
        <f t="shared" si="3"/>
        <v>-368613300</v>
      </c>
      <c r="M34" s="23">
        <f t="shared" ref="M34:M56" si="12">IF(AND($H$2=1,I34&gt;=$B$9,I34&lt;$B$9+$B$15),$B$25,IF(AND($H$2=2,I34&gt;=$C$9,I34&lt;$C$9+$C$15),$C$25,IF(AND($H$2=3,I34&gt;=$D$9,I34&lt;$D$9+$D$15),$D$25,IF(AND($H$2=4,I34&gt;=$E$9,I34&lt;$E$9+$E$15),$E$25,IF(AND($H$2=1,I34=$B$9+$B$15),$B$27, IF(AND($H$2=2,I34=$C$9+$C$15),$C$27,IF(AND($H$2=3,I34=$D$9+$D$15),$D$27,IF(AND($H$2=4,I34=$E$9+$E$15),$E$27,0))))))))</f>
        <v>565410633.4799999</v>
      </c>
      <c r="N34" s="22">
        <f t="shared" si="4"/>
        <v>196797333.4799999</v>
      </c>
      <c r="O34" s="22">
        <f>IF(L34&lt;&gt;0,SUM($L$2:$L34),IF(AND(L34=0,M34&lt;&gt;0),SUM($L$2:$L33),0))</f>
        <v>-11193009300</v>
      </c>
      <c r="P34" s="22">
        <f>IF(O34&lt;&gt;0,SUM($M$2:$M34),0)</f>
        <v>16396908370.919991</v>
      </c>
      <c r="Q34" s="19" t="str">
        <f t="shared" si="5"/>
        <v>Payback</v>
      </c>
      <c r="R34" s="23">
        <f t="shared" si="7"/>
        <v>-31405869.767129321</v>
      </c>
      <c r="S34" s="26">
        <f t="shared" si="6"/>
        <v>48173011.445932545</v>
      </c>
    </row>
    <row r="35" spans="1:19" x14ac:dyDescent="0.25">
      <c r="A35" s="2" t="s">
        <v>29</v>
      </c>
      <c r="H35" s="6"/>
      <c r="I35" s="5">
        <v>33</v>
      </c>
      <c r="J35" s="22">
        <f t="shared" si="10"/>
        <v>0</v>
      </c>
      <c r="K35" s="22">
        <f t="shared" si="11"/>
        <v>-368613300</v>
      </c>
      <c r="L35" s="23">
        <f t="shared" si="3"/>
        <v>-368613300</v>
      </c>
      <c r="M35" s="23">
        <f t="shared" si="12"/>
        <v>565410633.4799999</v>
      </c>
      <c r="N35" s="22">
        <f t="shared" si="4"/>
        <v>196797333.4799999</v>
      </c>
      <c r="O35" s="22">
        <f>IF(L35&lt;&gt;0,SUM($L$2:$L35),IF(AND(L35=0,M35&lt;&gt;0),SUM($L$2:$L34),0))</f>
        <v>-11561622600</v>
      </c>
      <c r="P35" s="22">
        <f>IF(O35&lt;&gt;0,SUM($M$2:$M35),0)</f>
        <v>16962319004.39999</v>
      </c>
      <c r="Q35" s="19" t="str">
        <f t="shared" si="5"/>
        <v>Payback</v>
      </c>
      <c r="R35" s="23">
        <f t="shared" si="7"/>
        <v>-29079509.043638259</v>
      </c>
      <c r="S35" s="26">
        <f t="shared" si="6"/>
        <v>44604640.227715313</v>
      </c>
    </row>
    <row r="36" spans="1:19" x14ac:dyDescent="0.25">
      <c r="A36" s="15"/>
      <c r="B36" t="s">
        <v>57</v>
      </c>
      <c r="H36" s="6"/>
      <c r="I36" s="5">
        <v>34</v>
      </c>
      <c r="J36" s="22">
        <f t="shared" si="10"/>
        <v>0</v>
      </c>
      <c r="K36" s="22">
        <f t="shared" si="11"/>
        <v>0</v>
      </c>
      <c r="L36" s="23">
        <f t="shared" si="3"/>
        <v>0</v>
      </c>
      <c r="M36" s="23">
        <f t="shared" si="12"/>
        <v>22532400</v>
      </c>
      <c r="N36" s="22">
        <f t="shared" si="4"/>
        <v>22532400</v>
      </c>
      <c r="O36" s="22">
        <f>IF(L36&lt;&gt;0,SUM($L$2:$L36),IF(AND(L36=0,M36&lt;&gt;0),SUM($L$2:$L35),0))</f>
        <v>-11561622600</v>
      </c>
      <c r="P36" s="22">
        <f>IF(O36&lt;&gt;0,SUM($M$2:$M36),0)</f>
        <v>16984851404.39999</v>
      </c>
      <c r="Q36" s="19" t="str">
        <f t="shared" si="5"/>
        <v>Payback</v>
      </c>
      <c r="R36" s="23">
        <f t="shared" si="7"/>
        <v>0</v>
      </c>
      <c r="S36" s="26">
        <f t="shared" si="6"/>
        <v>1645886.0555142916</v>
      </c>
    </row>
    <row r="37" spans="1:19" x14ac:dyDescent="0.25">
      <c r="A37" s="33"/>
      <c r="B37" t="s">
        <v>68</v>
      </c>
      <c r="H37" s="6"/>
      <c r="I37" s="5">
        <v>35</v>
      </c>
      <c r="J37" s="22">
        <f t="shared" si="10"/>
        <v>0</v>
      </c>
      <c r="K37" s="22">
        <f t="shared" si="11"/>
        <v>0</v>
      </c>
      <c r="L37" s="23">
        <f t="shared" si="3"/>
        <v>0</v>
      </c>
      <c r="M37" s="23">
        <f t="shared" si="12"/>
        <v>0</v>
      </c>
      <c r="N37" s="22">
        <f t="shared" si="4"/>
        <v>0</v>
      </c>
      <c r="O37" s="22">
        <f>IF(L37&lt;&gt;0,SUM($L$2:$L37),IF(AND(L37=0,M37&lt;&gt;0),SUM($L$2:$L36),0))</f>
        <v>0</v>
      </c>
      <c r="P37" s="22">
        <f>IF(O37&lt;&gt;0,SUM($M$2:$M37),0)</f>
        <v>0</v>
      </c>
      <c r="Q37" s="19" t="str">
        <f t="shared" si="5"/>
        <v>N/A</v>
      </c>
      <c r="R37" s="23">
        <f t="shared" si="7"/>
        <v>0</v>
      </c>
      <c r="S37" s="26">
        <f t="shared" si="6"/>
        <v>0</v>
      </c>
    </row>
    <row r="38" spans="1:19" x14ac:dyDescent="0.25">
      <c r="A38" s="3"/>
      <c r="B38" t="s">
        <v>69</v>
      </c>
      <c r="H38" s="6"/>
      <c r="I38" s="5">
        <v>36</v>
      </c>
      <c r="J38" s="22">
        <f t="shared" si="10"/>
        <v>0</v>
      </c>
      <c r="K38" s="22">
        <f t="shared" si="11"/>
        <v>0</v>
      </c>
      <c r="L38" s="23">
        <f t="shared" si="3"/>
        <v>0</v>
      </c>
      <c r="M38" s="23">
        <f t="shared" si="12"/>
        <v>0</v>
      </c>
      <c r="N38" s="22">
        <f t="shared" si="4"/>
        <v>0</v>
      </c>
      <c r="O38" s="22">
        <f>IF(L38&lt;&gt;0,SUM($L$2:$L38),IF(AND(L38=0,M38&lt;&gt;0),SUM($L$2:$L37),0))</f>
        <v>0</v>
      </c>
      <c r="P38" s="22">
        <f>IF(O38&lt;&gt;0,SUM($M$2:$M38),0)</f>
        <v>0</v>
      </c>
      <c r="Q38" s="19" t="str">
        <f t="shared" si="5"/>
        <v>N/A</v>
      </c>
      <c r="R38" s="23">
        <f t="shared" si="7"/>
        <v>0</v>
      </c>
      <c r="S38" s="26">
        <f t="shared" si="6"/>
        <v>0</v>
      </c>
    </row>
    <row r="39" spans="1:19" x14ac:dyDescent="0.25">
      <c r="A39" s="30"/>
      <c r="B39" t="s">
        <v>70</v>
      </c>
      <c r="H39" s="6"/>
      <c r="I39" s="5">
        <v>37</v>
      </c>
      <c r="J39" s="22">
        <f t="shared" si="10"/>
        <v>0</v>
      </c>
      <c r="K39" s="22">
        <f t="shared" si="11"/>
        <v>0</v>
      </c>
      <c r="L39" s="23">
        <f t="shared" si="3"/>
        <v>0</v>
      </c>
      <c r="M39" s="23">
        <f t="shared" si="12"/>
        <v>0</v>
      </c>
      <c r="N39" s="22">
        <f t="shared" si="4"/>
        <v>0</v>
      </c>
      <c r="O39" s="22">
        <f>IF(L39&lt;&gt;0,SUM($L$2:$L39),IF(AND(L39=0,M39&lt;&gt;0),SUM($L$2:$L38),0))</f>
        <v>0</v>
      </c>
      <c r="P39" s="22">
        <f>IF(O39&lt;&gt;0,SUM($M$2:$M39),0)</f>
        <v>0</v>
      </c>
      <c r="Q39" s="19" t="str">
        <f t="shared" si="5"/>
        <v>N/A</v>
      </c>
      <c r="R39" s="23">
        <f t="shared" si="7"/>
        <v>0</v>
      </c>
      <c r="S39" s="26">
        <f t="shared" si="6"/>
        <v>0</v>
      </c>
    </row>
    <row r="40" spans="1:19" x14ac:dyDescent="0.25">
      <c r="H40" s="6"/>
      <c r="I40" s="5">
        <v>38</v>
      </c>
      <c r="J40" s="22">
        <f t="shared" si="10"/>
        <v>0</v>
      </c>
      <c r="K40" s="22">
        <f t="shared" si="11"/>
        <v>0</v>
      </c>
      <c r="L40" s="23">
        <f t="shared" si="3"/>
        <v>0</v>
      </c>
      <c r="M40" s="23">
        <f t="shared" si="12"/>
        <v>0</v>
      </c>
      <c r="N40" s="22">
        <f t="shared" si="4"/>
        <v>0</v>
      </c>
      <c r="O40" s="22">
        <f>IF(L40&lt;&gt;0,SUM($L$2:$L40),IF(AND(L40=0,M40&lt;&gt;0),SUM($L$2:$L39),0))</f>
        <v>0</v>
      </c>
      <c r="P40" s="22">
        <f>IF(O40&lt;&gt;0,SUM($M$2:$M40),0)</f>
        <v>0</v>
      </c>
      <c r="Q40" s="19" t="str">
        <f t="shared" si="5"/>
        <v>N/A</v>
      </c>
      <c r="R40" s="23">
        <f t="shared" si="7"/>
        <v>0</v>
      </c>
      <c r="S40" s="26">
        <f t="shared" si="6"/>
        <v>0</v>
      </c>
    </row>
    <row r="41" spans="1:19" x14ac:dyDescent="0.25">
      <c r="H41" s="6"/>
      <c r="I41" s="5">
        <v>39</v>
      </c>
      <c r="J41" s="22">
        <f t="shared" si="10"/>
        <v>0</v>
      </c>
      <c r="K41" s="22">
        <f t="shared" si="11"/>
        <v>0</v>
      </c>
      <c r="L41" s="23">
        <f t="shared" si="3"/>
        <v>0</v>
      </c>
      <c r="M41" s="23">
        <f t="shared" si="12"/>
        <v>0</v>
      </c>
      <c r="N41" s="22">
        <f t="shared" si="4"/>
        <v>0</v>
      </c>
      <c r="O41" s="22">
        <f>IF(L41&lt;&gt;0,SUM($L$2:$L41),IF(AND(L41=0,M41&lt;&gt;0),SUM($L$2:$L40),0))</f>
        <v>0</v>
      </c>
      <c r="P41" s="22">
        <f>IF(O41&lt;&gt;0,SUM($M$2:$M41),0)</f>
        <v>0</v>
      </c>
      <c r="Q41" s="19" t="str">
        <f t="shared" si="5"/>
        <v>N/A</v>
      </c>
      <c r="R41" s="23">
        <f t="shared" si="7"/>
        <v>0</v>
      </c>
      <c r="S41" s="26">
        <f t="shared" si="6"/>
        <v>0</v>
      </c>
    </row>
    <row r="42" spans="1:19" x14ac:dyDescent="0.25">
      <c r="H42" s="6"/>
      <c r="I42" s="5">
        <v>40</v>
      </c>
      <c r="J42" s="22">
        <f t="shared" si="10"/>
        <v>0</v>
      </c>
      <c r="K42" s="22">
        <f t="shared" si="11"/>
        <v>0</v>
      </c>
      <c r="L42" s="23">
        <f t="shared" si="3"/>
        <v>0</v>
      </c>
      <c r="M42" s="23">
        <f t="shared" si="12"/>
        <v>0</v>
      </c>
      <c r="N42" s="22">
        <f t="shared" si="4"/>
        <v>0</v>
      </c>
      <c r="O42" s="22">
        <f>IF(L42&lt;&gt;0,SUM($L$2:$L42),IF(AND(L42=0,M42&lt;&gt;0),SUM($L$2:$L41),0))</f>
        <v>0</v>
      </c>
      <c r="P42" s="22">
        <f>IF(O42&lt;&gt;0,SUM($M$2:$M42),0)</f>
        <v>0</v>
      </c>
      <c r="Q42" s="19" t="str">
        <f t="shared" si="5"/>
        <v>N/A</v>
      </c>
      <c r="R42" s="23">
        <f t="shared" si="7"/>
        <v>0</v>
      </c>
      <c r="S42" s="26">
        <f t="shared" si="6"/>
        <v>0</v>
      </c>
    </row>
    <row r="43" spans="1:19" x14ac:dyDescent="0.25">
      <c r="H43" s="6"/>
      <c r="I43" s="5">
        <v>41</v>
      </c>
      <c r="J43" s="22">
        <f t="shared" si="10"/>
        <v>0</v>
      </c>
      <c r="K43" s="22">
        <f t="shared" si="11"/>
        <v>0</v>
      </c>
      <c r="L43" s="23">
        <f t="shared" si="3"/>
        <v>0</v>
      </c>
      <c r="M43" s="23">
        <f t="shared" si="12"/>
        <v>0</v>
      </c>
      <c r="N43" s="22">
        <f t="shared" si="4"/>
        <v>0</v>
      </c>
      <c r="O43" s="22">
        <f>IF(L43&lt;&gt;0,SUM($L$2:$L43),IF(AND(L43=0,M43&lt;&gt;0),SUM($L$2:$L42),0))</f>
        <v>0</v>
      </c>
      <c r="P43" s="22">
        <f>IF(O43&lt;&gt;0,SUM($M$2:$M43),0)</f>
        <v>0</v>
      </c>
      <c r="Q43" s="19" t="str">
        <f t="shared" si="5"/>
        <v>N/A</v>
      </c>
      <c r="R43" s="23">
        <f t="shared" si="7"/>
        <v>0</v>
      </c>
      <c r="S43" s="26">
        <f t="shared" si="6"/>
        <v>0</v>
      </c>
    </row>
    <row r="44" spans="1:19" x14ac:dyDescent="0.25">
      <c r="H44" s="6"/>
      <c r="I44" s="5">
        <v>42</v>
      </c>
      <c r="J44" s="22">
        <f t="shared" si="10"/>
        <v>0</v>
      </c>
      <c r="K44" s="22">
        <f t="shared" si="11"/>
        <v>0</v>
      </c>
      <c r="L44" s="23">
        <f t="shared" si="3"/>
        <v>0</v>
      </c>
      <c r="M44" s="23">
        <f t="shared" si="12"/>
        <v>0</v>
      </c>
      <c r="N44" s="22">
        <f t="shared" si="4"/>
        <v>0</v>
      </c>
      <c r="O44" s="22">
        <f>IF(L44&lt;&gt;0,SUM($L$2:$L44),IF(AND(L44=0,M44&lt;&gt;0),SUM($L$2:$L43),0))</f>
        <v>0</v>
      </c>
      <c r="P44" s="22">
        <f>IF(O44&lt;&gt;0,SUM($M$2:$M44),0)</f>
        <v>0</v>
      </c>
      <c r="Q44" s="19" t="str">
        <f t="shared" si="5"/>
        <v>N/A</v>
      </c>
      <c r="R44" s="23">
        <f t="shared" si="7"/>
        <v>0</v>
      </c>
      <c r="S44" s="26">
        <f t="shared" si="6"/>
        <v>0</v>
      </c>
    </row>
    <row r="45" spans="1:19" x14ac:dyDescent="0.25">
      <c r="H45" s="6"/>
      <c r="I45" s="5">
        <v>43</v>
      </c>
      <c r="J45" s="22">
        <f t="shared" si="10"/>
        <v>0</v>
      </c>
      <c r="K45" s="22">
        <f t="shared" si="11"/>
        <v>0</v>
      </c>
      <c r="L45" s="23">
        <f t="shared" si="3"/>
        <v>0</v>
      </c>
      <c r="M45" s="23">
        <f t="shared" si="12"/>
        <v>0</v>
      </c>
      <c r="N45" s="22">
        <f t="shared" si="4"/>
        <v>0</v>
      </c>
      <c r="O45" s="22">
        <f>IF(L45&lt;&gt;0,SUM($L$2:$L45),IF(AND(L45=0,M45&lt;&gt;0),SUM($L$2:$L44),0))</f>
        <v>0</v>
      </c>
      <c r="P45" s="22">
        <f>IF(O45&lt;&gt;0,SUM($M$2:$M45),0)</f>
        <v>0</v>
      </c>
      <c r="Q45" s="19" t="str">
        <f t="shared" si="5"/>
        <v>N/A</v>
      </c>
      <c r="R45" s="23">
        <f t="shared" si="7"/>
        <v>0</v>
      </c>
      <c r="S45" s="26">
        <f t="shared" si="6"/>
        <v>0</v>
      </c>
    </row>
    <row r="46" spans="1:19" x14ac:dyDescent="0.25">
      <c r="H46" s="6"/>
      <c r="I46" s="5">
        <v>44</v>
      </c>
      <c r="J46" s="22">
        <f t="shared" si="10"/>
        <v>0</v>
      </c>
      <c r="K46" s="22">
        <f t="shared" si="11"/>
        <v>0</v>
      </c>
      <c r="L46" s="23">
        <f t="shared" si="3"/>
        <v>0</v>
      </c>
      <c r="M46" s="23">
        <f t="shared" si="12"/>
        <v>0</v>
      </c>
      <c r="N46" s="22">
        <f t="shared" si="4"/>
        <v>0</v>
      </c>
      <c r="O46" s="22">
        <f>IF(L46&lt;&gt;0,SUM($L$2:$L46),IF(AND(L46=0,M46&lt;&gt;0),SUM($L$2:$L45),0))</f>
        <v>0</v>
      </c>
      <c r="P46" s="22">
        <f>IF(O46&lt;&gt;0,SUM($M$2:$M46),0)</f>
        <v>0</v>
      </c>
      <c r="Q46" s="19" t="str">
        <f t="shared" si="5"/>
        <v>N/A</v>
      </c>
      <c r="R46" s="23">
        <f t="shared" si="7"/>
        <v>0</v>
      </c>
      <c r="S46" s="26">
        <f t="shared" si="6"/>
        <v>0</v>
      </c>
    </row>
    <row r="47" spans="1:19" x14ac:dyDescent="0.25">
      <c r="H47" s="6"/>
      <c r="I47" s="5">
        <v>45</v>
      </c>
      <c r="J47" s="22">
        <f t="shared" si="10"/>
        <v>0</v>
      </c>
      <c r="K47" s="22">
        <f t="shared" si="11"/>
        <v>0</v>
      </c>
      <c r="L47" s="23">
        <f t="shared" si="3"/>
        <v>0</v>
      </c>
      <c r="M47" s="23">
        <f t="shared" si="12"/>
        <v>0</v>
      </c>
      <c r="N47" s="22">
        <f t="shared" si="4"/>
        <v>0</v>
      </c>
      <c r="O47" s="22">
        <f>IF(L47&lt;&gt;0,SUM($L$2:$L47),IF(AND(L47=0,M47&lt;&gt;0),SUM($L$2:$L46),0))</f>
        <v>0</v>
      </c>
      <c r="P47" s="22">
        <f>IF(O47&lt;&gt;0,SUM($M$2:$M47),0)</f>
        <v>0</v>
      </c>
      <c r="Q47" s="19" t="str">
        <f t="shared" si="5"/>
        <v>N/A</v>
      </c>
      <c r="R47" s="23">
        <f t="shared" si="7"/>
        <v>0</v>
      </c>
      <c r="S47" s="26">
        <f t="shared" si="6"/>
        <v>0</v>
      </c>
    </row>
    <row r="48" spans="1:19" x14ac:dyDescent="0.25">
      <c r="H48" s="6"/>
      <c r="I48" s="5">
        <v>46</v>
      </c>
      <c r="J48" s="22">
        <f t="shared" si="10"/>
        <v>0</v>
      </c>
      <c r="K48" s="22">
        <f t="shared" si="11"/>
        <v>0</v>
      </c>
      <c r="L48" s="23">
        <f t="shared" si="3"/>
        <v>0</v>
      </c>
      <c r="M48" s="23">
        <f t="shared" si="12"/>
        <v>0</v>
      </c>
      <c r="N48" s="22">
        <f>M48+L48</f>
        <v>0</v>
      </c>
      <c r="O48" s="22">
        <f>IF(L48&lt;&gt;0,SUM($L$2:$L48),IF(AND(L48=0,M48&lt;&gt;0),SUM($L$2:$L47),0))</f>
        <v>0</v>
      </c>
      <c r="P48" s="22">
        <f>IF(O48&lt;&gt;0,SUM($M$2:$M48),0)</f>
        <v>0</v>
      </c>
      <c r="Q48" s="19" t="str">
        <f t="shared" si="5"/>
        <v>N/A</v>
      </c>
      <c r="R48" s="23">
        <f t="shared" si="7"/>
        <v>0</v>
      </c>
      <c r="S48" s="26">
        <f t="shared" si="6"/>
        <v>0</v>
      </c>
    </row>
    <row r="49" spans="8:19" x14ac:dyDescent="0.25">
      <c r="H49" s="6"/>
      <c r="I49" s="5">
        <v>47</v>
      </c>
      <c r="J49" s="22">
        <f t="shared" si="10"/>
        <v>0</v>
      </c>
      <c r="K49" s="22">
        <f t="shared" si="11"/>
        <v>0</v>
      </c>
      <c r="L49" s="23">
        <f t="shared" si="3"/>
        <v>0</v>
      </c>
      <c r="M49" s="23">
        <f t="shared" si="12"/>
        <v>0</v>
      </c>
      <c r="N49" s="22">
        <f t="shared" si="4"/>
        <v>0</v>
      </c>
      <c r="O49" s="22">
        <f>IF(L49&lt;&gt;0,SUM($L$2:$L49),IF(AND(L49=0,M49&lt;&gt;0),SUM($L$2:$L48),0))</f>
        <v>0</v>
      </c>
      <c r="P49" s="22">
        <f>IF(O49&lt;&gt;0,SUM($M$2:$M49),0)</f>
        <v>0</v>
      </c>
      <c r="Q49" s="19" t="str">
        <f t="shared" si="5"/>
        <v>N/A</v>
      </c>
      <c r="R49" s="23">
        <f t="shared" si="7"/>
        <v>0</v>
      </c>
      <c r="S49" s="26">
        <f t="shared" si="6"/>
        <v>0</v>
      </c>
    </row>
    <row r="50" spans="8:19" x14ac:dyDescent="0.25">
      <c r="H50" s="6"/>
      <c r="I50" s="5">
        <v>48</v>
      </c>
      <c r="J50" s="22">
        <f t="shared" si="10"/>
        <v>0</v>
      </c>
      <c r="K50" s="22">
        <f t="shared" si="11"/>
        <v>0</v>
      </c>
      <c r="L50" s="23">
        <f t="shared" si="3"/>
        <v>0</v>
      </c>
      <c r="M50" s="23">
        <f t="shared" si="12"/>
        <v>0</v>
      </c>
      <c r="N50" s="22">
        <f t="shared" si="4"/>
        <v>0</v>
      </c>
      <c r="O50" s="22">
        <f>IF(L50&lt;&gt;0,SUM($L$2:$L50),IF(AND(L50=0,M50&lt;&gt;0),SUM($L$2:$L49),0))</f>
        <v>0</v>
      </c>
      <c r="P50" s="22">
        <f>IF(O50&lt;&gt;0,SUM($M$2:$M50),0)</f>
        <v>0</v>
      </c>
      <c r="Q50" s="19" t="str">
        <f t="shared" si="5"/>
        <v>N/A</v>
      </c>
      <c r="R50" s="23">
        <f t="shared" si="7"/>
        <v>0</v>
      </c>
      <c r="S50" s="26">
        <f t="shared" si="6"/>
        <v>0</v>
      </c>
    </row>
    <row r="51" spans="8:19" x14ac:dyDescent="0.25">
      <c r="H51" s="6"/>
      <c r="I51" s="5">
        <v>49</v>
      </c>
      <c r="J51" s="22">
        <f t="shared" si="10"/>
        <v>0</v>
      </c>
      <c r="K51" s="22">
        <f t="shared" si="11"/>
        <v>0</v>
      </c>
      <c r="L51" s="23">
        <f t="shared" si="3"/>
        <v>0</v>
      </c>
      <c r="M51" s="23">
        <f t="shared" si="12"/>
        <v>0</v>
      </c>
      <c r="N51" s="22">
        <f t="shared" si="4"/>
        <v>0</v>
      </c>
      <c r="O51" s="22">
        <f>IF(L51&lt;&gt;0,SUM($L$2:$L51),IF(AND(L51=0,M51&lt;&gt;0),SUM($L$2:$L50),0))</f>
        <v>0</v>
      </c>
      <c r="P51" s="22">
        <f>IF(O51&lt;&gt;0,SUM($M$2:$M51),0)</f>
        <v>0</v>
      </c>
      <c r="Q51" s="19" t="str">
        <f t="shared" si="5"/>
        <v>N/A</v>
      </c>
      <c r="R51" s="23">
        <f t="shared" si="7"/>
        <v>0</v>
      </c>
      <c r="S51" s="26">
        <f t="shared" si="6"/>
        <v>0</v>
      </c>
    </row>
    <row r="52" spans="8:19" x14ac:dyDescent="0.25">
      <c r="H52" s="6"/>
      <c r="I52" s="5">
        <v>50</v>
      </c>
      <c r="J52" s="22">
        <f t="shared" si="10"/>
        <v>0</v>
      </c>
      <c r="K52" s="22">
        <f t="shared" si="11"/>
        <v>0</v>
      </c>
      <c r="L52" s="23">
        <f t="shared" si="3"/>
        <v>0</v>
      </c>
      <c r="M52" s="23">
        <f t="shared" si="12"/>
        <v>0</v>
      </c>
      <c r="N52" s="22">
        <f t="shared" si="4"/>
        <v>0</v>
      </c>
      <c r="O52" s="22">
        <f>IF(L52&lt;&gt;0,SUM($L$2:$L52),IF(AND(L52=0,M52&lt;&gt;0),SUM($L$2:$L51),0))</f>
        <v>0</v>
      </c>
      <c r="P52" s="22">
        <f>IF(O52&lt;&gt;0,SUM($M$2:$M52),0)</f>
        <v>0</v>
      </c>
      <c r="Q52" s="19" t="str">
        <f t="shared" si="5"/>
        <v>N/A</v>
      </c>
      <c r="R52" s="23">
        <f t="shared" si="7"/>
        <v>0</v>
      </c>
      <c r="S52" s="26">
        <f t="shared" si="6"/>
        <v>0</v>
      </c>
    </row>
    <row r="53" spans="8:19" x14ac:dyDescent="0.25">
      <c r="H53" s="6"/>
      <c r="I53" s="5">
        <v>51</v>
      </c>
      <c r="J53" s="22">
        <f t="shared" si="10"/>
        <v>0</v>
      </c>
      <c r="K53" s="22">
        <f t="shared" si="11"/>
        <v>0</v>
      </c>
      <c r="L53" s="23">
        <f t="shared" si="3"/>
        <v>0</v>
      </c>
      <c r="M53" s="23">
        <f t="shared" si="12"/>
        <v>0</v>
      </c>
      <c r="N53" s="22">
        <f t="shared" si="4"/>
        <v>0</v>
      </c>
      <c r="O53" s="22">
        <f>IF(L53&lt;&gt;0,SUM($L$2:$L53),IF(AND(L53=0,M53&lt;&gt;0),SUM($L$2:$L52),0))</f>
        <v>0</v>
      </c>
      <c r="P53" s="22">
        <f>IF(O53&lt;&gt;0,SUM($M$2:$M53),0)</f>
        <v>0</v>
      </c>
      <c r="Q53" s="19" t="str">
        <f t="shared" si="5"/>
        <v>N/A</v>
      </c>
      <c r="R53" s="23">
        <f t="shared" si="7"/>
        <v>0</v>
      </c>
      <c r="S53" s="26">
        <f t="shared" si="6"/>
        <v>0</v>
      </c>
    </row>
    <row r="54" spans="8:19" x14ac:dyDescent="0.25">
      <c r="H54" s="6"/>
      <c r="I54" s="5">
        <v>52</v>
      </c>
      <c r="J54" s="22">
        <f t="shared" si="10"/>
        <v>0</v>
      </c>
      <c r="K54" s="22">
        <f t="shared" si="11"/>
        <v>0</v>
      </c>
      <c r="L54" s="23">
        <f t="shared" si="3"/>
        <v>0</v>
      </c>
      <c r="M54" s="23">
        <f t="shared" si="12"/>
        <v>0</v>
      </c>
      <c r="N54" s="22">
        <f t="shared" si="4"/>
        <v>0</v>
      </c>
      <c r="O54" s="22">
        <f>IF(L54&lt;&gt;0,SUM($L$2:$L54),IF(AND(L54=0,M54&lt;&gt;0),SUM($L$2:$L53),0))</f>
        <v>0</v>
      </c>
      <c r="P54" s="22">
        <f>IF(O54&lt;&gt;0,SUM($M$2:$M54),0)</f>
        <v>0</v>
      </c>
      <c r="Q54" s="19" t="str">
        <f t="shared" si="5"/>
        <v>N/A</v>
      </c>
      <c r="R54" s="23">
        <f t="shared" si="7"/>
        <v>0</v>
      </c>
      <c r="S54" s="26">
        <f t="shared" si="6"/>
        <v>0</v>
      </c>
    </row>
    <row r="55" spans="8:19" x14ac:dyDescent="0.25">
      <c r="H55" s="6"/>
      <c r="I55" s="5">
        <v>53</v>
      </c>
      <c r="J55" s="22">
        <f t="shared" si="10"/>
        <v>0</v>
      </c>
      <c r="K55" s="22">
        <f t="shared" si="11"/>
        <v>0</v>
      </c>
      <c r="L55" s="23">
        <f t="shared" si="3"/>
        <v>0</v>
      </c>
      <c r="M55" s="23">
        <f t="shared" si="12"/>
        <v>0</v>
      </c>
      <c r="N55" s="22">
        <f t="shared" si="4"/>
        <v>0</v>
      </c>
      <c r="O55" s="22">
        <f>IF(L55&lt;&gt;0,SUM($L$2:$L55),IF(AND(L55=0,M55&lt;&gt;0),SUM($L$2:$L54),0))</f>
        <v>0</v>
      </c>
      <c r="P55" s="22">
        <f>IF(O55&lt;&gt;0,SUM($M$2:$M55),0)</f>
        <v>0</v>
      </c>
      <c r="Q55" s="19" t="str">
        <f t="shared" si="5"/>
        <v>N/A</v>
      </c>
      <c r="R55" s="23">
        <f t="shared" si="7"/>
        <v>0</v>
      </c>
      <c r="S55" s="26">
        <f t="shared" si="6"/>
        <v>0</v>
      </c>
    </row>
    <row r="56" spans="8:19" x14ac:dyDescent="0.25">
      <c r="H56" s="6"/>
      <c r="I56" s="5">
        <v>54</v>
      </c>
      <c r="J56" s="22">
        <f t="shared" si="10"/>
        <v>0</v>
      </c>
      <c r="K56" s="22">
        <f t="shared" si="11"/>
        <v>0</v>
      </c>
      <c r="L56" s="23">
        <f t="shared" si="3"/>
        <v>0</v>
      </c>
      <c r="M56" s="23">
        <f t="shared" si="12"/>
        <v>0</v>
      </c>
      <c r="N56" s="22">
        <f t="shared" si="4"/>
        <v>0</v>
      </c>
      <c r="O56" s="22">
        <f>IF(L56&lt;&gt;0,SUM($L$2:$L56),IF(AND(L56=0,M56&lt;&gt;0),SUM($L$2:$L55),0))</f>
        <v>0</v>
      </c>
      <c r="P56" s="22">
        <f>IF(O56&lt;&gt;0,SUM($M$2:$M56),0)</f>
        <v>0</v>
      </c>
      <c r="Q56" s="19" t="str">
        <f t="shared" si="5"/>
        <v>N/A</v>
      </c>
      <c r="R56" s="23">
        <f t="shared" si="7"/>
        <v>0</v>
      </c>
      <c r="S56" s="26">
        <f t="shared" si="6"/>
        <v>0</v>
      </c>
    </row>
    <row r="57" spans="8:19" x14ac:dyDescent="0.25">
      <c r="H57" s="7"/>
      <c r="I57" s="10" t="s">
        <v>0</v>
      </c>
      <c r="J57" s="24">
        <f>SUM(J2:J22)</f>
        <v>-503223599.99999994</v>
      </c>
      <c r="K57" s="24">
        <f t="shared" ref="K57:L57" si="13">SUM(K2:K22)</f>
        <v>-6266426100</v>
      </c>
      <c r="L57" s="24">
        <f t="shared" si="13"/>
        <v>-6769649700</v>
      </c>
      <c r="M57" s="24">
        <f>SUM(M2:M55)</f>
        <v>16984851404.39999</v>
      </c>
      <c r="N57" s="25" t="s">
        <v>40</v>
      </c>
      <c r="O57" s="25" t="s">
        <v>40</v>
      </c>
      <c r="P57" s="25" t="s">
        <v>40</v>
      </c>
      <c r="Q57" s="28" t="s">
        <v>40</v>
      </c>
      <c r="R57" s="24">
        <f>SUM(R2:R55)</f>
        <v>-3744240067.9330292</v>
      </c>
      <c r="S57" s="27">
        <f>SUM(S2:S55)</f>
        <v>5054602761.6098452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2E4B-B39F-4A0B-BF18-81F9EAF23AA1}">
  <dimension ref="A1:D19"/>
  <sheetViews>
    <sheetView zoomScaleNormal="100" workbookViewId="0">
      <selection activeCell="C37" sqref="C37"/>
    </sheetView>
  </sheetViews>
  <sheetFormatPr defaultRowHeight="15" x14ac:dyDescent="0.25"/>
  <cols>
    <col min="1" max="1" width="21.7109375" customWidth="1"/>
    <col min="2" max="2" width="13" customWidth="1"/>
    <col min="3" max="3" width="16.140625" customWidth="1"/>
  </cols>
  <sheetData>
    <row r="1" spans="1:4" x14ac:dyDescent="0.25">
      <c r="A1" t="s">
        <v>81</v>
      </c>
    </row>
    <row r="2" spans="1:4" x14ac:dyDescent="0.25">
      <c r="A2" t="s">
        <v>80</v>
      </c>
    </row>
    <row r="4" spans="1:4" ht="18" customHeight="1" x14ac:dyDescent="0.25">
      <c r="B4" s="32" t="s">
        <v>61</v>
      </c>
      <c r="C4" s="32" t="s">
        <v>59</v>
      </c>
      <c r="D4" s="32" t="s">
        <v>64</v>
      </c>
    </row>
    <row r="5" spans="1:4" x14ac:dyDescent="0.25">
      <c r="A5" s="31" t="s">
        <v>62</v>
      </c>
      <c r="B5" s="31">
        <v>-41.3</v>
      </c>
      <c r="C5" s="31">
        <v>0.9</v>
      </c>
      <c r="D5" s="31">
        <v>6.08</v>
      </c>
    </row>
    <row r="6" spans="1:4" x14ac:dyDescent="0.25">
      <c r="A6" s="31" t="s">
        <v>63</v>
      </c>
      <c r="B6" s="31">
        <v>43.51</v>
      </c>
      <c r="C6" s="31">
        <v>0.1</v>
      </c>
      <c r="D6" s="31">
        <v>-6.28</v>
      </c>
    </row>
    <row r="7" spans="1:4" x14ac:dyDescent="0.25">
      <c r="A7" s="15" t="s">
        <v>58</v>
      </c>
      <c r="B7" s="15">
        <f>'Investment analysis model'!B17</f>
        <v>1</v>
      </c>
      <c r="C7" s="15">
        <f>'Investment analysis model'!B16</f>
        <v>250</v>
      </c>
      <c r="D7" s="15"/>
    </row>
    <row r="8" spans="1:4" x14ac:dyDescent="0.25">
      <c r="A8" s="30" t="s">
        <v>65</v>
      </c>
      <c r="B8" s="30">
        <f>B5*B7+C5*C7+D5</f>
        <v>189.78</v>
      </c>
    </row>
    <row r="9" spans="1:4" x14ac:dyDescent="0.25">
      <c r="A9" s="30" t="s">
        <v>67</v>
      </c>
      <c r="B9" s="30">
        <f>B6*B7+C6*C7+D6</f>
        <v>62.22999999999999</v>
      </c>
    </row>
    <row r="10" spans="1:4" x14ac:dyDescent="0.25">
      <c r="A10" s="30" t="s">
        <v>66</v>
      </c>
      <c r="B10" s="30">
        <f>B8+B9</f>
        <v>252.01</v>
      </c>
    </row>
    <row r="12" spans="1:4" x14ac:dyDescent="0.25">
      <c r="A12" s="29"/>
      <c r="B12" t="s">
        <v>60</v>
      </c>
    </row>
    <row r="13" spans="1:4" x14ac:dyDescent="0.25">
      <c r="A13" s="15"/>
      <c r="B13" t="s">
        <v>57</v>
      </c>
    </row>
    <row r="14" spans="1:4" x14ac:dyDescent="0.25">
      <c r="A14" s="30"/>
      <c r="B14" t="s">
        <v>56</v>
      </c>
    </row>
    <row r="19" spans="2:4" x14ac:dyDescent="0.25">
      <c r="B19" s="32"/>
      <c r="C19" s="32"/>
      <c r="D19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analysis model</vt:lpstr>
      <vt:lpstr>Price 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Chunzi Qu</dc:creator>
  <cp:lastModifiedBy>Chunzi Qu</cp:lastModifiedBy>
  <dcterms:created xsi:type="dcterms:W3CDTF">2023-01-10T12:35:55Z</dcterms:created>
  <dcterms:modified xsi:type="dcterms:W3CDTF">2023-08-02T16:30:57Z</dcterms:modified>
</cp:coreProperties>
</file>