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archd\Downloads\"/>
    </mc:Choice>
  </mc:AlternateContent>
  <xr:revisionPtr revIDLastSave="0" documentId="13_ncr:1_{35CD53D0-72C0-4724-B92F-40C08BF02A9E}" xr6:coauthVersionLast="47" xr6:coauthVersionMax="47" xr10:uidLastSave="{00000000-0000-0000-0000-000000000000}"/>
  <bookViews>
    <workbookView xWindow="14303" yWindow="-2025" windowWidth="20715" windowHeight="13275" firstSheet="3" activeTab="3" xr2:uid="{EDB88D78-A7B9-4F43-8F5A-FF4F77206B83}"/>
  </bookViews>
  <sheets>
    <sheet name="DO NOT USE Carbon m3" sheetId="3" state="hidden" r:id="rId1"/>
    <sheet name="DO NOT USE Carbon" sheetId="1" state="hidden" r:id="rId2"/>
    <sheet name="Calculation Factors m3" sheetId="4" state="hidden" r:id="rId3"/>
    <sheet name="Disclaimers &amp; Credits" sheetId="14" r:id="rId4"/>
    <sheet name="Intro + Documentation" sheetId="13" r:id="rId5"/>
    <sheet name="Scenario 1 - Calc Sheet" sheetId="6" r:id="rId6"/>
    <sheet name="EPD Reference Library" sheetId="15" r:id="rId7"/>
    <sheet name="Sorting Tables" sheetId="8" r:id="rId8"/>
    <sheet name="Calculation Factors m3 trans" sheetId="7" r:id="rId9"/>
    <sheet name="Scope Diagram" sheetId="16" r:id="rId10"/>
    <sheet name="EOL Factors" sheetId="18" r:id="rId11"/>
    <sheet name="Tally C-D kg factors" sheetId="17" r:id="rId12"/>
    <sheet name="transportation factors" sheetId="11" r:id="rId13"/>
    <sheet name="A0 Factors" sheetId="9"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5" i="6" l="1"/>
  <c r="B49" i="6"/>
  <c r="B3" i="7" l="1"/>
  <c r="L3" i="7" s="1"/>
  <c r="G5" i="18" l="1"/>
  <c r="F5" i="18"/>
  <c r="E5" i="18"/>
  <c r="D5" i="18"/>
  <c r="C5" i="18"/>
  <c r="H5" i="18" s="1"/>
  <c r="G23" i="8"/>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37" i="7"/>
  <c r="E38" i="7"/>
  <c r="E39" i="7"/>
  <c r="E40" i="7"/>
  <c r="E41" i="7"/>
  <c r="E42" i="7"/>
  <c r="E43" i="7"/>
  <c r="E44" i="7"/>
  <c r="E45" i="7"/>
  <c r="E46" i="7"/>
  <c r="E47" i="7"/>
  <c r="E48" i="7"/>
  <c r="E49" i="7"/>
  <c r="E50" i="7"/>
  <c r="E51" i="7"/>
  <c r="E52" i="7"/>
  <c r="E53" i="7"/>
  <c r="E54" i="7"/>
  <c r="E55" i="7"/>
  <c r="E56" i="7"/>
  <c r="E57" i="7"/>
  <c r="E58" i="7"/>
  <c r="E59" i="7"/>
  <c r="E60" i="7"/>
  <c r="E61" i="7"/>
  <c r="E62" i="7"/>
  <c r="E8" i="7"/>
  <c r="H3" i="7"/>
  <c r="E9" i="8" a="1"/>
  <c r="E9" i="8" s="1"/>
  <c r="I9" i="8" a="1"/>
  <c r="I9" i="8" s="1"/>
  <c r="I8" i="7"/>
  <c r="N11" i="7"/>
  <c r="N10" i="7"/>
  <c r="I11" i="7"/>
  <c r="J11" i="7" s="1"/>
  <c r="I10" i="7"/>
  <c r="J10" i="7" s="1"/>
  <c r="G11" i="7"/>
  <c r="G10" i="7"/>
  <c r="F11" i="7"/>
  <c r="F10" i="7"/>
  <c r="T11" i="7"/>
  <c r="T10" i="7"/>
  <c r="G9" i="8" l="1" a="1"/>
  <c r="G9" i="8" s="1"/>
  <c r="J8" i="7" l="1"/>
  <c r="B77" i="6"/>
  <c r="C2" i="18"/>
  <c r="K92" i="18"/>
  <c r="L69" i="18"/>
  <c r="M47" i="18"/>
  <c r="M20" i="18"/>
  <c r="E8" i="18" l="1"/>
  <c r="G7" i="18"/>
  <c r="K102" i="18"/>
  <c r="L102" i="18" l="1"/>
  <c r="I3" i="7" l="1"/>
  <c r="I28" i="7"/>
  <c r="J28" i="7" s="1"/>
  <c r="D3" i="7"/>
  <c r="G9"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8" i="7"/>
  <c r="F9"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8" i="7"/>
  <c r="C3" i="7" s="1"/>
  <c r="E3" i="7" l="1"/>
  <c r="M56" i="18"/>
  <c r="S55" i="18" l="1"/>
  <c r="L55" i="18" s="1"/>
  <c r="L60" i="18" s="1"/>
  <c r="K67" i="18"/>
  <c r="K69" i="18" s="1"/>
  <c r="K77" i="18"/>
  <c r="K54" i="18"/>
  <c r="K59" i="18"/>
  <c r="M90" i="18"/>
  <c r="M91" i="18"/>
  <c r="L87" i="18"/>
  <c r="L92" i="18" s="1"/>
  <c r="M60" i="18"/>
  <c r="M89" i="18"/>
  <c r="G6" i="18" l="1"/>
  <c r="K44" i="18"/>
  <c r="K41" i="18"/>
  <c r="K31" i="18"/>
  <c r="K28" i="18"/>
  <c r="M79" i="18"/>
  <c r="K16" i="18"/>
  <c r="L29" i="18"/>
  <c r="M100" i="18"/>
  <c r="M32" i="18"/>
  <c r="M33" i="18" s="1"/>
  <c r="D8" i="18" s="1"/>
  <c r="L27" i="18"/>
  <c r="M99" i="18"/>
  <c r="L17" i="18"/>
  <c r="L15" i="18"/>
  <c r="L76" i="18"/>
  <c r="L80" i="18" s="1"/>
  <c r="M101" i="18"/>
  <c r="M68" i="18"/>
  <c r="M69" i="18" s="1"/>
  <c r="N70" i="18" s="1"/>
  <c r="K43" i="18"/>
  <c r="K76" i="18"/>
  <c r="K80" i="18" s="1"/>
  <c r="K18" i="18"/>
  <c r="M78" i="18"/>
  <c r="K19" i="18"/>
  <c r="L42" i="18"/>
  <c r="L40" i="18"/>
  <c r="K30" i="18"/>
  <c r="F7" i="18"/>
  <c r="K60" i="18"/>
  <c r="M92" i="18"/>
  <c r="F8" i="18" s="1"/>
  <c r="O6" i="9"/>
  <c r="L9" i="8" a="1"/>
  <c r="L9" i="8" s="1"/>
  <c r="M9" i="8" a="1"/>
  <c r="M9" i="8" s="1"/>
  <c r="E37" i="11"/>
  <c r="B20" i="11" a="1"/>
  <c r="B20" i="11" s="1"/>
  <c r="E30" i="11"/>
  <c r="E31" i="11"/>
  <c r="E32" i="11"/>
  <c r="E33" i="11"/>
  <c r="E34" i="11"/>
  <c r="E35" i="11"/>
  <c r="E36" i="11"/>
  <c r="J9" i="8" a="1"/>
  <c r="J9" i="8" s="1"/>
  <c r="H9" i="8" a="1"/>
  <c r="H9" i="8" s="1"/>
  <c r="F9" i="8" a="1"/>
  <c r="F9" i="8" s="1"/>
  <c r="C9" i="8" a="1"/>
  <c r="C9" i="8" s="1"/>
  <c r="D9" i="8" s="1" a="1"/>
  <c r="D9" i="8" s="1"/>
  <c r="B9" i="8" a="1"/>
  <c r="B9" i="8" s="1"/>
  <c r="I61" i="7"/>
  <c r="J61" i="7" s="1"/>
  <c r="I62" i="7"/>
  <c r="J62" i="7" s="1"/>
  <c r="I51" i="7"/>
  <c r="J51" i="7" s="1"/>
  <c r="I52" i="7"/>
  <c r="J52" i="7" s="1"/>
  <c r="I20" i="7"/>
  <c r="J20" i="7" s="1"/>
  <c r="I21" i="7"/>
  <c r="J21" i="7" s="1"/>
  <c r="M80" i="18" l="1"/>
  <c r="N93" i="18"/>
  <c r="F6" i="18"/>
  <c r="F9" i="18" s="1"/>
  <c r="N61" i="18"/>
  <c r="K33" i="18"/>
  <c r="D6" i="18" s="1"/>
  <c r="K47" i="18"/>
  <c r="L33" i="18"/>
  <c r="D7" i="18" s="1"/>
  <c r="L47" i="18"/>
  <c r="E7" i="18" s="1"/>
  <c r="K20" i="18"/>
  <c r="C6" i="18" s="1"/>
  <c r="L20" i="18"/>
  <c r="C7" i="18" s="1"/>
  <c r="M102" i="18"/>
  <c r="AB60" i="7"/>
  <c r="AB59" i="7"/>
  <c r="AB57" i="7"/>
  <c r="N81" i="18" l="1"/>
  <c r="C8" i="18"/>
  <c r="C9" i="18" s="1"/>
  <c r="G8" i="18"/>
  <c r="G9" i="18" s="1"/>
  <c r="N103" i="18"/>
  <c r="E6" i="18"/>
  <c r="E9" i="18" s="1"/>
  <c r="N48" i="18"/>
  <c r="N34" i="18"/>
  <c r="D9" i="18"/>
  <c r="N21" i="18"/>
  <c r="H7" i="18"/>
  <c r="F3" i="7" s="1"/>
  <c r="I60" i="7"/>
  <c r="J60" i="7" s="1"/>
  <c r="I59" i="7"/>
  <c r="J59" i="7" s="1"/>
  <c r="F10" i="17"/>
  <c r="Q60" i="7" s="1"/>
  <c r="E10" i="17"/>
  <c r="O60" i="7" s="1"/>
  <c r="F9" i="17"/>
  <c r="Q59" i="7" s="1"/>
  <c r="E9" i="17"/>
  <c r="O59" i="7" s="1"/>
  <c r="D9" i="17"/>
  <c r="N59" i="7" s="1"/>
  <c r="I58" i="7"/>
  <c r="J58" i="7" s="1"/>
  <c r="F8" i="17"/>
  <c r="Q50" i="7" s="1"/>
  <c r="E8" i="17"/>
  <c r="O50" i="7" s="1"/>
  <c r="F7" i="17"/>
  <c r="Q49" i="7" s="1"/>
  <c r="E7" i="17"/>
  <c r="O49" i="7" s="1"/>
  <c r="I23" i="7"/>
  <c r="J23" i="7" s="1"/>
  <c r="I22" i="7"/>
  <c r="J22" i="7" s="1"/>
  <c r="I50" i="7"/>
  <c r="J50" i="7" s="1"/>
  <c r="I49" i="7"/>
  <c r="J49" i="7" s="1"/>
  <c r="N44" i="7"/>
  <c r="I47" i="7"/>
  <c r="J47" i="7" s="1"/>
  <c r="I48" i="7"/>
  <c r="J48" i="7" s="1"/>
  <c r="D7" i="17"/>
  <c r="N49" i="7" s="1"/>
  <c r="E6" i="17"/>
  <c r="O38" i="7" s="1"/>
  <c r="H8" i="18" l="1"/>
  <c r="K3" i="7" s="1"/>
  <c r="H6" i="18"/>
  <c r="J3" i="7" s="1"/>
  <c r="O42" i="7"/>
  <c r="O34" i="7"/>
  <c r="F6" i="17"/>
  <c r="Q29" i="7" s="1"/>
  <c r="O29" i="7"/>
  <c r="F5" i="17"/>
  <c r="Q28" i="7" s="1"/>
  <c r="E5" i="17"/>
  <c r="O28" i="7" s="1"/>
  <c r="D5" i="17"/>
  <c r="N28" i="7" s="1"/>
  <c r="T15" i="7"/>
  <c r="S15" i="7"/>
  <c r="Q15" i="7"/>
  <c r="O15" i="7"/>
  <c r="I15" i="7"/>
  <c r="J15" i="7" s="1"/>
  <c r="T14" i="7"/>
  <c r="O14" i="7"/>
  <c r="I14" i="7"/>
  <c r="J14" i="7" s="1"/>
  <c r="H9" i="18" l="1"/>
  <c r="Q42" i="7"/>
  <c r="O33" i="7"/>
  <c r="Q34" i="7"/>
  <c r="Q38" i="7"/>
  <c r="N37" i="7"/>
  <c r="O37" i="7"/>
  <c r="N41" i="7"/>
  <c r="N33" i="7"/>
  <c r="O41" i="7"/>
  <c r="Q33" i="7"/>
  <c r="Q37" i="7"/>
  <c r="Q41" i="7"/>
  <c r="D3" i="17"/>
  <c r="F3" i="17"/>
  <c r="Q22" i="7" l="1"/>
  <c r="Q18" i="7"/>
  <c r="N22" i="7"/>
  <c r="N18" i="7"/>
  <c r="I56" i="7"/>
  <c r="J56" i="7" s="1"/>
  <c r="I54" i="7"/>
  <c r="J54" i="7" s="1"/>
  <c r="I46" i="7"/>
  <c r="J46" i="7" s="1"/>
  <c r="I28" i="6" l="1"/>
  <c r="J28" i="6"/>
  <c r="D81" i="6"/>
  <c r="D80" i="6"/>
  <c r="D77" i="6"/>
  <c r="D78" i="6"/>
  <c r="D79" i="6"/>
  <c r="J53" i="6"/>
  <c r="I52" i="6"/>
  <c r="E21" i="11"/>
  <c r="E22" i="11"/>
  <c r="E23" i="11"/>
  <c r="E24" i="11"/>
  <c r="E25" i="11"/>
  <c r="E26" i="11"/>
  <c r="E27" i="11"/>
  <c r="E28" i="11"/>
  <c r="E29" i="11"/>
  <c r="E20" i="11"/>
  <c r="E10" i="11"/>
  <c r="E11" i="11"/>
  <c r="E12" i="11"/>
  <c r="E9" i="11"/>
  <c r="B23" i="4"/>
  <c r="C2" i="11"/>
  <c r="C21" i="11"/>
  <c r="C20" i="11"/>
  <c r="N21" i="7"/>
  <c r="I16" i="7"/>
  <c r="J16" i="7" s="1"/>
  <c r="I17" i="7"/>
  <c r="J17" i="7" s="1"/>
  <c r="I19" i="7"/>
  <c r="J19" i="7" s="1"/>
  <c r="I18" i="7"/>
  <c r="J18" i="7" s="1"/>
  <c r="N17" i="7"/>
  <c r="I13" i="7"/>
  <c r="J13" i="7" s="1"/>
  <c r="C5" i="11" l="1" a="1"/>
  <c r="C5" i="11" s="1"/>
  <c r="C3" i="11" a="1"/>
  <c r="C3" i="11" s="1"/>
  <c r="C4" i="11" s="1"/>
  <c r="C6" i="11" a="1"/>
  <c r="C6" i="11" s="1"/>
  <c r="K19" i="1"/>
  <c r="J19" i="1"/>
  <c r="I19" i="1"/>
  <c r="I9" i="7"/>
  <c r="O8" i="7"/>
  <c r="E3" i="17" s="1"/>
  <c r="T8" i="7"/>
  <c r="J9" i="7" l="1"/>
  <c r="O22" i="7"/>
  <c r="O18" i="7"/>
  <c r="D15" i="11"/>
  <c r="C15" i="11"/>
  <c r="E15" i="11" s="1"/>
  <c r="O9" i="7"/>
  <c r="E4" i="17" s="1"/>
  <c r="Q9" i="7"/>
  <c r="F4" i="17" s="1"/>
  <c r="T9" i="7"/>
  <c r="I42" i="7"/>
  <c r="J42" i="7" s="1"/>
  <c r="I43" i="7"/>
  <c r="J43" i="7" s="1"/>
  <c r="I44" i="7"/>
  <c r="J44" i="7" s="1"/>
  <c r="I41" i="7"/>
  <c r="J41" i="7" s="1"/>
  <c r="C26" i="4"/>
  <c r="C25" i="4"/>
  <c r="N9" i="8" a="1"/>
  <c r="N9" i="8" s="1"/>
  <c r="O23" i="7" l="1"/>
  <c r="O19" i="7"/>
  <c r="Q19" i="7"/>
  <c r="Q23" i="7"/>
  <c r="F15" i="11"/>
  <c r="F11" i="11"/>
  <c r="F10" i="11"/>
  <c r="F12" i="11"/>
  <c r="F9" i="11"/>
  <c r="F13" i="11" l="1"/>
  <c r="K28" i="6" s="1"/>
  <c r="I12" i="7"/>
  <c r="I24" i="7"/>
  <c r="J24" i="7" s="1"/>
  <c r="I25" i="7"/>
  <c r="J25" i="7" s="1"/>
  <c r="I26" i="7"/>
  <c r="J26" i="7" s="1"/>
  <c r="I27" i="7"/>
  <c r="J27" i="7" s="1"/>
  <c r="I29" i="7"/>
  <c r="J29" i="7" s="1"/>
  <c r="I30" i="7"/>
  <c r="J30" i="7" s="1"/>
  <c r="I31" i="7"/>
  <c r="J31" i="7" s="1"/>
  <c r="I32" i="7"/>
  <c r="J32" i="7" s="1"/>
  <c r="I33" i="7"/>
  <c r="J33" i="7" s="1"/>
  <c r="I34" i="7"/>
  <c r="J34" i="7" s="1"/>
  <c r="I35" i="7"/>
  <c r="J35" i="7" s="1"/>
  <c r="I36" i="7"/>
  <c r="J36" i="7" s="1"/>
  <c r="I37" i="7"/>
  <c r="J37" i="7" s="1"/>
  <c r="I38" i="7"/>
  <c r="J38" i="7" s="1"/>
  <c r="I39" i="7"/>
  <c r="J39" i="7" s="1"/>
  <c r="I40" i="7"/>
  <c r="J40" i="7" s="1"/>
  <c r="I45" i="7"/>
  <c r="J45" i="7" s="1"/>
  <c r="I53" i="7"/>
  <c r="J53" i="7" s="1"/>
  <c r="I55" i="7"/>
  <c r="J55" i="7" s="1"/>
  <c r="I57" i="7"/>
  <c r="J57" i="7" s="1"/>
  <c r="C2" i="7"/>
  <c r="N40" i="7"/>
  <c r="N36" i="7"/>
  <c r="W10" i="4"/>
  <c r="T10" i="4"/>
  <c r="J12" i="7" l="1"/>
  <c r="N28" i="6" s="1"/>
  <c r="L28" i="6"/>
  <c r="G3" i="7"/>
  <c r="I29" i="6"/>
  <c r="K29" i="6"/>
  <c r="N29" i="6" l="1"/>
  <c r="M28" i="6"/>
  <c r="M29" i="6" s="1"/>
  <c r="L29" i="6"/>
  <c r="J29" i="6"/>
  <c r="P6" i="9"/>
  <c r="H28" i="6" s="1"/>
  <c r="O28" i="6" l="1"/>
  <c r="G13" i="3"/>
  <c r="H13" i="3"/>
  <c r="I13" i="3"/>
  <c r="J13" i="3"/>
  <c r="AR13" i="3"/>
  <c r="D13" i="3"/>
  <c r="E13" i="3"/>
  <c r="F13" i="3"/>
  <c r="C13" i="3"/>
  <c r="D11" i="3"/>
  <c r="E11" i="3"/>
  <c r="F11" i="3"/>
  <c r="J14" i="1"/>
  <c r="O8" i="3"/>
  <c r="AR15" i="3" l="1"/>
  <c r="C10" i="3"/>
  <c r="D10" i="3"/>
  <c r="E10" i="3"/>
  <c r="F10" i="3"/>
  <c r="G10" i="3"/>
  <c r="H10" i="3"/>
  <c r="I10" i="3"/>
  <c r="J10" i="3"/>
  <c r="C11" i="3"/>
  <c r="G11" i="3"/>
  <c r="H11" i="3"/>
  <c r="I11" i="3"/>
  <c r="J11" i="3"/>
  <c r="C14" i="3"/>
  <c r="D14" i="3"/>
  <c r="E14" i="3"/>
  <c r="F14" i="3"/>
  <c r="G14" i="3"/>
  <c r="H14" i="3"/>
  <c r="J14" i="3"/>
  <c r="C15" i="3"/>
  <c r="D15" i="3"/>
  <c r="E15" i="3"/>
  <c r="F15" i="3"/>
  <c r="G15" i="3"/>
  <c r="H15" i="3"/>
  <c r="I15" i="3"/>
  <c r="J15" i="3"/>
  <c r="C16" i="3"/>
  <c r="D16" i="3"/>
  <c r="E16" i="3"/>
  <c r="F16" i="3"/>
  <c r="G16" i="3"/>
  <c r="H16" i="3"/>
  <c r="I16" i="3"/>
  <c r="J16" i="3"/>
  <c r="C17" i="3"/>
  <c r="D17" i="3"/>
  <c r="E17" i="3"/>
  <c r="F17" i="3"/>
  <c r="G17" i="3"/>
  <c r="H17" i="3"/>
  <c r="I17" i="3"/>
  <c r="J17" i="3"/>
  <c r="C19" i="3"/>
  <c r="D19" i="3"/>
  <c r="E19" i="3"/>
  <c r="F19" i="3"/>
  <c r="G19" i="3"/>
  <c r="H19" i="3"/>
  <c r="C20" i="3"/>
  <c r="D20" i="3"/>
  <c r="E20" i="3"/>
  <c r="F20" i="3"/>
  <c r="G20" i="3"/>
  <c r="H20" i="3"/>
  <c r="D9" i="3"/>
  <c r="E9" i="3"/>
  <c r="F9" i="3"/>
  <c r="G9" i="3"/>
  <c r="H9" i="3"/>
  <c r="C9" i="3"/>
  <c r="N8" i="3"/>
  <c r="AR17" i="3"/>
  <c r="N17" i="3"/>
  <c r="N16" i="3"/>
  <c r="N15" i="3"/>
  <c r="X14" i="3"/>
  <c r="N6" i="1"/>
  <c r="M6" i="1"/>
  <c r="M12" i="1"/>
  <c r="M11" i="1"/>
  <c r="M10" i="1"/>
  <c r="M9" i="1"/>
  <c r="P12" i="1"/>
  <c r="P9" i="1"/>
  <c r="F6" i="1" l="1"/>
  <c r="F9" i="1"/>
  <c r="W9" i="1" l="1"/>
  <c r="H29" i="6" l="1"/>
  <c r="N8" i="6" l="1"/>
  <c r="J52" i="6" l="1"/>
  <c r="K54" i="6" s="1"/>
  <c r="J55" i="6" l="1"/>
  <c r="J56"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tc={84430F59-64D7-445E-98E8-5662C4A21ADA}</author>
  </authors>
  <commentList>
    <comment ref="C81" authorId="0" shapeId="0" xr:uid="{84430F59-64D7-445E-98E8-5662C4A21ADA}">
      <text>
        <t>[Threaded comment]
Your version of Excel allows you to read this threaded comment; however, any edits to it will get removed if the file is opened in a newer version of Excel. Learn more: https://go.microsoft.com/fwlink/?linkid=870924
Comment:
    check why recycling is not updating in the EOL graph</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tc={321A4D09-5F07-4D70-B900-01D7103B9ECC}</author>
    <author>tc={2261449E-DBD8-48FE-81F0-CDC38FC116B7}</author>
  </authors>
  <commentList>
    <comment ref="T45" authorId="0" shapeId="0" xr:uid="{321A4D09-5F07-4D70-B900-01D7103B9ECC}">
      <text>
        <t>[Threaded comment]
Your version of Excel allows you to read this threaded comment; however, any edits to it will get removed if the file is opened in a newer version of Excel. Learn more: https://go.microsoft.com/fwlink/?linkid=870924
Comment:
    double check why there is energy export with flare?</t>
      </text>
    </comment>
    <comment ref="S55" authorId="1" shapeId="0" xr:uid="{2261449E-DBD8-48FE-81F0-CDC38FC116B7}">
      <text>
        <t>[Threaded comment]
Your version of Excel allows you to read this threaded comment; however, any edits to it will get removed if the file is opened in a newer version of Excel. Learn more: https://go.microsoft.com/fwlink/?linkid=870924
Comment:
    from the epd - 853.66 CO2e/450.18 kg ODW = emissions from biogenic carbon in wood going into atmosphere</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<sst xmlns="http://schemas.openxmlformats.org/spreadsheetml/2006/main" count="1300" uniqueCount="440">
  <si>
    <t>Carbon</t>
  </si>
  <si>
    <t>Source</t>
  </si>
  <si>
    <t>Tally</t>
  </si>
  <si>
    <t>EPD</t>
  </si>
  <si>
    <t>Tally w/o BC</t>
  </si>
  <si>
    <t>Secondary Info</t>
  </si>
  <si>
    <t>with biogenic carbon</t>
  </si>
  <si>
    <t>w/o biogenic carbon</t>
  </si>
  <si>
    <t xml:space="preserve"> wbcV1</t>
  </si>
  <si>
    <t xml:space="preserve"> wbcV2</t>
  </si>
  <si>
    <t>bc not reported</t>
  </si>
  <si>
    <t>Reference</t>
  </si>
  <si>
    <t>AWC Wood EPD 2020</t>
  </si>
  <si>
    <t>AWC wood EPD 2013</t>
  </si>
  <si>
    <t>AWC Wood EPD 2013</t>
  </si>
  <si>
    <t>AWC Wood EPD 2013 wBCv2</t>
  </si>
  <si>
    <t>product</t>
  </si>
  <si>
    <t>CLT</t>
  </si>
  <si>
    <t>CLT - KLH EPD - 320mm</t>
  </si>
  <si>
    <t>CLT - KLH EPD - 57mm</t>
  </si>
  <si>
    <t>CLT - EGO - 60-225MM</t>
  </si>
  <si>
    <t>CLT - NORDIC X-LAM</t>
  </si>
  <si>
    <t>CLT - ARTUSO EPD</t>
  </si>
  <si>
    <t>Glulam Industry Wide EPD</t>
  </si>
  <si>
    <t>LSL/OSL</t>
  </si>
  <si>
    <t>LVL</t>
  </si>
  <si>
    <t>PSL</t>
  </si>
  <si>
    <t>heavy timber</t>
  </si>
  <si>
    <t>wood framing</t>
  </si>
  <si>
    <t>Structurelam EPD CLT</t>
  </si>
  <si>
    <t>biogenic flows v1</t>
  </si>
  <si>
    <t>description</t>
  </si>
  <si>
    <t>Cross-laminated timber beams inclusive of adhesive with user-specified finish (if any)</t>
  </si>
  <si>
    <t>CLT - KLH EPD</t>
  </si>
  <si>
    <t>Laminated strand lumber and oriented strand lumber stock inclusive of factory-applied adhesive and sealer with user-specified finish (if any)</t>
  </si>
  <si>
    <t>Parallel strand lumber beams, columns, and headers with user-specified finish (if any)</t>
  </si>
  <si>
    <t>Heavy timber framing. Entry applicable for rectangular solid wood framing members that are 5" nominal (114 mm actual) and larger in both dimensions.</t>
  </si>
  <si>
    <t>Kiln-dried wood framing member for stud wall construction. User to choose from a list of standard stud sections.</t>
  </si>
  <si>
    <t>Roundwood Inputs</t>
  </si>
  <si>
    <t>C4-5 BC Emissions</t>
  </si>
  <si>
    <t>C4-5 - End of Life</t>
  </si>
  <si>
    <t>Maintenance and Replacement</t>
  </si>
  <si>
    <t>D - Module D</t>
  </si>
  <si>
    <t>BC in Product</t>
  </si>
  <si>
    <t>A4 - Transportation</t>
  </si>
  <si>
    <t>A1-3 - Product total</t>
  </si>
  <si>
    <t>A1</t>
  </si>
  <si>
    <t>A2</t>
  </si>
  <si>
    <t>A3</t>
  </si>
  <si>
    <t>Biogenic Carbon in Product</t>
  </si>
  <si>
    <t>net BC @ 100 yrs</t>
  </si>
  <si>
    <t>Factor</t>
  </si>
  <si>
    <t>EPD info Species/Regional Split</t>
  </si>
  <si>
    <t>Glulam</t>
  </si>
  <si>
    <t>Glulam Industry Wide EPD wBCv1</t>
  </si>
  <si>
    <t>Glulam Industry Wide EPD wBCv2</t>
  </si>
  <si>
    <t>Architectural-grade structural glue-laminated timber, composed of softwood which has been end-joined, laminated, and planed. Entry inclusive of factory-applied sealer.</t>
  </si>
  <si>
    <t>End of Life</t>
  </si>
  <si>
    <t>Module D</t>
  </si>
  <si>
    <t>Product total</t>
  </si>
  <si>
    <t>160 kg CO2 eq</t>
  </si>
  <si>
    <t>na</t>
  </si>
  <si>
    <t>103 kg CO2 eq</t>
  </si>
  <si>
    <t>16.8 kg CO2 eq</t>
  </si>
  <si>
    <t>40.4 kg CO2 eq</t>
  </si>
  <si>
    <t>Transportation</t>
  </si>
  <si>
    <t>Glulam, Softwood</t>
  </si>
  <si>
    <t>Glulam, Hardwood pr Cypress Pine</t>
  </si>
  <si>
    <t>DTL</t>
  </si>
  <si>
    <t>Data Source</t>
  </si>
  <si>
    <t>Industry-Wide EPD</t>
  </si>
  <si>
    <t>Supplier EPD</t>
  </si>
  <si>
    <t>US - Industry-Wide EPD</t>
  </si>
  <si>
    <t>US - Supplier EPD</t>
  </si>
  <si>
    <t>US - Regional EPD - PNW</t>
  </si>
  <si>
    <t>US - Regional EPD - SE</t>
  </si>
  <si>
    <t>Source A1-3 - Product total</t>
  </si>
  <si>
    <t>AWC/CWC North American Glued Laminated Timbers 2013</t>
  </si>
  <si>
    <t>AWC/CWC North American Glued Laminated Timbers 2020</t>
  </si>
  <si>
    <t>Test - Structurelam EPD 2020</t>
  </si>
  <si>
    <t>Corrim Report LCA of PNW Glued Laminated Timbers 2017</t>
  </si>
  <si>
    <t>Corrim Report: LCA For the Production of Southeast Glued Laminated Timbers 2017</t>
  </si>
  <si>
    <t>Biogenic Carbon Accounting Method</t>
  </si>
  <si>
    <t>Tally w/Biogenic Carbon</t>
  </si>
  <si>
    <t>Tally w/o Biogenic Carbon</t>
  </si>
  <si>
    <t>EPD v1 - Biogenic Carbon Net Neutral</t>
  </si>
  <si>
    <t>EPD v2 - w/Long Term Biogenic Carbon Sequestration</t>
  </si>
  <si>
    <t>EPD biogenic carbon not reported</t>
  </si>
  <si>
    <t>Not Reported</t>
  </si>
  <si>
    <t>C4-5 End of Life</t>
  </si>
  <si>
    <t>Tally End of Life</t>
  </si>
  <si>
    <t>Module D Source</t>
  </si>
  <si>
    <t>AWC - verify EPD date</t>
  </si>
  <si>
    <t>Austrialia glulam 2017</t>
  </si>
  <si>
    <t>Quebec glulam  2018</t>
  </si>
  <si>
    <t>Dowelam 2020</t>
  </si>
  <si>
    <t>Conversion to M3 of Roundwood Inputs</t>
  </si>
  <si>
    <t>C4-5 Biogenic Carbon Emissions from Product</t>
  </si>
  <si>
    <t>C4-5 - End of Life Fossil Emissions</t>
  </si>
  <si>
    <t>B - Maintenance and Replacement</t>
  </si>
  <si>
    <t>? -0.269</t>
  </si>
  <si>
    <t>?0</t>
  </si>
  <si>
    <t>A1 - Biogenic Carbon in Product</t>
  </si>
  <si>
    <t>net biogenic carbon @ 100 yrs</t>
  </si>
  <si>
    <t>Create a dynamic dependent drop down list in Excel an easy way (ablebits.com)</t>
  </si>
  <si>
    <t>UPstream is provided to the user “as is” and with all faults and defects and without warranty of any kind. To the maximum extent permitted under applicable law, ZGF expressly disclaims all warranties whether express, implied, statutory or otherwise, with respect to the Tool, including all implied warranties for merchantability, fitness for a particular purpose, title and non-infringement, and warranties that may arise out of course of dealing, course of performance, usage or trade practice. ZGF provides no warranty or undertaking, and makes no representation of any kind that the Tool or the data resulting from its use will meet the user’s requirements, achieve any intended results, be compatible or work with any other software, applications, systems or services, operate without interruption, meet any performance or reliability standards or be error free or that any errors or defects can or will be corrected. The user releases any and all claims, suits or actions against ZGF and its partners, principals, officers, employees or agents arising out of or resulting from the user’s use of the Tool. 
www.zgf.com</t>
  </si>
  <si>
    <t>Created in collaboration with the Applied Research Consortium (ARC) program of the University of Washington.              arc.be.uw.edu</t>
  </si>
  <si>
    <t>UpStream is a wood product prototype life cycle calculator powered by Tally version 2020.06.09.01. 
choosetally.com</t>
  </si>
  <si>
    <t>`</t>
  </si>
  <si>
    <t>Updates</t>
  </si>
  <si>
    <t>12/14/2020 - Alpha Version 1.0 (av1.0_12142020)</t>
  </si>
  <si>
    <t>08/09/2021 - Public Beta Version 1.0 (pbv1.0_08062021)</t>
  </si>
  <si>
    <t xml:space="preserve">The UpStream Forestry &amp; LCA Tool is designed to advance three different aspects of wood life cycle analysis:
1.	Integration of carbon impacts from forest management into cradle-to-grave life cycle analysis of wood products in buildings. 
2.	Ability to compare how different tools and data sources calculate biogenic carbon throughout different live cycle analysis modules and scope/boundary interpretations ---- especially end of life.
3.	Capability to define custom end of life distributions scenarios across different LCA scope and boundary interpretations from a variety of tools and data sources.
The tool pulls data and outputs from Environmental Product Declarations (EPDs) and Tally (version 2020.06.09.01) to create ISO 21930:2017-compliant cradle-to-gate or cradle-to-grave analyses with a variety of different biogenic carbon assumptions around storage and end of life (Table 1, below).  To create more customizable end of life scenarios, UpStream pulls data from Tally’s mix of end of life sources or EPA WARM (version 15). In the current Beta 1.0 version of the tool, forest factors are included as a blank input field in kilograms of CO2 per meters cubed output of roundwood.  This allows the user to input custom factors from any source as a proof of concept while the UpStream development team evaluates existing forest factor research by Ecotrust and forest certification programs.  It’s important to note that when including upstream forest carbon impacts, we step out of the bounds of the ISO 21930:2017 standards.  Thus, this information is reported in an A0 module (not included in net calculation of product) so the impact can be separately accessed until rules and standards formally define how to both include forest carbon and determine where to report it.  
 </t>
  </si>
  <si>
    <t>Table 1 - UPStream Scope Table: Life Cycle Stages as Defined by EN 15978</t>
  </si>
  <si>
    <t>Inputs - Scenario 1</t>
  </si>
  <si>
    <t>Results</t>
  </si>
  <si>
    <t>Net GWP (kgCO2e)</t>
  </si>
  <si>
    <t>Green = user input</t>
  </si>
  <si>
    <t>Blue - calculated value</t>
  </si>
  <si>
    <t>1. Define Product Information</t>
  </si>
  <si>
    <t>What type of product would you like to analyze?</t>
  </si>
  <si>
    <t xml:space="preserve">What is the net installed volume of product?  </t>
  </si>
  <si>
    <t>Choose Volume units:</t>
  </si>
  <si>
    <t>Input Volume (net installed):</t>
  </si>
  <si>
    <t>Final Volume Converted to Meters Cubed:</t>
  </si>
  <si>
    <r>
      <t xml:space="preserve">2. Compare to a Baseline Case
</t>
    </r>
    <r>
      <rPr>
        <b/>
        <i/>
        <sz val="18"/>
        <color theme="0"/>
        <rFont val="Calibri"/>
        <family val="2"/>
        <scheme val="minor"/>
      </rPr>
      <t>Add Baseline Data for Comparison</t>
    </r>
  </si>
  <si>
    <t xml:space="preserve"> </t>
  </si>
  <si>
    <t>A0 Forest Factors-not incl. in net</t>
  </si>
  <si>
    <t>A1-A3 Product Total</t>
  </si>
  <si>
    <t>A1 - A3 Biogenic Carbon In Product</t>
  </si>
  <si>
    <t>A4 Transportation</t>
  </si>
  <si>
    <t>C2-4 Biogenic Emissions From Product</t>
  </si>
  <si>
    <t>C2-4 Non Biogenic-Emissions</t>
  </si>
  <si>
    <t>Net</t>
  </si>
  <si>
    <t>Would you like to compare your analysis to a baseline case? (can be data from an external tool or from UpStream).</t>
  </si>
  <si>
    <t>GWP (kgCO2e)</t>
  </si>
  <si>
    <t>yes</t>
  </si>
  <si>
    <t>NA</t>
  </si>
  <si>
    <t>Input total GWP for the baseline case:</t>
  </si>
  <si>
    <t>kgCO2e</t>
  </si>
  <si>
    <t>For your wood scenario, enter impacts from non wood elements (like steel connections, hybrid steel structures, etc.) to be added to GWP totals for comparison.</t>
  </si>
  <si>
    <r>
      <t xml:space="preserve">3. Calculate Modules A1-A3
</t>
    </r>
    <r>
      <rPr>
        <b/>
        <i/>
        <sz val="18"/>
        <color theme="0"/>
        <rFont val="Calibri"/>
        <family val="2"/>
        <scheme val="minor"/>
      </rPr>
      <t>Product Stage</t>
    </r>
  </si>
  <si>
    <t>Would you like to include a modules A1-A3 in your analysis ?</t>
  </si>
  <si>
    <t>Choose the Type of EPD for Analysis:</t>
  </si>
  <si>
    <t>Glulam US - Industry-Wide EPD</t>
  </si>
  <si>
    <t>Choose the Specific EPD for Analysis:</t>
  </si>
  <si>
    <t>Include Biogenic Carbon Storage in the Product?</t>
  </si>
  <si>
    <r>
      <t xml:space="preserve">4. Calculate Modules A4
</t>
    </r>
    <r>
      <rPr>
        <b/>
        <i/>
        <sz val="18"/>
        <color theme="0"/>
        <rFont val="Calibri"/>
        <family val="2"/>
        <scheme val="minor"/>
      </rPr>
      <t>Transportation</t>
    </r>
  </si>
  <si>
    <t>Baseline</t>
  </si>
  <si>
    <t>Scenario 1</t>
  </si>
  <si>
    <t>Would you like to go beyond cradle-to-gate analysis and include A4 Transportation as part of a cradle to grave analysis?</t>
  </si>
  <si>
    <t>Wood kgCO2e</t>
  </si>
  <si>
    <t>Non Wood kgCOe</t>
  </si>
  <si>
    <t>Net kgCO2e</t>
  </si>
  <si>
    <t>Savings (kgCO2e)</t>
  </si>
  <si>
    <t>Use Default Values (select if you don't know transportation distances yet)</t>
  </si>
  <si>
    <t>Savings %</t>
  </si>
  <si>
    <t>no</t>
  </si>
  <si>
    <t>Input Distance by Transportation Type in miles (from Fabricator to project site)</t>
  </si>
  <si>
    <t>by truck</t>
  </si>
  <si>
    <t>miles</t>
  </si>
  <si>
    <t>by barge</t>
  </si>
  <si>
    <t>by container ship</t>
  </si>
  <si>
    <t>by rail</t>
  </si>
  <si>
    <r>
      <t xml:space="preserve">5. Calculate Modules C2-4
</t>
    </r>
    <r>
      <rPr>
        <b/>
        <i/>
        <sz val="18"/>
        <color theme="0"/>
        <rFont val="Calibri"/>
        <family val="2"/>
        <scheme val="minor"/>
      </rPr>
      <t>End of Life (fossil and biogenic emissions)</t>
    </r>
  </si>
  <si>
    <t>Would you like to go beyond cradle-to-gate analysis and include C2-4 End of Life (fossil and biogenic emissions) as part of a cradle to grave analysis?</t>
  </si>
  <si>
    <t>End of Life Data Source</t>
  </si>
  <si>
    <t>Pick a Custom Data Source</t>
  </si>
  <si>
    <t>Define the Distribution of the Wood Package's End of Life for each type of End of Life Scenario</t>
  </si>
  <si>
    <t>Scenario</t>
  </si>
  <si>
    <t>% of Wood Package Volume</t>
  </si>
  <si>
    <t>Volume (meters cubed)</t>
  </si>
  <si>
    <t>landfill with landfil gas energy recovery</t>
  </si>
  <si>
    <t>landfill with flare</t>
  </si>
  <si>
    <t>incineration</t>
  </si>
  <si>
    <t>recycling</t>
  </si>
  <si>
    <r>
      <t xml:space="preserve">6. Calculate Module D
</t>
    </r>
    <r>
      <rPr>
        <b/>
        <i/>
        <sz val="18"/>
        <color theme="0"/>
        <rFont val="Calibri"/>
        <family val="2"/>
        <scheme val="minor"/>
      </rPr>
      <t>Benefits Outside of Boundary</t>
    </r>
  </si>
  <si>
    <t>Would you like to go beyond cradle-to-gate analysis and include Module D (benefits outside of boundary)?</t>
  </si>
  <si>
    <r>
      <t xml:space="preserve">7. Calculate Module A0
</t>
    </r>
    <r>
      <rPr>
        <b/>
        <i/>
        <sz val="18"/>
        <color theme="0"/>
        <rFont val="Calibri"/>
        <family val="2"/>
        <scheme val="minor"/>
      </rPr>
      <t>Impacts from Forestry</t>
    </r>
  </si>
  <si>
    <t>Would you like to go beyond cradle-to-gate AND cradle-to-grave ISO-approved LCA methodologies and include carbon impacts at the forest in your LCA analysis?</t>
  </si>
  <si>
    <t>Choose your forestry factor data source:</t>
  </si>
  <si>
    <t>Custom</t>
  </si>
  <si>
    <t>Input Custom Factor (kgCO2 per meters cubed of industrial roundwood)</t>
  </si>
  <si>
    <t>kgCO2/m3</t>
  </si>
  <si>
    <r>
      <t xml:space="preserve">7. Calculate Uncertainty Factor
</t>
    </r>
    <r>
      <rPr>
        <b/>
        <i/>
        <sz val="18"/>
        <color theme="0"/>
        <rFont val="Calibri"/>
        <family val="2"/>
        <scheme val="minor"/>
      </rPr>
      <t>Add Factor to Net GWP</t>
    </r>
  </si>
  <si>
    <t>Some LCA programs add 'uncertainty' factors to their overall GWP values to represent the variability within EPDs based on their type.  If you'd like to add an uncertainty factor based on any external reference, input it below as a % of the net calculated GWP</t>
  </si>
  <si>
    <t>Would you like to add an uncertainty factor?</t>
  </si>
  <si>
    <t xml:space="preserve">Enter uncertainty factor as a % of A1-3 to add to the net GWP. </t>
  </si>
  <si>
    <t>For instance, a 20% input would be (.2)*(A1-A3 Total GWP))+(NET GWP from All Modules)</t>
  </si>
  <si>
    <t>A1-A4</t>
  </si>
  <si>
    <t>A0</t>
  </si>
  <si>
    <t>Product Type Unique Filter</t>
  </si>
  <si>
    <t>EPD Type</t>
  </si>
  <si>
    <t>EPD Type Unique Filter</t>
  </si>
  <si>
    <t>EPD Source</t>
  </si>
  <si>
    <t>EPD Source Unique Filter</t>
  </si>
  <si>
    <t>Biogenic Carbon Accounting Method Unique Filter</t>
  </si>
  <si>
    <t>C4-5 End of Life Unique Filter</t>
  </si>
  <si>
    <t>Version</t>
  </si>
  <si>
    <t>Version Unique Filter</t>
  </si>
  <si>
    <t>A1-A3 Key</t>
  </si>
  <si>
    <t>A1 - Biogenic Carbon in Product Key</t>
  </si>
  <si>
    <t>C2-4 - Biogenic Carbon Emissions from Product</t>
  </si>
  <si>
    <t>C2-4 Key and Module D Sub-Key</t>
  </si>
  <si>
    <t>C2-4 Key and Module D Key</t>
  </si>
  <si>
    <t>C2-4 End of Life Non-Biogenic Emissions</t>
  </si>
  <si>
    <t>Mass</t>
  </si>
  <si>
    <t>Include Biogenic Carbon?</t>
  </si>
  <si>
    <t>Biogenic Carbon Accounting Method Sub Key</t>
  </si>
  <si>
    <t>A1-3 Vlookup Key</t>
  </si>
  <si>
    <t>A1 - Biogenic Carbon in Product Lookup Key</t>
  </si>
  <si>
    <t>C2-4 End of Life and Module D Source</t>
  </si>
  <si>
    <t>C2-4 Vlookup Key</t>
  </si>
  <si>
    <t>Module D Vlookup Key</t>
  </si>
  <si>
    <t>C2-4 Biogenic Carbon Emissions from Product</t>
  </si>
  <si>
    <t>C2-4 - End of Life Fossil Emissions</t>
  </si>
  <si>
    <t>A1 -A3 Biogenic Carbon in Product</t>
  </si>
  <si>
    <t>CLT Industry-Wide EPD</t>
  </si>
  <si>
    <t>Tally's Glulam Proxy (AWC/CWC North American Glued Laminated Timbers 2013)</t>
  </si>
  <si>
    <t>CLT Supplier EPD</t>
  </si>
  <si>
    <t>KLH EPD 2012 (57mm thick)</t>
  </si>
  <si>
    <t>KLH EPD 2012 (320 mm thick)</t>
  </si>
  <si>
    <t>Structurlam - Crosslam CLT EPD for Cross Laminated Timber produced by Structurlam in Okanagan Falls, BC 2020</t>
  </si>
  <si>
    <t>Nordic X-Lam (CLT) Environmental Product Declaration 2018</t>
  </si>
  <si>
    <t>Tally - AWC/CWC North American Glued Laminated Timbers 2013</t>
  </si>
  <si>
    <t>Glulam US - Regional EPD - PNW</t>
  </si>
  <si>
    <t>Glulam US - Regional EPD - SE</t>
  </si>
  <si>
    <t>Glulam CA - Industry Wide</t>
  </si>
  <si>
    <t>Athena Sustainable Materials Insitute - A Cradle-to-Gate Life Cycle Assessment
of Canadian Glulam (2019)</t>
  </si>
  <si>
    <t>LSL/OSL Industry-Wide EPD</t>
  </si>
  <si>
    <t>Tally's OSB Proxy (Oriented strand board CORRIM 2011)</t>
  </si>
  <si>
    <t>Oriented strand board CORRIM 2011</t>
  </si>
  <si>
    <t>LVL Industry-Wide EPD</t>
  </si>
  <si>
    <t>Tally - AWC/CWC North American Laminated veneer Lumber 2013</t>
  </si>
  <si>
    <t xml:space="preserve">Laminated veneer lumber 2013  </t>
  </si>
  <si>
    <t>AWC/CWC Laminated Veneer Lumber 2020</t>
  </si>
  <si>
    <t>PSL Industry-Wide EPD</t>
  </si>
  <si>
    <t>Tally's LVL Proxy (AWC/CWC North American Laminated veneer Lumber 2013  )</t>
  </si>
  <si>
    <t>heavy timber Industry-Wide EPD</t>
  </si>
  <si>
    <t>Tally - US: Dry rough lumber, at kiln, PNW and SE USLCI/PE (2009)</t>
  </si>
  <si>
    <t>US Dry rough lumber, at kiln,  PNW USLCI/PE 2009  US Dry rough lumber, at kiln, US SE 2009</t>
  </si>
  <si>
    <t>wood framing Industry-Wide EPD</t>
  </si>
  <si>
    <t>Tally - AWC/CWC North American Softwood lumber 2013</t>
  </si>
  <si>
    <t>Softwood lumber 2013</t>
  </si>
  <si>
    <t>AWC/CWC North American Softwood lumber 2020</t>
  </si>
  <si>
    <t>UPStream Scope Table: Life Cycle Stages as Defined by EN 15978</t>
  </si>
  <si>
    <t>Stage</t>
  </si>
  <si>
    <t>Forest</t>
  </si>
  <si>
    <t>Product</t>
  </si>
  <si>
    <t>Construction</t>
  </si>
  <si>
    <t>Use</t>
  </si>
  <si>
    <t>Beyond Boundary</t>
  </si>
  <si>
    <t>Module</t>
  </si>
  <si>
    <t>A4</t>
  </si>
  <si>
    <t>A5</t>
  </si>
  <si>
    <t>B1</t>
  </si>
  <si>
    <t>B2</t>
  </si>
  <si>
    <t>B3</t>
  </si>
  <si>
    <t>B4</t>
  </si>
  <si>
    <t>B5</t>
  </si>
  <si>
    <t>B6</t>
  </si>
  <si>
    <t>B7</t>
  </si>
  <si>
    <t>C1</t>
  </si>
  <si>
    <t>C2</t>
  </si>
  <si>
    <t>C3</t>
  </si>
  <si>
    <t>C4</t>
  </si>
  <si>
    <t>D</t>
  </si>
  <si>
    <t>Description</t>
  </si>
  <si>
    <t>Carbon Impacts of Forest Management</t>
  </si>
  <si>
    <t>Raw Material Supply</t>
  </si>
  <si>
    <t>Transport</t>
  </si>
  <si>
    <t>Manufacturing</t>
  </si>
  <si>
    <t>Construction Installation Process</t>
  </si>
  <si>
    <t>Use Stage</t>
  </si>
  <si>
    <t>Maintenance</t>
  </si>
  <si>
    <t>Repair</t>
  </si>
  <si>
    <t>Replacement</t>
  </si>
  <si>
    <t>Refurbishment</t>
  </si>
  <si>
    <t>Operational Energy Use</t>
  </si>
  <si>
    <t>Operational Water Use</t>
  </si>
  <si>
    <t>De-construction/Demolition</t>
  </si>
  <si>
    <t>Waste Processing</t>
  </si>
  <si>
    <t>Disposal</t>
  </si>
  <si>
    <t>Reuse, Recovery, Recycling potential</t>
  </si>
  <si>
    <t>Current Data Streams</t>
  </si>
  <si>
    <t>Currently being evaluated: Ecotrust Forest Factors</t>
  </si>
  <si>
    <t>Industry-wide EPDs, 
supplier-specific EPDs, and Corrim background LCA studies for regional scenarios</t>
  </si>
  <si>
    <t>Tally (default and custom range scenarios)</t>
  </si>
  <si>
    <t>EPDs (for biogenic downstream emissions accouting only)</t>
  </si>
  <si>
    <t>ND (Not Declared) in Upstream Scope</t>
  </si>
  <si>
    <t>Tally, EPA WARM</t>
  </si>
  <si>
    <t>Tally, EPDs (for biogenic downstream emissions accounting), EPA WARM</t>
  </si>
  <si>
    <t>Custom End of Life Key</t>
  </si>
  <si>
    <t>landfill</t>
  </si>
  <si>
    <t>landfill with gas energy recovery</t>
  </si>
  <si>
    <t>Incineration</t>
  </si>
  <si>
    <t>Recycling</t>
  </si>
  <si>
    <t>Total</t>
  </si>
  <si>
    <t>mass - kg</t>
  </si>
  <si>
    <t>C2-4 Non-Biogenic Emissions</t>
  </si>
  <si>
    <t>C2-4 Biogenic Emissions</t>
  </si>
  <si>
    <t>EPA WARM - Landfill Calculations</t>
  </si>
  <si>
    <t>EPA WARM - Landfill - factors</t>
  </si>
  <si>
    <t>landfill - no LGR</t>
  </si>
  <si>
    <t>unit</t>
  </si>
  <si>
    <t>Landfill - No Landfill Gas Recovery</t>
  </si>
  <si>
    <t>Unit</t>
  </si>
  <si>
    <t>C2-4 - Non Biogenic Emissions</t>
  </si>
  <si>
    <t>C2-4 biogenic emissions</t>
  </si>
  <si>
    <t>landfill gas CO2 emissions</t>
  </si>
  <si>
    <t>kgCO2e/kgODW</t>
  </si>
  <si>
    <t>landfill gas CH4 emissions</t>
  </si>
  <si>
    <t>CO2 emissions from CH4 converted to CO2 through soil</t>
  </si>
  <si>
    <t>heavy equipment</t>
  </si>
  <si>
    <t>transport</t>
  </si>
  <si>
    <t>net</t>
  </si>
  <si>
    <t>EPA WARM - Landfill w Landfill Gas Energy Recovery Calculations</t>
  </si>
  <si>
    <t>EPA WARM - Landfill w Landfill Gas Energy Recovery -  factors</t>
  </si>
  <si>
    <t>landfill - with lfgr</t>
  </si>
  <si>
    <t>Landfill - w/Landfill Gas Recovery</t>
  </si>
  <si>
    <t>elec credit (CO2 fossil)</t>
  </si>
  <si>
    <t>exported elec credit (CO2 fossil)</t>
  </si>
  <si>
    <t>EPA WARM - Landfill with Flare - Calculations</t>
  </si>
  <si>
    <t>EPA WARM - Landfill with Flare - Factors</t>
  </si>
  <si>
    <t>Landfill - w/Flare</t>
  </si>
  <si>
    <t>CO2 emissions</t>
  </si>
  <si>
    <t>CH4 emissions</t>
  </si>
  <si>
    <t>thermal energy credit</t>
  </si>
  <si>
    <t>EPA WARM - Incineration - Calculations</t>
  </si>
  <si>
    <t>EPA WARM - Incineration - Factors</t>
  </si>
  <si>
    <t>process  (combustion)</t>
  </si>
  <si>
    <t>biogenic emissions from incineration</t>
  </si>
  <si>
    <t>elec credit (CH4 fossil)</t>
  </si>
  <si>
    <t>steam credit</t>
  </si>
  <si>
    <t>EPA WARM - Recycling - Calculations</t>
  </si>
  <si>
    <t>EPA WARM - Recycling - Factors</t>
  </si>
  <si>
    <t>reprocessing</t>
  </si>
  <si>
    <t>reprocessing and transportation</t>
  </si>
  <si>
    <t>avoided burden</t>
  </si>
  <si>
    <t>avoided transportation and production burden</t>
  </si>
  <si>
    <t>Tally - Landfill - Calculations</t>
  </si>
  <si>
    <t>Tally - Landfill - Factors</t>
  </si>
  <si>
    <t>100% landfill - Tally</t>
  </si>
  <si>
    <t>Tally - Incineration - Calculations</t>
  </si>
  <si>
    <t>Tally - Incineration - Factors</t>
  </si>
  <si>
    <t>100% Incineration</t>
  </si>
  <si>
    <t>100% Incineration - Tally</t>
  </si>
  <si>
    <t>steam energy credit</t>
  </si>
  <si>
    <t>Tally - Recycling - Calculations</t>
  </si>
  <si>
    <t>Tally - Recycling - Factors</t>
  </si>
  <si>
    <t>100% Recycling</t>
  </si>
  <si>
    <t>CO2 (fossil)</t>
  </si>
  <si>
    <t>CH4, biogenic</t>
  </si>
  <si>
    <t>CO2 (biogenic)</t>
  </si>
  <si>
    <t>CO2 (resource)</t>
  </si>
  <si>
    <t>Biogenic Carbon Toggle</t>
  </si>
  <si>
    <t>C3-4 Biogenic Carbon Emissions from Product (kgCO2/kg)</t>
  </si>
  <si>
    <t>on</t>
  </si>
  <si>
    <t>off</t>
  </si>
  <si>
    <t>glulam</t>
  </si>
  <si>
    <t>WOOD FRAMING</t>
  </si>
  <si>
    <t>EPD lookup</t>
  </si>
  <si>
    <t>Mass Factor kg/m3</t>
  </si>
  <si>
    <t>total mass</t>
  </si>
  <si>
    <t>default factor</t>
  </si>
  <si>
    <t>Transportation Type</t>
  </si>
  <si>
    <t>kgCO2e/km/kg</t>
  </si>
  <si>
    <t>transportation distance (miles)</t>
  </si>
  <si>
    <t>GWP (kgCO2e</t>
  </si>
  <si>
    <t>total</t>
  </si>
  <si>
    <t>default (by truck)</t>
  </si>
  <si>
    <t>mass/m3</t>
  </si>
  <si>
    <t>Default km</t>
  </si>
  <si>
    <t>Default m</t>
  </si>
  <si>
    <t>Default Type</t>
  </si>
  <si>
    <t>Final Calcs</t>
  </si>
  <si>
    <t>5th Percentile</t>
  </si>
  <si>
    <t>25th Percentile</t>
  </si>
  <si>
    <t>50th Percentile</t>
  </si>
  <si>
    <t>75th Percentile</t>
  </si>
  <si>
    <t>95th Percentile</t>
  </si>
  <si>
    <t>tCO2e/MBF</t>
  </si>
  <si>
    <t>state</t>
  </si>
  <si>
    <t>V1 Key</t>
  </si>
  <si>
    <t>Factor (median)</t>
  </si>
  <si>
    <t>Custom Key</t>
  </si>
  <si>
    <t>Calculation</t>
  </si>
  <si>
    <t>coming soon!</t>
  </si>
  <si>
    <t>Scenario A</t>
  </si>
  <si>
    <t>Scenario B</t>
  </si>
  <si>
    <t>V2 Key</t>
  </si>
  <si>
    <t>V3 Key</t>
  </si>
  <si>
    <t>10th Percentile</t>
  </si>
  <si>
    <t>30th Percentile</t>
  </si>
  <si>
    <t>70th Percentile</t>
  </si>
  <si>
    <t>90th Percentile</t>
  </si>
  <si>
    <t>Product Type</t>
  </si>
  <si>
    <t>Specific EPD</t>
  </si>
  <si>
    <t>EPD Reference</t>
  </si>
  <si>
    <t>Industry-wide</t>
  </si>
  <si>
    <t>Tally’s Glulam Proxy</t>
  </si>
  <si>
    <t>https://www.awc.org/pdf/greenbuilding/epd/AWC-EPD-Glulam-1307.pdf</t>
  </si>
  <si>
    <t>KLH EPD 2012 (57mm &amp; 320mm thick)</t>
  </si>
  <si>
    <t>http://www.clt.lt/failai/files/EPD%20according%20to%20ISO%2014025.pdf</t>
  </si>
  <si>
    <t>Structurlam, in Okanagan Falls, BC, 2020</t>
  </si>
  <si>
    <t>Structurlam-Environmental-Product-Declaration-Glulam.pdf</t>
  </si>
  <si>
    <t>Nordic X-lam, 2018</t>
  </si>
  <si>
    <t>https://www.nordic.ca/data/files/datasheet/file/EPD_Nordic_X-Lam.pdf</t>
  </si>
  <si>
    <t>AWC/CWC North American Glued Laminated Timber 2013</t>
  </si>
  <si>
    <t>Evironmental Product Declaration of North American Softwood Lumber (awc.org)</t>
  </si>
  <si>
    <t>AWC/CWC North American Glued Laminated Timber 2020</t>
  </si>
  <si>
    <t>North American Glued Laminated Timber – Environmental Product Declaration (awc.org)</t>
  </si>
  <si>
    <t>Tally- AWC/CWC North American Glued Laminated Timber 2013</t>
  </si>
  <si>
    <t>US- Regional EPD- PNW</t>
  </si>
  <si>
    <t>CORRIM Report LCA of PNW Glued Laminated Timber 2017</t>
  </si>
  <si>
    <t>https://corrim.org/wp-content/uploads/Module-G1-PNW-Glulam.pdf</t>
  </si>
  <si>
    <t>US- Regional EPD- SE</t>
  </si>
  <si>
    <t>CORRIM Report LCA of Southeast Glued Laminated Timber 2017</t>
  </si>
  <si>
    <t>C2G LCA of Glulam Timbers in SE (corrim.org)</t>
  </si>
  <si>
    <t>CA- Industry-wide</t>
  </si>
  <si>
    <t>Athena Sustainable Material Institute- A Cradle to Gate LCA of Canada Glulam 2019</t>
  </si>
  <si>
    <t>http://www.athenasmi.org/wp-content/uploads/2018/07/CtoG-LCA-of-Canadian-Glulam.pdf</t>
  </si>
  <si>
    <t>Tally OSB’s Proxy (OSB CORRIM 2011)</t>
  </si>
  <si>
    <t>North American Laminated Veneer Lumber – Environmental Product Declaration (awc.org)</t>
  </si>
  <si>
    <t>Tally- AWC/CWC Laminated Veneer Lumber 2013</t>
  </si>
  <si>
    <t>https://www.awc.org/pdf/greenbuilding/epd/AWC-EPD-LVL-1307.pdf</t>
  </si>
  <si>
    <t>Tally- LVL Proxy (AWC/CWC Laminated Veneer Lumber 2013)</t>
  </si>
  <si>
    <t>Heavy Timber</t>
  </si>
  <si>
    <t>Tally – US: Dry rough lumber, at kiln, PNW USLCI</t>
  </si>
  <si>
    <t>http://gabi-documentation-2021.gabi-software.com/xml-data/processes/09730248-3647-4d05-bac8-29d35de9219e.xml</t>
  </si>
  <si>
    <t>Tally – US: Dry rough lumber, at kiln, SE USLCI</t>
  </si>
  <si>
    <t>http://gabi-documentation-2021.gabi-software.com/xml-data/processes/bdd72752-09d1-44ad-a47b-e7b31fae976f.xml</t>
  </si>
  <si>
    <t>Wood Framing</t>
  </si>
  <si>
    <t>AWC/CWC North American Softwood Lumber 2020</t>
  </si>
  <si>
    <t>North American Softwood Lumber – Environmental Product Declaration (awc.org)</t>
  </si>
  <si>
    <t>Tally- AWC/CWC North American Softwood Lumber 2013</t>
  </si>
  <si>
    <t>default type</t>
  </si>
  <si>
    <t>Acknowledgements (check out UpStream's documentation for full ackwholedgements): Teri Thomson Randall and Dean Renée Cheng at the University of Washington, Todd Stine and Victoria Nichols at ZGF, David Diaz at Ecotrust, Raphael Sperry and Frances Yang at Arup, Roderick Bates at Kieran Timberlake, Steph Carlisle at the Carbon Leaderhsip Forum, Maggie Wildnauer at Sphera.</t>
  </si>
  <si>
    <t>Please contact Jacob Dunn at [upstream.forestrylca@gmail.com] for comments, questions, and pilot feedback.</t>
  </si>
  <si>
    <t>For UpStream's full documentation and step-by-step guidance, visit the following github site: https://github.com/UpStream-LCA/UpStreamForestryCarbonLCA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</si>
</sst>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0000"/>
    <numFmt numFmtId="165" formatCode="#,##0.000000"/>
    <numFmt numFmtId="166" formatCode="0.0"/>
    <numFmt numFmtId="167" formatCode="0.0%"/>
    <numFmt numFmtId="168" formatCode="0.000"/>
  </numFmts>
  <fonts count="3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b/>
      <sz val="22"/>
      <color theme="0"/>
      <name val="Calibri"/>
      <family val="2"/>
      <scheme val="minor"/>
    </font>
    <font>
      <b/>
      <sz val="12"/>
      <color theme="1"/>
      <name val="Calibri"/>
      <family val="2"/>
      <scheme val="minor"/>
    </font>
    <font>
      <b/>
      <i/>
      <sz val="18"/>
      <color theme="0"/>
      <name val="Calibri"/>
      <family val="2"/>
      <scheme val="minor"/>
    </font>
    <font>
      <sz val="28"/>
      <color theme="1"/>
      <name val="Calibri"/>
      <family val="2"/>
      <scheme val="minor"/>
    </font>
    <font>
      <i/>
      <sz val="11"/>
      <color theme="1"/>
      <name val="Calibri"/>
      <family val="2"/>
      <scheme val="minor"/>
    </font>
    <font>
      <b/>
      <sz val="22"/>
      <color theme="1"/>
      <name val="Calibri"/>
      <family val="2"/>
      <scheme val="minor"/>
    </font>
    <font>
      <sz val="28"/>
      <color theme="0"/>
      <name val="Calibri"/>
      <family val="2"/>
      <scheme val="minor"/>
    </font>
    <font>
      <sz val="11"/>
      <name val="Calibri"/>
      <family val="2"/>
      <scheme val="minor"/>
    </font>
    <font>
      <b/>
      <sz val="11"/>
      <color theme="1"/>
      <name val="Century Gothic"/>
      <family val="2"/>
    </font>
    <font>
      <b/>
      <sz val="9"/>
      <color theme="1"/>
      <name val="Century Gothic"/>
      <family val="2"/>
    </font>
    <font>
      <sz val="9"/>
      <color theme="1"/>
      <name val="Century Gothic"/>
      <family val="2"/>
    </font>
    <font>
      <sz val="8"/>
      <name val="Calibri"/>
      <family val="2"/>
      <scheme val="minor"/>
    </font>
    <font>
      <sz val="9"/>
      <color theme="1"/>
      <name val="Calibri"/>
      <family val="2"/>
      <scheme val="minor"/>
    </font>
    <font>
      <b/>
      <sz val="11"/>
      <color rgb="FF000000"/>
      <name val="Calibri"/>
      <family val="2"/>
      <scheme val="minor"/>
    </font>
    <font>
      <b/>
      <sz val="9"/>
      <color theme="1"/>
      <name val="Calibri"/>
      <family val="2"/>
      <scheme val="minor"/>
    </font>
    <font>
      <b/>
      <sz val="9"/>
      <color rgb="FFFF0000"/>
      <name val="Calibri"/>
      <family val="2"/>
      <scheme val="minor"/>
    </font>
    <font>
      <b/>
      <sz val="20"/>
      <color theme="1"/>
      <name val="Century Gothic"/>
      <family val="2"/>
    </font>
    <font>
      <i/>
      <sz val="11"/>
      <color rgb="FFC00000"/>
      <name val="Calibri"/>
      <family val="2"/>
      <scheme val="minor"/>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1" tint="0.34998626667073579"/>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theme="2" tint="-0.249977111117893"/>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theme="0" tint="-0.499984740745262"/>
        <bgColor indexed="64"/>
      </patternFill>
    </fill>
    <fill>
      <patternFill patternType="solid">
        <fgColor rgb="FF5CACC8"/>
        <bgColor indexed="64"/>
      </patternFill>
    </fill>
    <fill>
      <patternFill patternType="solid">
        <fgColor rgb="FFABD4E3"/>
        <bgColor indexed="64"/>
      </patternFill>
    </fill>
    <fill>
      <patternFill patternType="solid">
        <fgColor rgb="FFCEE6B0"/>
        <bgColor indexed="64"/>
      </patternFill>
    </fill>
  </fills>
  <borders count="7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medium">
        <color indexed="64"/>
      </right>
      <top/>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medium">
        <color indexed="64"/>
      </left>
      <right style="thin">
        <color theme="2" tint="-0.249977111117893"/>
      </right>
      <top style="medium">
        <color indexed="64"/>
      </top>
      <bottom style="thin">
        <color theme="2" tint="-0.249977111117893"/>
      </bottom>
      <diagonal/>
    </border>
    <border>
      <left style="thin">
        <color theme="2" tint="-0.249977111117893"/>
      </left>
      <right style="thin">
        <color theme="2" tint="-0.249977111117893"/>
      </right>
      <top style="medium">
        <color indexed="64"/>
      </top>
      <bottom style="thin">
        <color theme="2" tint="-0.249977111117893"/>
      </bottom>
      <diagonal/>
    </border>
    <border>
      <left style="thin">
        <color theme="2" tint="-0.249977111117893"/>
      </left>
      <right style="medium">
        <color indexed="64"/>
      </right>
      <top style="medium">
        <color indexed="64"/>
      </top>
      <bottom style="thin">
        <color theme="2" tint="-0.249977111117893"/>
      </bottom>
      <diagonal/>
    </border>
    <border>
      <left style="medium">
        <color indexed="64"/>
      </left>
      <right style="thin">
        <color theme="2" tint="-0.249977111117893"/>
      </right>
      <top style="thin">
        <color theme="2" tint="-0.249977111117893"/>
      </top>
      <bottom style="thin">
        <color theme="2" tint="-0.249977111117893"/>
      </bottom>
      <diagonal/>
    </border>
    <border>
      <left style="thin">
        <color theme="2" tint="-0.249977111117893"/>
      </left>
      <right style="medium">
        <color indexed="64"/>
      </right>
      <top style="thin">
        <color theme="2" tint="-0.249977111117893"/>
      </top>
      <bottom style="thin">
        <color theme="2" tint="-0.249977111117893"/>
      </bottom>
      <diagonal/>
    </border>
    <border>
      <left style="medium">
        <color indexed="64"/>
      </left>
      <right style="thin">
        <color theme="2" tint="-0.249977111117893"/>
      </right>
      <top style="thin">
        <color theme="2" tint="-0.249977111117893"/>
      </top>
      <bottom style="medium">
        <color indexed="64"/>
      </bottom>
      <diagonal/>
    </border>
    <border>
      <left style="thin">
        <color theme="2" tint="-0.249977111117893"/>
      </left>
      <right style="thin">
        <color theme="2" tint="-0.249977111117893"/>
      </right>
      <top style="thin">
        <color theme="2" tint="-0.249977111117893"/>
      </top>
      <bottom style="medium">
        <color indexed="64"/>
      </bottom>
      <diagonal/>
    </border>
    <border>
      <left style="thin">
        <color theme="2" tint="-0.249977111117893"/>
      </left>
      <right style="medium">
        <color indexed="64"/>
      </right>
      <top style="thin">
        <color theme="2" tint="-0.249977111117893"/>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ck">
        <color indexed="64"/>
      </left>
      <right style="thin">
        <color theme="0" tint="-0.249977111117893"/>
      </right>
      <top style="thick">
        <color indexed="64"/>
      </top>
      <bottom style="thin">
        <color theme="0" tint="-0.249977111117893"/>
      </bottom>
      <diagonal/>
    </border>
    <border>
      <left style="thin">
        <color theme="0" tint="-0.249977111117893"/>
      </left>
      <right style="thin">
        <color theme="0" tint="-0.249977111117893"/>
      </right>
      <top style="thick">
        <color indexed="64"/>
      </top>
      <bottom style="thin">
        <color theme="0" tint="-0.249977111117893"/>
      </bottom>
      <diagonal/>
    </border>
    <border>
      <left style="thin">
        <color theme="0" tint="-0.249977111117893"/>
      </left>
      <right style="thick">
        <color indexed="64"/>
      </right>
      <top style="thick">
        <color indexed="64"/>
      </top>
      <bottom style="thin">
        <color theme="0" tint="-0.249977111117893"/>
      </bottom>
      <diagonal/>
    </border>
    <border>
      <left style="thick">
        <color indexed="64"/>
      </left>
      <right style="thin">
        <color theme="0" tint="-0.249977111117893"/>
      </right>
      <top style="thin">
        <color theme="0" tint="-0.249977111117893"/>
      </top>
      <bottom style="thin">
        <color theme="0" tint="-0.249977111117893"/>
      </bottom>
      <diagonal/>
    </border>
    <border>
      <left style="thin">
        <color theme="0" tint="-0.249977111117893"/>
      </left>
      <right style="thick">
        <color indexed="64"/>
      </right>
      <top style="thin">
        <color theme="0" tint="-0.249977111117893"/>
      </top>
      <bottom style="thin">
        <color theme="0" tint="-0.249977111117893"/>
      </bottom>
      <diagonal/>
    </border>
    <border>
      <left style="thick">
        <color indexed="64"/>
      </left>
      <right style="thin">
        <color theme="0" tint="-0.249977111117893"/>
      </right>
      <top style="thin">
        <color theme="0" tint="-0.249977111117893"/>
      </top>
      <bottom style="thick">
        <color indexed="64"/>
      </bottom>
      <diagonal/>
    </border>
    <border>
      <left style="thin">
        <color theme="0" tint="-0.249977111117893"/>
      </left>
      <right style="thin">
        <color theme="0" tint="-0.249977111117893"/>
      </right>
      <top style="thin">
        <color theme="0" tint="-0.249977111117893"/>
      </top>
      <bottom style="thick">
        <color indexed="64"/>
      </bottom>
      <diagonal/>
    </border>
    <border>
      <left style="thin">
        <color theme="0" tint="-0.249977111117893"/>
      </left>
      <right style="thick">
        <color indexed="64"/>
      </right>
      <top style="thin">
        <color theme="0" tint="-0.249977111117893"/>
      </top>
      <bottom style="thick">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9" fontId="1" fillId="0" borderId="0" applyFont="0" applyFill="0" applyBorder="0" applyAlignment="0" applyProtection="0"/>
  </cellStyleXfs>
  <cellXfs count="451">
    <xf numFmtId="0" fontId="0" fillId="0" borderId="0" xfId="0"/>
    <xf numFmtId="0" fontId="0" fillId="0" borderId="0" xfId="0" applyNumberFormat="1" applyAlignment="1">
      <alignment horizontal="right" wrapText="1"/>
    </xf>
    <xf numFmtId="0" fontId="16" fillId="0" borderId="0" xfId="0" applyFont="1" applyAlignment="1">
      <alignment wrapText="1"/>
    </xf>
    <xf numFmtId="0" fontId="16" fillId="34" borderId="0" xfId="0" applyFont="1" applyFill="1"/>
    <xf numFmtId="0" fontId="0" fillId="34" borderId="0" xfId="0" applyFill="1"/>
    <xf numFmtId="0" fontId="0" fillId="33" borderId="0" xfId="0" applyFill="1"/>
    <xf numFmtId="0" fontId="0" fillId="34" borderId="0" xfId="0" applyFont="1" applyFill="1" applyAlignment="1">
      <alignment wrapText="1"/>
    </xf>
    <xf numFmtId="0" fontId="0" fillId="0" borderId="0" xfId="0" applyFont="1"/>
    <xf numFmtId="0" fontId="0" fillId="0" borderId="10" xfId="0" applyBorder="1"/>
    <xf numFmtId="0" fontId="0" fillId="0" borderId="0" xfId="0" applyFont="1" applyAlignment="1">
      <alignment wrapText="1"/>
    </xf>
    <xf numFmtId="0" fontId="0" fillId="34" borderId="0" xfId="0" applyNumberFormat="1" applyFill="1" applyAlignment="1">
      <alignment wrapText="1"/>
    </xf>
    <xf numFmtId="0" fontId="0" fillId="0" borderId="0" xfId="0" applyNumberFormat="1"/>
    <xf numFmtId="0" fontId="0" fillId="35" borderId="10" xfId="0" applyFill="1" applyBorder="1"/>
    <xf numFmtId="0" fontId="0" fillId="0" borderId="12" xfId="0" applyBorder="1"/>
    <xf numFmtId="0" fontId="0" fillId="0" borderId="13" xfId="0" applyBorder="1"/>
    <xf numFmtId="0" fontId="0" fillId="0" borderId="0" xfId="0"/>
    <xf numFmtId="0" fontId="0" fillId="0" borderId="0" xfId="0" applyAlignment="1">
      <alignment wrapText="1"/>
    </xf>
    <xf numFmtId="0" fontId="0" fillId="0" borderId="15" xfId="0" applyBorder="1"/>
    <xf numFmtId="0" fontId="0" fillId="34" borderId="14" xfId="0" applyFill="1" applyBorder="1"/>
    <xf numFmtId="0" fontId="0" fillId="34" borderId="10" xfId="0" applyFill="1" applyBorder="1"/>
    <xf numFmtId="0" fontId="0" fillId="0" borderId="14" xfId="0" applyBorder="1"/>
    <xf numFmtId="0" fontId="0" fillId="0" borderId="0" xfId="0"/>
    <xf numFmtId="0" fontId="18" fillId="0" borderId="0" xfId="0" applyFont="1"/>
    <xf numFmtId="0" fontId="0" fillId="0" borderId="22" xfId="0" applyFill="1" applyBorder="1"/>
    <xf numFmtId="0" fontId="0" fillId="36" borderId="12" xfId="0" applyFill="1" applyBorder="1"/>
    <xf numFmtId="0" fontId="0" fillId="36" borderId="13" xfId="0" applyFill="1" applyBorder="1"/>
    <xf numFmtId="0" fontId="0" fillId="36" borderId="0" xfId="0" applyFill="1"/>
    <xf numFmtId="0" fontId="0" fillId="36" borderId="11" xfId="0" applyFill="1" applyBorder="1"/>
    <xf numFmtId="0" fontId="0" fillId="36" borderId="17" xfId="0" applyFill="1" applyBorder="1"/>
    <xf numFmtId="0" fontId="0" fillId="36" borderId="10" xfId="0" applyFill="1" applyBorder="1"/>
    <xf numFmtId="0" fontId="19" fillId="0" borderId="0" xfId="42"/>
    <xf numFmtId="0" fontId="0" fillId="36" borderId="11" xfId="0" applyFill="1" applyBorder="1" applyAlignment="1">
      <alignment wrapText="1"/>
    </xf>
    <xf numFmtId="0" fontId="0" fillId="36" borderId="10" xfId="0" applyFill="1" applyBorder="1" applyAlignment="1">
      <alignment wrapText="1"/>
    </xf>
    <xf numFmtId="0" fontId="0" fillId="0" borderId="10" xfId="0" applyBorder="1" applyAlignment="1">
      <alignment wrapText="1"/>
    </xf>
    <xf numFmtId="0" fontId="0" fillId="0" borderId="20" xfId="0" applyBorder="1" applyAlignment="1">
      <alignment wrapText="1"/>
    </xf>
    <xf numFmtId="2" fontId="0" fillId="0" borderId="10" xfId="0" applyNumberFormat="1" applyBorder="1" applyAlignment="1">
      <alignment wrapText="1"/>
    </xf>
    <xf numFmtId="0" fontId="16" fillId="0" borderId="10" xfId="0" applyFont="1" applyBorder="1" applyAlignment="1">
      <alignment wrapText="1"/>
    </xf>
    <xf numFmtId="0" fontId="0" fillId="0" borderId="26" xfId="0" applyBorder="1"/>
    <xf numFmtId="0" fontId="0" fillId="0" borderId="0" xfId="0" applyBorder="1"/>
    <xf numFmtId="0" fontId="0" fillId="0" borderId="16" xfId="0" applyBorder="1"/>
    <xf numFmtId="0" fontId="0" fillId="0" borderId="30" xfId="0" applyBorder="1"/>
    <xf numFmtId="0" fontId="0" fillId="0" borderId="20" xfId="0" applyBorder="1"/>
    <xf numFmtId="0" fontId="0" fillId="0" borderId="21" xfId="0" applyBorder="1"/>
    <xf numFmtId="0" fontId="0" fillId="0" borderId="24" xfId="0" applyBorder="1"/>
    <xf numFmtId="1" fontId="0" fillId="0" borderId="0" xfId="0" applyNumberFormat="1"/>
    <xf numFmtId="0" fontId="0" fillId="36" borderId="27" xfId="0" applyFill="1" applyBorder="1" applyAlignment="1">
      <alignment wrapText="1"/>
    </xf>
    <xf numFmtId="0" fontId="0" fillId="36" borderId="31" xfId="0" applyFill="1" applyBorder="1" applyAlignment="1">
      <alignment wrapText="1"/>
    </xf>
    <xf numFmtId="0" fontId="0" fillId="0" borderId="10" xfId="0" applyFill="1" applyBorder="1" applyAlignment="1">
      <alignment wrapText="1"/>
    </xf>
    <xf numFmtId="0" fontId="0" fillId="0" borderId="0" xfId="0"/>
    <xf numFmtId="0" fontId="0" fillId="0" borderId="0" xfId="0" applyNumberFormat="1" applyAlignment="1">
      <alignment wrapText="1"/>
    </xf>
    <xf numFmtId="164" fontId="0" fillId="0" borderId="0" xfId="0" applyNumberFormat="1"/>
    <xf numFmtId="165" fontId="0" fillId="0" borderId="0" xfId="0" applyNumberFormat="1" applyAlignment="1">
      <alignment wrapText="1"/>
    </xf>
    <xf numFmtId="0" fontId="0" fillId="0" borderId="0" xfId="0"/>
    <xf numFmtId="0" fontId="0" fillId="0" borderId="0" xfId="0"/>
    <xf numFmtId="0" fontId="0" fillId="0" borderId="0" xfId="0"/>
    <xf numFmtId="0" fontId="0" fillId="0" borderId="0" xfId="0" applyAlignment="1">
      <alignment horizontal="left"/>
    </xf>
    <xf numFmtId="0" fontId="0" fillId="0" borderId="0" xfId="0" applyAlignment="1">
      <alignment wrapText="1"/>
    </xf>
    <xf numFmtId="4" fontId="0" fillId="0" borderId="0" xfId="0" applyNumberFormat="1" applyAlignment="1">
      <alignment wrapText="1"/>
    </xf>
    <xf numFmtId="0" fontId="16" fillId="0" borderId="0" xfId="0" applyFont="1"/>
    <xf numFmtId="0" fontId="23" fillId="0" borderId="0" xfId="0" applyFont="1"/>
    <xf numFmtId="0" fontId="0" fillId="0" borderId="0" xfId="0" applyBorder="1" applyAlignment="1">
      <alignment wrapText="1"/>
    </xf>
    <xf numFmtId="0" fontId="0" fillId="0" borderId="0" xfId="0" applyFill="1" applyBorder="1"/>
    <xf numFmtId="1" fontId="17" fillId="0" borderId="0" xfId="0" applyNumberFormat="1" applyFont="1" applyFill="1" applyBorder="1" applyAlignment="1">
      <alignment wrapText="1"/>
    </xf>
    <xf numFmtId="0" fontId="26" fillId="0" borderId="0" xfId="0" applyFont="1" applyFill="1"/>
    <xf numFmtId="0" fontId="17" fillId="0" borderId="0" xfId="0" applyFont="1" applyFill="1"/>
    <xf numFmtId="0" fontId="0" fillId="0" borderId="0" xfId="0" applyFill="1"/>
    <xf numFmtId="0" fontId="17" fillId="0" borderId="0" xfId="0" applyFont="1" applyFill="1" applyBorder="1" applyAlignment="1">
      <alignment horizontal="left"/>
    </xf>
    <xf numFmtId="1" fontId="25" fillId="0" borderId="0" xfId="0" applyNumberFormat="1" applyFont="1" applyFill="1" applyBorder="1" applyAlignment="1">
      <alignment horizontal="right"/>
    </xf>
    <xf numFmtId="0" fontId="25" fillId="0" borderId="0" xfId="0" applyFont="1" applyFill="1" applyBorder="1" applyAlignment="1">
      <alignment horizontal="right"/>
    </xf>
    <xf numFmtId="0" fontId="0" fillId="0" borderId="0" xfId="0" applyFill="1" applyBorder="1" applyAlignment="1"/>
    <xf numFmtId="0" fontId="23" fillId="0" borderId="0" xfId="0" applyFont="1" applyFill="1" applyBorder="1"/>
    <xf numFmtId="0" fontId="17" fillId="0" borderId="0" xfId="0" applyFont="1" applyFill="1" applyBorder="1" applyAlignment="1">
      <alignment vertical="center"/>
    </xf>
    <xf numFmtId="0" fontId="0" fillId="0" borderId="0" xfId="0" applyFill="1" applyBorder="1" applyAlignment="1">
      <alignment vertical="center" wrapText="1"/>
    </xf>
    <xf numFmtId="0" fontId="0" fillId="0" borderId="0" xfId="0" applyFill="1" applyBorder="1" applyAlignment="1">
      <alignment vertical="center"/>
    </xf>
    <xf numFmtId="0" fontId="26" fillId="37" borderId="32" xfId="0" applyFont="1" applyFill="1" applyBorder="1"/>
    <xf numFmtId="0" fontId="17" fillId="37" borderId="34" xfId="0" applyFont="1" applyFill="1" applyBorder="1"/>
    <xf numFmtId="0" fontId="0" fillId="0" borderId="10" xfId="0" applyBorder="1" applyAlignment="1">
      <alignment vertical="center" wrapText="1"/>
    </xf>
    <xf numFmtId="0" fontId="0" fillId="0" borderId="31" xfId="0" applyBorder="1"/>
    <xf numFmtId="0" fontId="0" fillId="0" borderId="36" xfId="0" applyBorder="1" applyAlignment="1">
      <alignment vertical="center" wrapText="1"/>
    </xf>
    <xf numFmtId="0" fontId="28" fillId="0" borderId="0" xfId="0" applyFont="1"/>
    <xf numFmtId="0" fontId="29" fillId="0" borderId="0" xfId="0" applyFont="1"/>
    <xf numFmtId="0" fontId="30" fillId="0" borderId="0" xfId="0" applyFont="1"/>
    <xf numFmtId="0" fontId="30" fillId="0" borderId="0" xfId="0" applyFont="1" applyAlignment="1">
      <alignment horizontal="left" indent="1"/>
    </xf>
    <xf numFmtId="0" fontId="0" fillId="0" borderId="28" xfId="0" applyBorder="1" applyAlignment="1">
      <alignment vertical="center" wrapText="1"/>
    </xf>
    <xf numFmtId="0" fontId="32" fillId="0" borderId="0" xfId="0" applyFont="1"/>
    <xf numFmtId="0" fontId="0" fillId="0" borderId="31" xfId="0" applyBorder="1" applyAlignment="1">
      <alignment wrapText="1"/>
    </xf>
    <xf numFmtId="0" fontId="0" fillId="36" borderId="29" xfId="0" applyFill="1" applyBorder="1" applyAlignment="1">
      <alignment wrapText="1"/>
    </xf>
    <xf numFmtId="0" fontId="0" fillId="34" borderId="10" xfId="0" applyFill="1" applyBorder="1" applyAlignment="1">
      <alignment wrapText="1"/>
    </xf>
    <xf numFmtId="0" fontId="0" fillId="36" borderId="40" xfId="0" applyFill="1" applyBorder="1" applyAlignment="1">
      <alignment wrapText="1"/>
    </xf>
    <xf numFmtId="0" fontId="0" fillId="0" borderId="10" xfId="0" applyBorder="1" applyAlignment="1">
      <alignment horizontal="right"/>
    </xf>
    <xf numFmtId="166" fontId="0" fillId="0" borderId="10" xfId="0" applyNumberFormat="1" applyBorder="1" applyAlignment="1">
      <alignment horizontal="right"/>
    </xf>
    <xf numFmtId="166" fontId="0" fillId="0" borderId="10" xfId="0" applyNumberFormat="1" applyBorder="1" applyAlignment="1">
      <alignment wrapText="1"/>
    </xf>
    <xf numFmtId="166" fontId="0" fillId="0" borderId="10" xfId="0" applyNumberFormat="1" applyFill="1" applyBorder="1" applyAlignment="1">
      <alignment wrapText="1"/>
    </xf>
    <xf numFmtId="166" fontId="0" fillId="0" borderId="10" xfId="0" applyNumberFormat="1" applyFill="1" applyBorder="1" applyAlignment="1">
      <alignment horizontal="right"/>
    </xf>
    <xf numFmtId="0" fontId="0" fillId="0" borderId="10" xfId="0" applyFont="1" applyBorder="1" applyAlignment="1">
      <alignment wrapText="1"/>
    </xf>
    <xf numFmtId="2" fontId="0" fillId="0" borderId="10" xfId="0" applyNumberFormat="1" applyFont="1" applyBorder="1" applyAlignment="1">
      <alignment wrapText="1"/>
    </xf>
    <xf numFmtId="166" fontId="16" fillId="0" borderId="10" xfId="0" applyNumberFormat="1" applyFont="1" applyBorder="1" applyAlignment="1">
      <alignment wrapText="1"/>
    </xf>
    <xf numFmtId="166" fontId="18" fillId="0" borderId="10" xfId="0" applyNumberFormat="1" applyFont="1" applyBorder="1" applyAlignment="1">
      <alignment wrapText="1"/>
    </xf>
    <xf numFmtId="166" fontId="0" fillId="0" borderId="0" xfId="0" applyNumberFormat="1" applyBorder="1" applyAlignment="1">
      <alignment wrapText="1"/>
    </xf>
    <xf numFmtId="166" fontId="0" fillId="0" borderId="0" xfId="0" applyNumberFormat="1" applyAlignment="1">
      <alignment wrapText="1"/>
    </xf>
    <xf numFmtId="166" fontId="0" fillId="0" borderId="31" xfId="0" applyNumberFormat="1" applyBorder="1"/>
    <xf numFmtId="166" fontId="0" fillId="0" borderId="36" xfId="0" applyNumberFormat="1" applyBorder="1" applyAlignment="1">
      <alignment wrapText="1"/>
    </xf>
    <xf numFmtId="166" fontId="18" fillId="0" borderId="31" xfId="0" applyNumberFormat="1" applyFont="1" applyBorder="1" applyAlignment="1">
      <alignment wrapText="1"/>
    </xf>
    <xf numFmtId="166" fontId="0" fillId="0" borderId="10" xfId="0" applyNumberFormat="1" applyBorder="1"/>
    <xf numFmtId="0" fontId="0" fillId="0" borderId="41" xfId="0" applyBorder="1" applyAlignment="1">
      <alignment wrapText="1"/>
    </xf>
    <xf numFmtId="166" fontId="0" fillId="0" borderId="41" xfId="0" applyNumberFormat="1" applyBorder="1" applyAlignment="1">
      <alignment wrapText="1"/>
    </xf>
    <xf numFmtId="166" fontId="0" fillId="0" borderId="41" xfId="0" applyNumberFormat="1" applyBorder="1" applyAlignment="1">
      <alignment horizontal="right"/>
    </xf>
    <xf numFmtId="0" fontId="16" fillId="36" borderId="10" xfId="0" applyFont="1" applyFill="1" applyBorder="1" applyAlignment="1">
      <alignment wrapText="1"/>
    </xf>
    <xf numFmtId="0" fontId="16" fillId="34" borderId="10" xfId="0" applyFont="1" applyFill="1" applyBorder="1"/>
    <xf numFmtId="0" fontId="16" fillId="36" borderId="11" xfId="0" applyFont="1" applyFill="1" applyBorder="1" applyAlignment="1">
      <alignment wrapText="1"/>
    </xf>
    <xf numFmtId="0" fontId="16" fillId="36" borderId="27" xfId="0" applyFont="1" applyFill="1" applyBorder="1" applyAlignment="1">
      <alignment wrapText="1"/>
    </xf>
    <xf numFmtId="0" fontId="16" fillId="35" borderId="10" xfId="0" applyFont="1" applyFill="1" applyBorder="1" applyAlignment="1">
      <alignment wrapText="1"/>
    </xf>
    <xf numFmtId="0" fontId="0" fillId="36" borderId="29" xfId="0" applyFont="1" applyFill="1" applyBorder="1" applyAlignment="1">
      <alignment wrapText="1"/>
    </xf>
    <xf numFmtId="0" fontId="0" fillId="36" borderId="10" xfId="0" applyFont="1" applyFill="1" applyBorder="1" applyAlignment="1">
      <alignment wrapText="1"/>
    </xf>
    <xf numFmtId="0" fontId="0" fillId="36" borderId="40" xfId="0" applyFont="1" applyFill="1" applyBorder="1" applyAlignment="1">
      <alignment wrapText="1"/>
    </xf>
    <xf numFmtId="0" fontId="0" fillId="34" borderId="10" xfId="0" applyFont="1" applyFill="1" applyBorder="1"/>
    <xf numFmtId="0" fontId="0" fillId="34" borderId="10" xfId="0" applyFont="1" applyFill="1" applyBorder="1" applyAlignment="1">
      <alignment wrapText="1"/>
    </xf>
    <xf numFmtId="166" fontId="0" fillId="0" borderId="10" xfId="0" applyNumberFormat="1" applyFont="1" applyBorder="1" applyAlignment="1">
      <alignment wrapText="1"/>
    </xf>
    <xf numFmtId="166" fontId="0" fillId="0" borderId="10" xfId="0" applyNumberFormat="1" applyFont="1" applyBorder="1" applyAlignment="1">
      <alignment horizontal="right"/>
    </xf>
    <xf numFmtId="166" fontId="0" fillId="0" borderId="0" xfId="0" applyNumberFormat="1" applyFont="1"/>
    <xf numFmtId="0" fontId="0" fillId="0" borderId="43" xfId="0" applyBorder="1"/>
    <xf numFmtId="0" fontId="0" fillId="0" borderId="44" xfId="0" applyBorder="1" applyAlignment="1">
      <alignment wrapText="1"/>
    </xf>
    <xf numFmtId="0" fontId="0" fillId="0" borderId="45" xfId="0" applyBorder="1"/>
    <xf numFmtId="2" fontId="0" fillId="0" borderId="0" xfId="0" applyNumberFormat="1" applyBorder="1"/>
    <xf numFmtId="0" fontId="0" fillId="0" borderId="16" xfId="0" applyBorder="1" applyAlignment="1">
      <alignment wrapText="1"/>
    </xf>
    <xf numFmtId="11" fontId="0" fillId="0" borderId="33" xfId="0" applyNumberFormat="1" applyBorder="1"/>
    <xf numFmtId="2" fontId="0" fillId="0" borderId="34" xfId="0" applyNumberFormat="1" applyBorder="1"/>
    <xf numFmtId="0" fontId="16" fillId="0" borderId="16" xfId="0" applyFont="1" applyBorder="1" applyAlignment="1">
      <alignment wrapText="1"/>
    </xf>
    <xf numFmtId="0" fontId="16" fillId="0" borderId="20" xfId="0" applyFont="1" applyBorder="1" applyAlignment="1">
      <alignment wrapText="1"/>
    </xf>
    <xf numFmtId="0" fontId="16" fillId="0" borderId="32" xfId="0" applyFont="1" applyBorder="1"/>
    <xf numFmtId="0" fontId="0" fillId="0" borderId="16" xfId="0" applyFont="1" applyBorder="1"/>
    <xf numFmtId="0" fontId="0" fillId="0" borderId="20" xfId="0" applyFont="1" applyBorder="1"/>
    <xf numFmtId="0" fontId="33" fillId="0" borderId="0" xfId="0" applyFont="1" applyBorder="1"/>
    <xf numFmtId="0" fontId="0" fillId="0" borderId="0" xfId="0" applyFont="1" applyBorder="1"/>
    <xf numFmtId="1" fontId="17" fillId="37" borderId="47" xfId="0" applyNumberFormat="1" applyFont="1" applyFill="1" applyBorder="1" applyAlignment="1">
      <alignment horizontal="center" wrapText="1"/>
    </xf>
    <xf numFmtId="1" fontId="17" fillId="37" borderId="48" xfId="0" applyNumberFormat="1" applyFont="1" applyFill="1" applyBorder="1" applyAlignment="1">
      <alignment horizontal="center" wrapText="1"/>
    </xf>
    <xf numFmtId="1" fontId="17" fillId="37" borderId="48" xfId="0" applyNumberFormat="1" applyFont="1" applyFill="1" applyBorder="1" applyAlignment="1">
      <alignment wrapText="1"/>
    </xf>
    <xf numFmtId="1" fontId="17" fillId="37" borderId="49" xfId="0" applyNumberFormat="1" applyFont="1" applyFill="1" applyBorder="1" applyAlignment="1">
      <alignment wrapText="1"/>
    </xf>
    <xf numFmtId="0" fontId="26" fillId="0" borderId="0" xfId="0" applyFont="1" applyFill="1" applyBorder="1" applyAlignment="1">
      <alignment horizontal="left"/>
    </xf>
    <xf numFmtId="0" fontId="0" fillId="36" borderId="11" xfId="0" applyFont="1" applyFill="1" applyBorder="1" applyAlignment="1">
      <alignment wrapText="1"/>
    </xf>
    <xf numFmtId="0" fontId="0" fillId="36" borderId="31" xfId="0" applyFont="1" applyFill="1" applyBorder="1" applyAlignment="1">
      <alignment wrapText="1"/>
    </xf>
    <xf numFmtId="0" fontId="0" fillId="0" borderId="10" xfId="0" applyFont="1" applyBorder="1" applyAlignment="1">
      <alignment horizontal="right"/>
    </xf>
    <xf numFmtId="0" fontId="27" fillId="33" borderId="10" xfId="0" applyFont="1" applyFill="1" applyBorder="1"/>
    <xf numFmtId="0" fontId="0" fillId="33" borderId="10" xfId="0" applyFill="1" applyBorder="1"/>
    <xf numFmtId="0" fontId="16" fillId="0" borderId="16" xfId="0" applyFont="1" applyFill="1" applyBorder="1" applyAlignment="1">
      <alignment horizontal="left"/>
    </xf>
    <xf numFmtId="0" fontId="16" fillId="0" borderId="0" xfId="0" applyFont="1" applyFill="1" applyBorder="1" applyAlignment="1">
      <alignment horizontal="left"/>
    </xf>
    <xf numFmtId="0" fontId="0" fillId="0" borderId="43" xfId="0" applyBorder="1" applyAlignment="1">
      <alignment wrapText="1"/>
    </xf>
    <xf numFmtId="0" fontId="16" fillId="0" borderId="43" xfId="0" applyFont="1" applyBorder="1" applyAlignment="1">
      <alignment wrapText="1"/>
    </xf>
    <xf numFmtId="0" fontId="16" fillId="0" borderId="14" xfId="0" applyFont="1" applyBorder="1"/>
    <xf numFmtId="166" fontId="16" fillId="0" borderId="10" xfId="0" applyNumberFormat="1" applyFont="1" applyBorder="1"/>
    <xf numFmtId="0" fontId="17" fillId="37" borderId="61" xfId="0" applyFont="1" applyFill="1" applyBorder="1" applyAlignment="1">
      <alignment wrapText="1"/>
    </xf>
    <xf numFmtId="1" fontId="17" fillId="37" borderId="62" xfId="0" applyNumberFormat="1" applyFont="1" applyFill="1" applyBorder="1" applyAlignment="1">
      <alignment wrapText="1"/>
    </xf>
    <xf numFmtId="1" fontId="17" fillId="37" borderId="63" xfId="0" applyNumberFormat="1" applyFont="1" applyFill="1" applyBorder="1" applyAlignment="1">
      <alignment wrapText="1"/>
    </xf>
    <xf numFmtId="0" fontId="17" fillId="37" borderId="64" xfId="0" applyFont="1" applyFill="1" applyBorder="1" applyAlignment="1">
      <alignment wrapText="1"/>
    </xf>
    <xf numFmtId="0" fontId="0" fillId="0" borderId="10" xfId="0" applyFont="1" applyBorder="1"/>
    <xf numFmtId="168" fontId="0" fillId="0" borderId="10" xfId="0" applyNumberFormat="1" applyFont="1" applyBorder="1"/>
    <xf numFmtId="0" fontId="16" fillId="40" borderId="10" xfId="0" applyFont="1" applyFill="1" applyBorder="1" applyAlignment="1">
      <alignment wrapText="1"/>
    </xf>
    <xf numFmtId="168" fontId="0" fillId="0" borderId="15" xfId="0" applyNumberFormat="1" applyFont="1" applyBorder="1"/>
    <xf numFmtId="0" fontId="16" fillId="0" borderId="15" xfId="0" applyFont="1" applyBorder="1"/>
    <xf numFmtId="168" fontId="0" fillId="0" borderId="10" xfId="0" applyNumberFormat="1" applyBorder="1"/>
    <xf numFmtId="168" fontId="0" fillId="0" borderId="15" xfId="0" applyNumberFormat="1" applyBorder="1"/>
    <xf numFmtId="0" fontId="16" fillId="40" borderId="10" xfId="0" applyFont="1" applyFill="1" applyBorder="1"/>
    <xf numFmtId="0" fontId="0" fillId="0" borderId="44" xfId="0" applyBorder="1"/>
    <xf numFmtId="0" fontId="0" fillId="33" borderId="43" xfId="0" applyFill="1" applyBorder="1"/>
    <xf numFmtId="0" fontId="0" fillId="33" borderId="14" xfId="0" applyFill="1" applyBorder="1"/>
    <xf numFmtId="0" fontId="0" fillId="33" borderId="44" xfId="0" applyFill="1" applyBorder="1"/>
    <xf numFmtId="0" fontId="0" fillId="33" borderId="15" xfId="0" applyFill="1" applyBorder="1"/>
    <xf numFmtId="0" fontId="0" fillId="33" borderId="45" xfId="0" applyFill="1" applyBorder="1"/>
    <xf numFmtId="168" fontId="0" fillId="33" borderId="10" xfId="0" applyNumberFormat="1" applyFill="1" applyBorder="1"/>
    <xf numFmtId="0" fontId="0" fillId="33" borderId="43" xfId="0" applyFill="1" applyBorder="1" applyAlignment="1">
      <alignment wrapText="1"/>
    </xf>
    <xf numFmtId="168" fontId="0" fillId="33" borderId="15" xfId="0" applyNumberFormat="1" applyFill="1" applyBorder="1"/>
    <xf numFmtId="168" fontId="0" fillId="33" borderId="10" xfId="0" applyNumberFormat="1" applyFill="1" applyBorder="1" applyAlignment="1">
      <alignment wrapText="1"/>
    </xf>
    <xf numFmtId="168" fontId="27" fillId="33" borderId="10" xfId="0" applyNumberFormat="1" applyFont="1" applyFill="1" applyBorder="1"/>
    <xf numFmtId="0" fontId="0" fillId="33" borderId="10" xfId="0" applyFill="1" applyBorder="1" applyAlignment="1">
      <alignment wrapText="1"/>
    </xf>
    <xf numFmtId="0" fontId="0" fillId="33" borderId="15" xfId="0" applyFill="1" applyBorder="1" applyAlignment="1">
      <alignment wrapText="1"/>
    </xf>
    <xf numFmtId="0" fontId="0" fillId="33" borderId="37" xfId="0" applyFill="1" applyBorder="1"/>
    <xf numFmtId="0" fontId="0" fillId="33" borderId="38" xfId="0" applyFill="1" applyBorder="1"/>
    <xf numFmtId="0" fontId="0" fillId="33" borderId="39" xfId="0" applyFill="1" applyBorder="1"/>
    <xf numFmtId="0" fontId="0" fillId="33" borderId="26" xfId="0" applyFill="1" applyBorder="1"/>
    <xf numFmtId="0" fontId="0" fillId="33" borderId="0" xfId="0" applyFill="1" applyBorder="1"/>
    <xf numFmtId="0" fontId="0" fillId="33" borderId="28" xfId="0" applyFill="1" applyBorder="1"/>
    <xf numFmtId="0" fontId="0" fillId="33" borderId="27" xfId="0" applyFill="1" applyBorder="1"/>
    <xf numFmtId="0" fontId="0" fillId="33" borderId="25" xfId="0" applyFill="1" applyBorder="1"/>
    <xf numFmtId="0" fontId="0" fillId="33" borderId="29" xfId="0" applyFill="1" applyBorder="1"/>
    <xf numFmtId="0" fontId="16" fillId="41" borderId="42" xfId="0" applyFont="1" applyFill="1" applyBorder="1"/>
    <xf numFmtId="0" fontId="16" fillId="41" borderId="12" xfId="0" applyFont="1" applyFill="1" applyBorder="1"/>
    <xf numFmtId="0" fontId="16" fillId="41" borderId="13" xfId="0" applyFont="1" applyFill="1" applyBorder="1"/>
    <xf numFmtId="0" fontId="16" fillId="41" borderId="43" xfId="0" applyFont="1" applyFill="1" applyBorder="1"/>
    <xf numFmtId="0" fontId="0" fillId="41" borderId="43" xfId="0" applyFill="1" applyBorder="1" applyAlignment="1">
      <alignment horizontal="left" vertical="center"/>
    </xf>
    <xf numFmtId="0" fontId="0" fillId="41" borderId="44" xfId="0" applyFill="1" applyBorder="1" applyAlignment="1">
      <alignment horizontal="left" vertical="center" wrapText="1"/>
    </xf>
    <xf numFmtId="0" fontId="16" fillId="42" borderId="10" xfId="0" applyFont="1" applyFill="1" applyBorder="1" applyAlignment="1">
      <alignment horizontal="center"/>
    </xf>
    <xf numFmtId="0" fontId="0" fillId="42" borderId="10" xfId="0" applyFill="1" applyBorder="1" applyAlignment="1">
      <alignment horizontal="center" textRotation="90" wrapText="1"/>
    </xf>
    <xf numFmtId="0" fontId="0" fillId="38" borderId="45" xfId="0" applyFill="1" applyBorder="1" applyAlignment="1">
      <alignment horizontal="left" vertical="center"/>
    </xf>
    <xf numFmtId="0" fontId="16" fillId="42" borderId="14" xfId="0" applyFont="1" applyFill="1" applyBorder="1" applyAlignment="1">
      <alignment horizontal="center"/>
    </xf>
    <xf numFmtId="0" fontId="0" fillId="42" borderId="14" xfId="0" applyFill="1" applyBorder="1" applyAlignment="1">
      <alignment horizontal="center" textRotation="90" wrapText="1"/>
    </xf>
    <xf numFmtId="0" fontId="16" fillId="40" borderId="10" xfId="0" applyFont="1" applyFill="1" applyBorder="1" applyAlignment="1">
      <alignment horizontal="center"/>
    </xf>
    <xf numFmtId="0" fontId="0" fillId="40" borderId="10" xfId="0" applyFill="1" applyBorder="1" applyAlignment="1">
      <alignment horizontal="center" textRotation="90" wrapText="1"/>
    </xf>
    <xf numFmtId="0" fontId="0" fillId="35" borderId="30" xfId="0" applyFill="1" applyBorder="1" applyAlignment="1">
      <alignment horizontal="left"/>
    </xf>
    <xf numFmtId="0" fontId="0" fillId="0" borderId="0" xfId="0" applyAlignment="1">
      <alignment horizontal="center" vertical="center"/>
    </xf>
    <xf numFmtId="0" fontId="17" fillId="37" borderId="50" xfId="0" applyFont="1" applyFill="1" applyBorder="1" applyAlignment="1">
      <alignment horizontal="left"/>
    </xf>
    <xf numFmtId="0" fontId="17" fillId="37" borderId="46" xfId="0" applyFont="1" applyFill="1" applyBorder="1" applyAlignment="1">
      <alignment horizontal="left"/>
    </xf>
    <xf numFmtId="0" fontId="0" fillId="0" borderId="16" xfId="0" applyBorder="1" applyAlignment="1">
      <alignment horizontal="left"/>
    </xf>
    <xf numFmtId="0" fontId="0" fillId="0" borderId="0" xfId="0" applyBorder="1" applyAlignment="1">
      <alignment horizontal="left"/>
    </xf>
    <xf numFmtId="0" fontId="0" fillId="0" borderId="30" xfId="0" applyBorder="1" applyAlignment="1">
      <alignment horizontal="left"/>
    </xf>
    <xf numFmtId="0" fontId="0" fillId="0" borderId="16" xfId="0" applyBorder="1" applyAlignment="1">
      <alignment horizontal="center"/>
    </xf>
    <xf numFmtId="0" fontId="0" fillId="0" borderId="0" xfId="0" applyBorder="1" applyAlignment="1">
      <alignment horizontal="center"/>
    </xf>
    <xf numFmtId="0" fontId="0" fillId="0" borderId="30" xfId="0" applyBorder="1" applyAlignment="1">
      <alignment horizontal="center"/>
    </xf>
    <xf numFmtId="0" fontId="0" fillId="0" borderId="20" xfId="0" applyBorder="1" applyAlignment="1">
      <alignment horizontal="left"/>
    </xf>
    <xf numFmtId="0" fontId="0" fillId="0" borderId="21" xfId="0" applyBorder="1" applyAlignment="1">
      <alignment horizontal="left"/>
    </xf>
    <xf numFmtId="0" fontId="0" fillId="0" borderId="24" xfId="0" applyBorder="1" applyAlignment="1">
      <alignment horizontal="left"/>
    </xf>
    <xf numFmtId="0" fontId="0" fillId="0" borderId="16" xfId="0" applyFill="1" applyBorder="1" applyAlignment="1">
      <alignment horizontal="left"/>
    </xf>
    <xf numFmtId="0" fontId="0" fillId="0" borderId="0" xfId="0" applyFill="1" applyBorder="1" applyAlignment="1">
      <alignment horizontal="left"/>
    </xf>
    <xf numFmtId="0" fontId="0" fillId="0" borderId="30" xfId="0" applyFill="1" applyBorder="1" applyAlignment="1">
      <alignment horizontal="left"/>
    </xf>
    <xf numFmtId="0" fontId="0" fillId="0" borderId="16" xfId="0" applyFill="1" applyBorder="1" applyAlignment="1">
      <alignment horizontal="left" wrapText="1"/>
    </xf>
    <xf numFmtId="0" fontId="0" fillId="38" borderId="15" xfId="0" applyFill="1" applyBorder="1" applyAlignment="1">
      <alignment horizontal="left" vertical="center" wrapText="1"/>
    </xf>
    <xf numFmtId="0" fontId="0" fillId="0" borderId="0" xfId="0" applyAlignment="1">
      <alignment horizontal="left" wrapText="1"/>
    </xf>
    <xf numFmtId="0" fontId="16" fillId="40" borderId="12" xfId="0" applyFont="1" applyFill="1" applyBorder="1" applyAlignment="1">
      <alignment horizontal="center"/>
    </xf>
    <xf numFmtId="166" fontId="0" fillId="43" borderId="35" xfId="0" applyNumberFormat="1" applyFill="1" applyBorder="1" applyAlignment="1">
      <alignment wrapText="1"/>
    </xf>
    <xf numFmtId="0" fontId="0" fillId="0" borderId="0" xfId="0" applyBorder="1" applyAlignment="1">
      <alignment horizontal="center" wrapText="1"/>
    </xf>
    <xf numFmtId="0" fontId="16" fillId="0" borderId="0" xfId="0" applyFont="1" applyBorder="1"/>
    <xf numFmtId="0" fontId="16" fillId="36" borderId="18" xfId="0" applyFont="1" applyFill="1" applyBorder="1"/>
    <xf numFmtId="0" fontId="16" fillId="36" borderId="19" xfId="0" applyFont="1" applyFill="1" applyBorder="1"/>
    <xf numFmtId="0" fontId="16" fillId="36" borderId="23" xfId="0" applyFont="1" applyFill="1" applyBorder="1"/>
    <xf numFmtId="0" fontId="0" fillId="36" borderId="18" xfId="0" applyFill="1" applyBorder="1"/>
    <xf numFmtId="0" fontId="0" fillId="36" borderId="19" xfId="0" applyFill="1" applyBorder="1"/>
    <xf numFmtId="0" fontId="33" fillId="36" borderId="19" xfId="0" applyFont="1" applyFill="1" applyBorder="1"/>
    <xf numFmtId="0" fontId="33" fillId="36" borderId="23" xfId="0" applyFont="1" applyFill="1" applyBorder="1"/>
    <xf numFmtId="0" fontId="33" fillId="36" borderId="18" xfId="0" applyFont="1" applyFill="1" applyBorder="1"/>
    <xf numFmtId="0" fontId="0" fillId="36" borderId="23" xfId="0" applyFill="1" applyBorder="1"/>
    <xf numFmtId="0" fontId="0" fillId="0" borderId="20" xfId="0" applyFill="1" applyBorder="1" applyAlignment="1">
      <alignment horizontal="left"/>
    </xf>
    <xf numFmtId="0" fontId="0" fillId="0" borderId="21" xfId="0" applyFill="1" applyBorder="1" applyAlignment="1">
      <alignment horizontal="left"/>
    </xf>
    <xf numFmtId="0" fontId="0" fillId="0" borderId="24" xfId="0" applyFill="1" applyBorder="1" applyAlignment="1">
      <alignment horizontal="left"/>
    </xf>
    <xf numFmtId="0" fontId="17" fillId="0" borderId="0" xfId="0" applyFont="1" applyFill="1" applyBorder="1" applyAlignment="1">
      <alignment wrapText="1"/>
    </xf>
    <xf numFmtId="0" fontId="16" fillId="0" borderId="0" xfId="0" applyFont="1" applyFill="1" applyBorder="1"/>
    <xf numFmtId="0" fontId="0" fillId="40" borderId="10" xfId="0" applyFill="1" applyBorder="1"/>
    <xf numFmtId="0" fontId="0" fillId="0" borderId="43" xfId="0" applyFill="1" applyBorder="1"/>
    <xf numFmtId="0" fontId="0" fillId="0" borderId="14" xfId="0" applyFill="1" applyBorder="1"/>
    <xf numFmtId="0" fontId="0" fillId="0" borderId="43" xfId="0" applyFill="1" applyBorder="1" applyAlignment="1">
      <alignment wrapText="1"/>
    </xf>
    <xf numFmtId="166" fontId="0" fillId="0" borderId="10" xfId="0" applyNumberFormat="1" applyFill="1" applyBorder="1"/>
    <xf numFmtId="0" fontId="0" fillId="0" borderId="69" xfId="0" applyFill="1" applyBorder="1"/>
    <xf numFmtId="166" fontId="0" fillId="0" borderId="41" xfId="0" applyNumberFormat="1" applyFill="1" applyBorder="1"/>
    <xf numFmtId="0" fontId="0" fillId="0" borderId="70" xfId="0" applyFill="1" applyBorder="1"/>
    <xf numFmtId="0" fontId="0" fillId="0" borderId="69" xfId="0" applyBorder="1" applyAlignment="1">
      <alignment wrapText="1"/>
    </xf>
    <xf numFmtId="166" fontId="0" fillId="0" borderId="41" xfId="0" applyNumberFormat="1" applyBorder="1"/>
    <xf numFmtId="0" fontId="0" fillId="0" borderId="70" xfId="0" applyBorder="1"/>
    <xf numFmtId="0" fontId="16" fillId="0" borderId="42" xfId="0" applyFont="1" applyBorder="1" applyAlignment="1">
      <alignment wrapText="1"/>
    </xf>
    <xf numFmtId="166" fontId="16" fillId="0" borderId="12" xfId="0" applyNumberFormat="1" applyFont="1" applyBorder="1"/>
    <xf numFmtId="0" fontId="16" fillId="0" borderId="13" xfId="0" applyFont="1" applyFill="1" applyBorder="1"/>
    <xf numFmtId="0" fontId="16" fillId="0" borderId="44" xfId="0" applyFont="1" applyBorder="1" applyAlignment="1">
      <alignment wrapText="1"/>
    </xf>
    <xf numFmtId="166" fontId="16" fillId="0" borderId="15" xfId="0" applyNumberFormat="1" applyFont="1" applyBorder="1"/>
    <xf numFmtId="0" fontId="16" fillId="0" borderId="45" xfId="0" applyFont="1" applyFill="1" applyBorder="1"/>
    <xf numFmtId="0" fontId="16" fillId="0" borderId="42" xfId="0" applyFont="1" applyFill="1" applyBorder="1" applyAlignment="1">
      <alignment wrapText="1"/>
    </xf>
    <xf numFmtId="166" fontId="16" fillId="0" borderId="12" xfId="0" applyNumberFormat="1" applyFont="1" applyFill="1" applyBorder="1"/>
    <xf numFmtId="0" fontId="16" fillId="0" borderId="44" xfId="0" applyFont="1" applyFill="1" applyBorder="1" applyAlignment="1">
      <alignment wrapText="1"/>
    </xf>
    <xf numFmtId="0" fontId="16" fillId="0" borderId="15" xfId="0" applyFont="1" applyFill="1" applyBorder="1"/>
    <xf numFmtId="166" fontId="16" fillId="0" borderId="15" xfId="0" applyNumberFormat="1" applyFont="1" applyFill="1" applyBorder="1"/>
    <xf numFmtId="0" fontId="16" fillId="0" borderId="45" xfId="0" applyFont="1" applyBorder="1"/>
    <xf numFmtId="0" fontId="16" fillId="0" borderId="13" xfId="0" applyFont="1" applyBorder="1"/>
    <xf numFmtId="166" fontId="0" fillId="46" borderId="35" xfId="0" applyNumberFormat="1" applyFill="1" applyBorder="1" applyAlignment="1">
      <alignment wrapText="1"/>
    </xf>
    <xf numFmtId="1" fontId="0" fillId="46" borderId="65" xfId="0" applyNumberFormat="1" applyFont="1" applyFill="1" applyBorder="1"/>
    <xf numFmtId="166" fontId="0" fillId="46" borderId="46" xfId="0" applyNumberFormat="1" applyFill="1" applyBorder="1"/>
    <xf numFmtId="166" fontId="0" fillId="46" borderId="51" xfId="0" applyNumberFormat="1" applyFill="1" applyBorder="1"/>
    <xf numFmtId="0" fontId="0" fillId="46" borderId="46" xfId="0" applyFill="1" applyBorder="1"/>
    <xf numFmtId="0" fontId="0" fillId="46" borderId="53" xfId="0" applyFill="1" applyBorder="1"/>
    <xf numFmtId="167" fontId="0" fillId="46" borderId="53" xfId="43" applyNumberFormat="1" applyFont="1" applyFill="1" applyBorder="1"/>
    <xf numFmtId="166" fontId="0" fillId="46" borderId="54" xfId="0" applyNumberFormat="1" applyFill="1" applyBorder="1"/>
    <xf numFmtId="9" fontId="0" fillId="47" borderId="0" xfId="43" applyFont="1" applyFill="1" applyBorder="1" applyAlignment="1">
      <alignment horizontal="left"/>
    </xf>
    <xf numFmtId="0" fontId="0" fillId="0" borderId="69" xfId="0" applyFill="1" applyBorder="1" applyAlignment="1">
      <alignment wrapText="1"/>
    </xf>
    <xf numFmtId="0" fontId="0" fillId="40" borderId="12" xfId="0" applyFill="1" applyBorder="1" applyAlignment="1">
      <alignment horizontal="center"/>
    </xf>
    <xf numFmtId="0" fontId="16" fillId="39" borderId="42" xfId="0" applyFont="1" applyFill="1" applyBorder="1"/>
    <xf numFmtId="0" fontId="16" fillId="39" borderId="12" xfId="0" applyFont="1" applyFill="1" applyBorder="1" applyAlignment="1">
      <alignment wrapText="1"/>
    </xf>
    <xf numFmtId="0" fontId="16" fillId="39" borderId="12" xfId="0" applyFont="1" applyFill="1" applyBorder="1"/>
    <xf numFmtId="0" fontId="16" fillId="39" borderId="13" xfId="0" applyFont="1" applyFill="1" applyBorder="1"/>
    <xf numFmtId="0" fontId="16" fillId="0" borderId="43" xfId="0" applyFont="1" applyBorder="1"/>
    <xf numFmtId="166" fontId="0" fillId="0" borderId="14" xfId="0" applyNumberFormat="1" applyBorder="1"/>
    <xf numFmtId="0" fontId="16" fillId="0" borderId="44" xfId="0" applyFont="1" applyBorder="1"/>
    <xf numFmtId="166" fontId="0" fillId="0" borderId="15" xfId="0" applyNumberFormat="1" applyBorder="1" applyAlignment="1">
      <alignment wrapText="1"/>
    </xf>
    <xf numFmtId="166" fontId="0" fillId="0" borderId="45" xfId="0" applyNumberFormat="1" applyBorder="1" applyAlignment="1">
      <alignment wrapText="1"/>
    </xf>
    <xf numFmtId="0" fontId="0" fillId="44" borderId="32" xfId="0" applyFill="1" applyBorder="1" applyAlignment="1">
      <alignment wrapText="1"/>
    </xf>
    <xf numFmtId="0" fontId="0" fillId="44" borderId="34" xfId="0" applyFill="1" applyBorder="1"/>
    <xf numFmtId="0" fontId="16" fillId="0" borderId="57" xfId="0" applyFont="1" applyBorder="1"/>
    <xf numFmtId="166" fontId="27" fillId="0" borderId="10" xfId="0" applyNumberFormat="1" applyFont="1" applyFill="1" applyBorder="1"/>
    <xf numFmtId="0" fontId="32" fillId="0" borderId="0" xfId="0" applyFont="1" applyAlignment="1"/>
    <xf numFmtId="0" fontId="35" fillId="0" borderId="0" xfId="0" applyFont="1"/>
    <xf numFmtId="0" fontId="0" fillId="33" borderId="69" xfId="0" applyFill="1" applyBorder="1" applyAlignment="1">
      <alignment horizontal="left" vertical="center"/>
    </xf>
    <xf numFmtId="0" fontId="0" fillId="33" borderId="71" xfId="0" applyFill="1" applyBorder="1" applyAlignment="1">
      <alignment horizontal="left" vertical="center"/>
    </xf>
    <xf numFmtId="0" fontId="0" fillId="33" borderId="56" xfId="0" applyFill="1" applyBorder="1" applyAlignment="1">
      <alignment horizontal="left" vertical="center"/>
    </xf>
    <xf numFmtId="0" fontId="0" fillId="33" borderId="30" xfId="0" applyFill="1" applyBorder="1"/>
    <xf numFmtId="0" fontId="0" fillId="33" borderId="43" xfId="0" applyFill="1" applyBorder="1" applyAlignment="1">
      <alignment vertical="center"/>
    </xf>
    <xf numFmtId="0" fontId="0" fillId="33" borderId="72" xfId="0" applyFill="1" applyBorder="1" applyAlignment="1">
      <alignment horizontal="left" vertical="center"/>
    </xf>
    <xf numFmtId="0" fontId="19" fillId="33" borderId="14" xfId="42" applyFill="1" applyBorder="1"/>
    <xf numFmtId="0" fontId="19" fillId="33" borderId="73" xfId="42" applyFill="1" applyBorder="1"/>
    <xf numFmtId="0" fontId="19" fillId="33" borderId="74" xfId="42" applyFill="1" applyBorder="1"/>
    <xf numFmtId="0" fontId="0" fillId="40" borderId="42" xfId="0" applyFill="1" applyBorder="1"/>
    <xf numFmtId="0" fontId="0" fillId="40" borderId="12" xfId="0" applyFill="1" applyBorder="1"/>
    <xf numFmtId="0" fontId="0" fillId="40" borderId="13" xfId="0" applyFill="1" applyBorder="1" applyAlignment="1"/>
    <xf numFmtId="0" fontId="0" fillId="34" borderId="18" xfId="0" applyFill="1" applyBorder="1"/>
    <xf numFmtId="0" fontId="0" fillId="34" borderId="19" xfId="0" applyFill="1" applyBorder="1" applyAlignment="1">
      <alignment wrapText="1"/>
    </xf>
    <xf numFmtId="0" fontId="0" fillId="34" borderId="23" xfId="0" applyFill="1" applyBorder="1" applyAlignment="1">
      <alignment wrapText="1"/>
    </xf>
    <xf numFmtId="0" fontId="0" fillId="0" borderId="21" xfId="0" applyBorder="1" applyAlignment="1">
      <alignment wrapText="1"/>
    </xf>
    <xf numFmtId="0" fontId="16" fillId="36" borderId="10" xfId="0" applyFont="1" applyFill="1" applyBorder="1"/>
    <xf numFmtId="0" fontId="0" fillId="36" borderId="10" xfId="0" applyFont="1" applyFill="1" applyBorder="1"/>
    <xf numFmtId="0" fontId="16" fillId="40" borderId="42" xfId="0" applyFont="1" applyFill="1" applyBorder="1"/>
    <xf numFmtId="0" fontId="16" fillId="40" borderId="12" xfId="0" applyFont="1" applyFill="1" applyBorder="1"/>
    <xf numFmtId="0" fontId="16" fillId="40" borderId="12" xfId="0" applyFont="1" applyFill="1" applyBorder="1" applyAlignment="1">
      <alignment wrapText="1"/>
    </xf>
    <xf numFmtId="0" fontId="16" fillId="40" borderId="13" xfId="0" applyFont="1" applyFill="1" applyBorder="1" applyAlignment="1">
      <alignment wrapText="1"/>
    </xf>
    <xf numFmtId="0" fontId="16" fillId="40" borderId="18" xfId="0" applyFont="1" applyFill="1" applyBorder="1" applyAlignment="1">
      <alignment wrapText="1"/>
    </xf>
    <xf numFmtId="0" fontId="0" fillId="40" borderId="23" xfId="0" applyFill="1" applyBorder="1" applyAlignment="1">
      <alignment wrapText="1"/>
    </xf>
    <xf numFmtId="0" fontId="16" fillId="40" borderId="19" xfId="0" applyFont="1" applyFill="1" applyBorder="1"/>
    <xf numFmtId="0" fontId="16" fillId="40" borderId="23" xfId="0" applyFont="1" applyFill="1" applyBorder="1"/>
    <xf numFmtId="166" fontId="0" fillId="0" borderId="30" xfId="0" applyNumberFormat="1" applyBorder="1" applyAlignment="1"/>
    <xf numFmtId="166" fontId="0" fillId="0" borderId="0" xfId="0" applyNumberFormat="1" applyBorder="1"/>
    <xf numFmtId="166" fontId="0" fillId="0" borderId="33" xfId="0" applyNumberFormat="1" applyBorder="1"/>
    <xf numFmtId="166" fontId="0" fillId="0" borderId="21" xfId="0" applyNumberFormat="1" applyBorder="1" applyAlignment="1">
      <alignment wrapText="1"/>
    </xf>
    <xf numFmtId="166" fontId="0" fillId="0" borderId="24" xfId="0" applyNumberFormat="1" applyBorder="1"/>
    <xf numFmtId="166" fontId="0" fillId="0" borderId="21" xfId="0" applyNumberFormat="1" applyBorder="1"/>
    <xf numFmtId="166" fontId="0" fillId="46" borderId="0" xfId="0" applyNumberFormat="1" applyFill="1" applyBorder="1" applyAlignment="1">
      <alignment horizontal="left"/>
    </xf>
    <xf numFmtId="0" fontId="0" fillId="47" borderId="31" xfId="0" applyFill="1" applyBorder="1" applyAlignment="1">
      <alignment vertical="center"/>
    </xf>
    <xf numFmtId="0" fontId="0" fillId="46" borderId="36" xfId="0" applyFill="1" applyBorder="1" applyAlignment="1">
      <alignment vertical="center"/>
    </xf>
    <xf numFmtId="0" fontId="0" fillId="0" borderId="0" xfId="0" applyAlignment="1">
      <alignment horizontal="center" vertical="center"/>
    </xf>
    <xf numFmtId="0" fontId="36" fillId="0" borderId="0" xfId="0" applyFont="1" applyAlignment="1">
      <alignment horizontal="left" vertical="top" wrapText="1"/>
    </xf>
    <xf numFmtId="0" fontId="32" fillId="0" borderId="0" xfId="0" applyFont="1" applyAlignment="1">
      <alignment horizontal="left" vertical="top" wrapText="1"/>
    </xf>
    <xf numFmtId="0" fontId="32" fillId="0" borderId="0" xfId="0" applyFont="1" applyAlignment="1">
      <alignment horizontal="center"/>
    </xf>
    <xf numFmtId="0" fontId="32" fillId="0" borderId="0" xfId="0" applyFont="1" applyAlignment="1">
      <alignment horizontal="left"/>
    </xf>
    <xf numFmtId="0" fontId="34" fillId="0" borderId="0" xfId="0" applyFont="1" applyAlignment="1">
      <alignment horizontal="left" wrapText="1"/>
    </xf>
    <xf numFmtId="0" fontId="24" fillId="0" borderId="16" xfId="0" applyFont="1" applyBorder="1" applyAlignment="1">
      <alignment horizontal="left" wrapText="1"/>
    </xf>
    <xf numFmtId="0" fontId="24" fillId="0" borderId="0" xfId="0" applyFont="1" applyBorder="1" applyAlignment="1">
      <alignment horizontal="left" wrapText="1"/>
    </xf>
    <xf numFmtId="0" fontId="24" fillId="0" borderId="30" xfId="0" applyFont="1" applyBorder="1" applyAlignment="1">
      <alignment horizontal="left" wrapText="1"/>
    </xf>
    <xf numFmtId="0" fontId="37" fillId="0" borderId="20" xfId="0" applyFont="1" applyBorder="1" applyAlignment="1">
      <alignment horizontal="left"/>
    </xf>
    <xf numFmtId="0" fontId="37" fillId="0" borderId="21" xfId="0" applyFont="1" applyBorder="1" applyAlignment="1">
      <alignment horizontal="left"/>
    </xf>
    <xf numFmtId="0" fontId="37" fillId="0" borderId="24" xfId="0" applyFont="1" applyBorder="1" applyAlignment="1">
      <alignment horizontal="left"/>
    </xf>
    <xf numFmtId="0" fontId="0" fillId="0" borderId="16" xfId="0" applyBorder="1" applyAlignment="1">
      <alignment horizontal="left" wrapText="1"/>
    </xf>
    <xf numFmtId="0" fontId="0" fillId="0" borderId="0" xfId="0" applyBorder="1" applyAlignment="1">
      <alignment horizontal="left" wrapText="1"/>
    </xf>
    <xf numFmtId="0" fontId="0" fillId="0" borderId="30" xfId="0" applyBorder="1" applyAlignment="1">
      <alignment horizontal="left" wrapText="1"/>
    </xf>
    <xf numFmtId="0" fontId="0" fillId="46" borderId="65" xfId="0" applyFill="1" applyBorder="1" applyAlignment="1">
      <alignment horizontal="center" vertical="center" wrapText="1"/>
    </xf>
    <xf numFmtId="0" fontId="0" fillId="46" borderId="68" xfId="0" applyFill="1" applyBorder="1" applyAlignment="1">
      <alignment horizontal="center" vertical="center" wrapText="1"/>
    </xf>
    <xf numFmtId="9" fontId="0" fillId="47" borderId="20" xfId="43" applyFont="1" applyFill="1" applyBorder="1" applyAlignment="1">
      <alignment horizontal="left"/>
    </xf>
    <xf numFmtId="9" fontId="0" fillId="47" borderId="21" xfId="43" applyFont="1" applyFill="1" applyBorder="1" applyAlignment="1">
      <alignment horizontal="left"/>
    </xf>
    <xf numFmtId="9" fontId="0" fillId="47" borderId="24" xfId="43" applyFont="1" applyFill="1" applyBorder="1" applyAlignment="1">
      <alignment horizontal="left"/>
    </xf>
    <xf numFmtId="0" fontId="0" fillId="46" borderId="35" xfId="0" applyFill="1" applyBorder="1" applyAlignment="1">
      <alignment horizontal="center" vertical="center" wrapText="1"/>
    </xf>
    <xf numFmtId="0" fontId="0" fillId="46" borderId="67" xfId="0" applyFill="1" applyBorder="1" applyAlignment="1">
      <alignment horizontal="center" vertical="center" wrapText="1"/>
    </xf>
    <xf numFmtId="0" fontId="17" fillId="37" borderId="50" xfId="0" applyFont="1" applyFill="1" applyBorder="1" applyAlignment="1">
      <alignment horizontal="left"/>
    </xf>
    <xf numFmtId="0" fontId="17" fillId="37" borderId="46" xfId="0" applyFont="1" applyFill="1" applyBorder="1" applyAlignment="1">
      <alignment horizontal="left"/>
    </xf>
    <xf numFmtId="0" fontId="17" fillId="37" borderId="64" xfId="0" applyFont="1" applyFill="1" applyBorder="1" applyAlignment="1">
      <alignment horizontal="center" vertical="center"/>
    </xf>
    <xf numFmtId="0" fontId="17" fillId="37" borderId="66" xfId="0" applyFont="1" applyFill="1" applyBorder="1" applyAlignment="1">
      <alignment horizontal="center" vertical="center"/>
    </xf>
    <xf numFmtId="0" fontId="0" fillId="43" borderId="35" xfId="0" applyFill="1" applyBorder="1" applyAlignment="1">
      <alignment horizontal="center" vertical="center" wrapText="1"/>
    </xf>
    <xf numFmtId="0" fontId="0" fillId="43" borderId="67" xfId="0" applyFill="1" applyBorder="1" applyAlignment="1">
      <alignment horizontal="center" vertical="center" wrapText="1"/>
    </xf>
    <xf numFmtId="0" fontId="21" fillId="0" borderId="16" xfId="0" applyFont="1" applyBorder="1" applyAlignment="1">
      <alignment horizontal="left" wrapText="1"/>
    </xf>
    <xf numFmtId="0" fontId="21" fillId="0" borderId="0" xfId="0" applyFont="1" applyBorder="1" applyAlignment="1">
      <alignment horizontal="left" wrapText="1"/>
    </xf>
    <xf numFmtId="0" fontId="21" fillId="0" borderId="30" xfId="0" applyFont="1" applyBorder="1" applyAlignment="1">
      <alignment horizontal="left" wrapText="1"/>
    </xf>
    <xf numFmtId="0" fontId="0" fillId="0" borderId="16" xfId="0" applyBorder="1" applyAlignment="1">
      <alignment horizontal="left"/>
    </xf>
    <xf numFmtId="0" fontId="0" fillId="0" borderId="0" xfId="0" applyBorder="1" applyAlignment="1">
      <alignment horizontal="left"/>
    </xf>
    <xf numFmtId="0" fontId="0" fillId="0" borderId="30" xfId="0" applyBorder="1" applyAlignment="1">
      <alignment horizontal="left"/>
    </xf>
    <xf numFmtId="0" fontId="20" fillId="37" borderId="18" xfId="0" applyFont="1" applyFill="1" applyBorder="1" applyAlignment="1">
      <alignment horizontal="left" wrapText="1"/>
    </xf>
    <xf numFmtId="0" fontId="20" fillId="37" borderId="19" xfId="0" applyFont="1" applyFill="1" applyBorder="1" applyAlignment="1">
      <alignment horizontal="left" wrapText="1"/>
    </xf>
    <xf numFmtId="0" fontId="20" fillId="37" borderId="23" xfId="0" applyFont="1" applyFill="1" applyBorder="1" applyAlignment="1">
      <alignment horizontal="left" wrapText="1"/>
    </xf>
    <xf numFmtId="0" fontId="0" fillId="0" borderId="0" xfId="0" applyFill="1" applyBorder="1" applyAlignment="1">
      <alignment horizontal="left" wrapText="1"/>
    </xf>
    <xf numFmtId="0" fontId="0" fillId="47" borderId="16" xfId="0" applyFill="1" applyBorder="1" applyAlignment="1">
      <alignment horizontal="left"/>
    </xf>
    <xf numFmtId="0" fontId="0" fillId="47" borderId="0" xfId="0" applyFill="1" applyBorder="1" applyAlignment="1">
      <alignment horizontal="left"/>
    </xf>
    <xf numFmtId="0" fontId="0" fillId="47" borderId="30" xfId="0" applyFill="1" applyBorder="1" applyAlignment="1">
      <alignment horizontal="left"/>
    </xf>
    <xf numFmtId="0" fontId="17" fillId="37" borderId="32" xfId="0" applyFont="1" applyFill="1" applyBorder="1" applyAlignment="1">
      <alignment horizontal="left"/>
    </xf>
    <xf numFmtId="0" fontId="17" fillId="37" borderId="33" xfId="0" applyFont="1" applyFill="1" applyBorder="1" applyAlignment="1">
      <alignment horizontal="left"/>
    </xf>
    <xf numFmtId="1" fontId="25" fillId="45" borderId="33" xfId="0" applyNumberFormat="1" applyFont="1" applyFill="1" applyBorder="1" applyAlignment="1">
      <alignment horizontal="right"/>
    </xf>
    <xf numFmtId="0" fontId="25" fillId="45" borderId="34" xfId="0" applyFont="1" applyFill="1" applyBorder="1" applyAlignment="1">
      <alignment horizontal="right"/>
    </xf>
    <xf numFmtId="0" fontId="26" fillId="37" borderId="18" xfId="0" applyFont="1" applyFill="1" applyBorder="1" applyAlignment="1">
      <alignment horizontal="left"/>
    </xf>
    <xf numFmtId="0" fontId="26" fillId="37" borderId="23" xfId="0" applyFont="1" applyFill="1" applyBorder="1" applyAlignment="1">
      <alignment horizontal="left"/>
    </xf>
    <xf numFmtId="0" fontId="0" fillId="0" borderId="16" xfId="0" applyBorder="1" applyAlignment="1">
      <alignment horizontal="center"/>
    </xf>
    <xf numFmtId="0" fontId="0" fillId="0" borderId="0" xfId="0" applyBorder="1" applyAlignment="1">
      <alignment horizontal="center"/>
    </xf>
    <xf numFmtId="0" fontId="0" fillId="0" borderId="30" xfId="0" applyBorder="1" applyAlignment="1">
      <alignment horizontal="center"/>
    </xf>
    <xf numFmtId="0" fontId="20" fillId="37" borderId="16" xfId="0" applyFont="1" applyFill="1" applyBorder="1" applyAlignment="1">
      <alignment horizontal="left" wrapText="1"/>
    </xf>
    <xf numFmtId="0" fontId="20" fillId="37" borderId="0" xfId="0" applyFont="1" applyFill="1" applyBorder="1" applyAlignment="1">
      <alignment horizontal="left" wrapText="1"/>
    </xf>
    <xf numFmtId="0" fontId="20" fillId="37" borderId="30" xfId="0" applyFont="1" applyFill="1" applyBorder="1" applyAlignment="1">
      <alignment horizontal="left" wrapText="1"/>
    </xf>
    <xf numFmtId="0" fontId="21" fillId="0" borderId="16" xfId="0" applyFont="1" applyFill="1" applyBorder="1" applyAlignment="1">
      <alignment horizontal="left" wrapText="1"/>
    </xf>
    <xf numFmtId="0" fontId="21" fillId="0" borderId="0" xfId="0" applyFont="1" applyFill="1" applyBorder="1" applyAlignment="1">
      <alignment horizontal="left" wrapText="1"/>
    </xf>
    <xf numFmtId="0" fontId="21" fillId="0" borderId="30" xfId="0" applyFont="1" applyFill="1" applyBorder="1" applyAlignment="1">
      <alignment horizontal="left" wrapText="1"/>
    </xf>
    <xf numFmtId="0" fontId="0" fillId="0" borderId="16" xfId="0" applyFill="1" applyBorder="1" applyAlignment="1">
      <alignment horizontal="left"/>
    </xf>
    <xf numFmtId="0" fontId="0" fillId="0" borderId="0" xfId="0" applyFill="1" applyBorder="1" applyAlignment="1">
      <alignment horizontal="left"/>
    </xf>
    <xf numFmtId="0" fontId="0" fillId="0" borderId="30" xfId="0" applyFill="1" applyBorder="1" applyAlignment="1">
      <alignment horizontal="left"/>
    </xf>
    <xf numFmtId="0" fontId="21" fillId="0" borderId="16" xfId="0" applyFont="1" applyFill="1" applyBorder="1" applyAlignment="1">
      <alignment horizontal="left"/>
    </xf>
    <xf numFmtId="0" fontId="21" fillId="0" borderId="0" xfId="0" applyFont="1" applyFill="1" applyBorder="1" applyAlignment="1">
      <alignment horizontal="left"/>
    </xf>
    <xf numFmtId="0" fontId="21" fillId="0" borderId="30" xfId="0" applyFont="1" applyFill="1" applyBorder="1" applyAlignment="1">
      <alignment horizontal="left"/>
    </xf>
    <xf numFmtId="0" fontId="0" fillId="0" borderId="16" xfId="0" applyFill="1" applyBorder="1" applyAlignment="1">
      <alignment horizontal="left" wrapText="1"/>
    </xf>
    <xf numFmtId="0" fontId="0" fillId="0" borderId="30" xfId="0" applyFill="1" applyBorder="1" applyAlignment="1">
      <alignment horizontal="left" wrapText="1"/>
    </xf>
    <xf numFmtId="0" fontId="0" fillId="0" borderId="16" xfId="0" applyFill="1" applyBorder="1" applyAlignment="1">
      <alignment horizontal="center"/>
    </xf>
    <xf numFmtId="0" fontId="0" fillId="0" borderId="0" xfId="0" applyFill="1" applyBorder="1" applyAlignment="1">
      <alignment horizontal="center"/>
    </xf>
    <xf numFmtId="0" fontId="0" fillId="0" borderId="30" xfId="0" applyFill="1" applyBorder="1" applyAlignment="1">
      <alignment horizontal="center"/>
    </xf>
    <xf numFmtId="0" fontId="20" fillId="0" borderId="0" xfId="0" applyFont="1" applyFill="1" applyBorder="1" applyAlignment="1">
      <alignment horizontal="left" wrapText="1"/>
    </xf>
    <xf numFmtId="2" fontId="0" fillId="46" borderId="20" xfId="0" applyNumberFormat="1" applyFill="1" applyBorder="1" applyAlignment="1">
      <alignment horizontal="left"/>
    </xf>
    <xf numFmtId="2" fontId="0" fillId="46" borderId="21" xfId="0" applyNumberFormat="1" applyFill="1" applyBorder="1" applyAlignment="1">
      <alignment horizontal="left"/>
    </xf>
    <xf numFmtId="2" fontId="0" fillId="46" borderId="24" xfId="0" applyNumberFormat="1" applyFill="1" applyBorder="1" applyAlignment="1">
      <alignment horizontal="left"/>
    </xf>
    <xf numFmtId="0" fontId="27" fillId="0" borderId="16" xfId="0" applyFont="1" applyBorder="1" applyAlignment="1">
      <alignment horizontal="left" wrapText="1"/>
    </xf>
    <xf numFmtId="0" fontId="27" fillId="0" borderId="0" xfId="0" applyFont="1" applyBorder="1" applyAlignment="1">
      <alignment horizontal="left" wrapText="1"/>
    </xf>
    <xf numFmtId="0" fontId="27" fillId="0" borderId="30" xfId="0" applyFont="1" applyBorder="1" applyAlignment="1">
      <alignment horizontal="left" wrapText="1"/>
    </xf>
    <xf numFmtId="0" fontId="24" fillId="0" borderId="20" xfId="0" applyFont="1" applyBorder="1" applyAlignment="1">
      <alignment horizontal="left"/>
    </xf>
    <xf numFmtId="0" fontId="24" fillId="0" borderId="21" xfId="0" applyFont="1" applyBorder="1" applyAlignment="1">
      <alignment horizontal="left"/>
    </xf>
    <xf numFmtId="0" fontId="24" fillId="0" borderId="24" xfId="0" applyFont="1" applyBorder="1" applyAlignment="1">
      <alignment horizontal="left"/>
    </xf>
    <xf numFmtId="0" fontId="20" fillId="37" borderId="18" xfId="0" applyFont="1" applyFill="1" applyBorder="1" applyAlignment="1">
      <alignment horizontal="left"/>
    </xf>
    <xf numFmtId="0" fontId="20" fillId="37" borderId="19" xfId="0" applyFont="1" applyFill="1" applyBorder="1" applyAlignment="1">
      <alignment horizontal="left"/>
    </xf>
    <xf numFmtId="0" fontId="20" fillId="37" borderId="23" xfId="0" applyFont="1" applyFill="1" applyBorder="1" applyAlignment="1">
      <alignment horizontal="left"/>
    </xf>
    <xf numFmtId="0" fontId="0" fillId="47" borderId="16" xfId="0" applyFill="1" applyBorder="1" applyAlignment="1">
      <alignment horizontal="center"/>
    </xf>
    <xf numFmtId="0" fontId="0" fillId="47" borderId="0" xfId="0" applyFill="1" applyBorder="1" applyAlignment="1">
      <alignment horizontal="center"/>
    </xf>
    <xf numFmtId="0" fontId="13" fillId="0" borderId="0" xfId="0" applyFont="1" applyFill="1" applyBorder="1" applyAlignment="1">
      <alignment horizontal="left"/>
    </xf>
    <xf numFmtId="0" fontId="0" fillId="47" borderId="20" xfId="0" applyFill="1" applyBorder="1" applyAlignment="1">
      <alignment horizontal="left"/>
    </xf>
    <xf numFmtId="0" fontId="0" fillId="47" borderId="21" xfId="0" applyFill="1" applyBorder="1" applyAlignment="1">
      <alignment horizontal="left"/>
    </xf>
    <xf numFmtId="0" fontId="0" fillId="47" borderId="21" xfId="0" applyFill="1" applyBorder="1" applyAlignment="1">
      <alignment horizontal="center"/>
    </xf>
    <xf numFmtId="0" fontId="17" fillId="37" borderId="50" xfId="0" applyFont="1" applyFill="1" applyBorder="1" applyAlignment="1">
      <alignment horizontal="left" wrapText="1"/>
    </xf>
    <xf numFmtId="0" fontId="17" fillId="37" borderId="46" xfId="0" applyFont="1" applyFill="1" applyBorder="1" applyAlignment="1">
      <alignment horizontal="left" wrapText="1"/>
    </xf>
    <xf numFmtId="0" fontId="17" fillId="37" borderId="52" xfId="0" applyFont="1" applyFill="1" applyBorder="1" applyAlignment="1">
      <alignment horizontal="left"/>
    </xf>
    <xf numFmtId="0" fontId="17" fillId="37" borderId="53" xfId="0" applyFont="1" applyFill="1" applyBorder="1" applyAlignment="1">
      <alignment horizontal="left"/>
    </xf>
    <xf numFmtId="0" fontId="0" fillId="36" borderId="32" xfId="0" applyFill="1" applyBorder="1" applyAlignment="1">
      <alignment horizontal="left"/>
    </xf>
    <xf numFmtId="0" fontId="0" fillId="36" borderId="33" xfId="0" applyFill="1" applyBorder="1" applyAlignment="1">
      <alignment horizontal="left"/>
    </xf>
    <xf numFmtId="0" fontId="0" fillId="36" borderId="34" xfId="0" applyFill="1" applyBorder="1" applyAlignment="1">
      <alignment horizontal="left"/>
    </xf>
    <xf numFmtId="0" fontId="16" fillId="41" borderId="12" xfId="0" applyFont="1" applyFill="1" applyBorder="1" applyAlignment="1">
      <alignment horizontal="center"/>
    </xf>
    <xf numFmtId="0" fontId="0" fillId="38" borderId="15" xfId="0" applyFill="1" applyBorder="1" applyAlignment="1">
      <alignment horizontal="left" vertical="center" wrapText="1"/>
    </xf>
    <xf numFmtId="0" fontId="0" fillId="34" borderId="15" xfId="0" applyFill="1" applyBorder="1" applyAlignment="1">
      <alignment horizontal="center" vertical="center"/>
    </xf>
    <xf numFmtId="0" fontId="16" fillId="40" borderId="55" xfId="0" applyFont="1" applyFill="1" applyBorder="1" applyAlignment="1">
      <alignment horizontal="center" vertical="center" wrapText="1"/>
    </xf>
    <xf numFmtId="0" fontId="16" fillId="40" borderId="56" xfId="0" applyFont="1" applyFill="1" applyBorder="1" applyAlignment="1">
      <alignment horizontal="center" vertical="center" wrapText="1"/>
    </xf>
    <xf numFmtId="0" fontId="16" fillId="40" borderId="57" xfId="0" applyFont="1" applyFill="1" applyBorder="1" applyAlignment="1">
      <alignment horizontal="center" vertical="center"/>
    </xf>
    <xf numFmtId="0" fontId="16" fillId="40" borderId="17" xfId="0" applyFont="1" applyFill="1" applyBorder="1" applyAlignment="1">
      <alignment horizontal="center" vertical="center"/>
    </xf>
    <xf numFmtId="0" fontId="16" fillId="40" borderId="58" xfId="0" applyFont="1" applyFill="1" applyBorder="1" applyAlignment="1">
      <alignment horizontal="center"/>
    </xf>
    <xf numFmtId="0" fontId="16" fillId="40" borderId="59" xfId="0" applyFont="1" applyFill="1" applyBorder="1" applyAlignment="1">
      <alignment horizontal="center"/>
    </xf>
    <xf numFmtId="0" fontId="16" fillId="40" borderId="60" xfId="0" applyFont="1" applyFill="1" applyBorder="1" applyAlignment="1">
      <alignment horizontal="center"/>
    </xf>
    <xf numFmtId="0" fontId="0" fillId="0" borderId="0" xfId="0" applyAlignment="1">
      <alignment horizontal="left" wrapText="1"/>
    </xf>
    <xf numFmtId="0" fontId="16" fillId="40" borderId="42" xfId="0" applyFont="1" applyFill="1" applyBorder="1" applyAlignment="1">
      <alignment horizontal="center"/>
    </xf>
    <xf numFmtId="0" fontId="16" fillId="40" borderId="43" xfId="0" applyFont="1" applyFill="1" applyBorder="1" applyAlignment="1">
      <alignment horizontal="center"/>
    </xf>
    <xf numFmtId="0" fontId="16" fillId="40" borderId="12" xfId="0" applyFont="1" applyFill="1" applyBorder="1" applyAlignment="1">
      <alignment horizontal="center"/>
    </xf>
    <xf numFmtId="0" fontId="16" fillId="40" borderId="13" xfId="0" applyFont="1" applyFill="1" applyBorder="1" applyAlignment="1">
      <alignment horizontal="center"/>
    </xf>
    <xf numFmtId="0" fontId="16" fillId="40" borderId="14" xfId="0" applyFont="1" applyFill="1" applyBorder="1" applyAlignment="1">
      <alignment horizontal="center"/>
    </xf>
    <xf numFmtId="0" fontId="16" fillId="40" borderId="55" xfId="0" applyFont="1" applyFill="1" applyBorder="1" applyAlignment="1">
      <alignment horizontal="center"/>
    </xf>
    <xf numFmtId="0" fontId="16" fillId="40" borderId="56" xfId="0" applyFont="1" applyFill="1" applyBorder="1" applyAlignment="1">
      <alignment horizontal="center"/>
    </xf>
    <xf numFmtId="0" fontId="16" fillId="40" borderId="57" xfId="0" applyFont="1" applyFill="1" applyBorder="1" applyAlignment="1">
      <alignment horizontal="center"/>
    </xf>
    <xf numFmtId="0" fontId="16" fillId="40" borderId="17" xfId="0" applyFont="1" applyFill="1" applyBorder="1" applyAlignment="1">
      <alignment horizontal="center"/>
    </xf>
    <xf numFmtId="0" fontId="0" fillId="40" borderId="42" xfId="0" applyFill="1" applyBorder="1" applyAlignment="1">
      <alignment horizontal="center"/>
    </xf>
    <xf numFmtId="0" fontId="0" fillId="40" borderId="43" xfId="0" applyFill="1" applyBorder="1" applyAlignment="1">
      <alignment horizontal="center"/>
    </xf>
    <xf numFmtId="0" fontId="0" fillId="40" borderId="12" xfId="0" applyFill="1" applyBorder="1" applyAlignment="1">
      <alignment horizontal="center"/>
    </xf>
    <xf numFmtId="0" fontId="0" fillId="40" borderId="13" xfId="0" applyFill="1" applyBorder="1" applyAlignment="1">
      <alignment horizontal="center"/>
    </xf>
    <xf numFmtId="0" fontId="0" fillId="40" borderId="14" xfId="0" applyFill="1" applyBorder="1" applyAlignment="1">
      <alignment horizontal="center"/>
    </xf>
    <xf numFmtId="0" fontId="16" fillId="40" borderId="55" xfId="0" applyFont="1" applyFill="1" applyBorder="1" applyAlignment="1">
      <alignment horizontal="left" wrapText="1"/>
    </xf>
    <xf numFmtId="0" fontId="16" fillId="40" borderId="56" xfId="0" applyFont="1" applyFill="1" applyBorder="1" applyAlignment="1">
      <alignment horizontal="left" wrapText="1"/>
    </xf>
    <xf numFmtId="0" fontId="16" fillId="40" borderId="57" xfId="0" applyFont="1" applyFill="1" applyBorder="1" applyAlignment="1">
      <alignment horizontal="left"/>
    </xf>
    <xf numFmtId="0" fontId="16" fillId="40" borderId="17" xfId="0" applyFont="1" applyFill="1" applyBorder="1" applyAlignment="1">
      <alignment horizontal="left"/>
    </xf>
    <xf numFmtId="0" fontId="0" fillId="0" borderId="16" xfId="0" applyBorder="1" applyAlignment="1">
      <alignment horizontal="center" vertical="center"/>
    </xf>
    <xf numFmtId="0" fontId="0" fillId="0" borderId="20" xfId="0" applyBorder="1" applyAlignment="1">
      <alignment horizontal="center" vertical="center"/>
    </xf>
    <xf numFmtId="0" fontId="0" fillId="0" borderId="20" xfId="0" applyBorder="1" applyAlignment="1">
      <alignment horizontal="center"/>
    </xf>
    <xf numFmtId="0" fontId="0" fillId="0" borderId="21" xfId="0" applyBorder="1" applyAlignment="1">
      <alignment horizontal="center"/>
    </xf>
    <xf numFmtId="0" fontId="0" fillId="0" borderId="24" xfId="0" applyBorder="1" applyAlignment="1">
      <alignment horizontal="center"/>
    </xf>
    <xf numFmtId="0" fontId="0" fillId="0" borderId="0" xfId="0" applyBorder="1" applyAlignment="1">
      <alignment horizontal="center" vertical="center"/>
    </xf>
    <xf numFmtId="0" fontId="0" fillId="0" borderId="30" xfId="0" applyBorder="1" applyAlignment="1">
      <alignment horizontal="center" vertical="center"/>
    </xf>
    <xf numFmtId="0" fontId="0" fillId="0" borderId="21" xfId="0" applyBorder="1" applyAlignment="1">
      <alignment horizontal="center" vertical="center"/>
    </xf>
    <xf numFmtId="0" fontId="0" fillId="0" borderId="24" xfId="0" applyBorder="1" applyAlignment="1">
      <alignment horizontal="center" vertical="center"/>
    </xf>
    <xf numFmtId="0" fontId="0" fillId="0" borderId="0" xfId="0"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22">
    <dxf>
      <font>
        <color rgb="FF9C0006"/>
      </font>
      <fill>
        <patternFill>
          <bgColor rgb="FFFFC7CE"/>
        </patternFill>
      </fill>
    </dxf>
    <dxf>
      <font>
        <color theme="0"/>
      </font>
      <fill>
        <patternFill patternType="none">
          <fgColor indexed="64"/>
          <bgColor auto="1"/>
        </patternFill>
      </fill>
      <border>
        <left/>
        <right/>
        <top/>
        <bottom/>
      </border>
    </dxf>
    <dxf>
      <font>
        <color theme="2" tint="-9.9948118533890809E-2"/>
      </font>
      <fill>
        <patternFill patternType="none">
          <bgColor auto="1"/>
        </patternFill>
      </fill>
    </dxf>
    <dxf>
      <font>
        <color theme="2" tint="-9.9948118533890809E-2"/>
      </font>
      <fill>
        <patternFill>
          <bgColor theme="0"/>
        </patternFill>
      </fill>
    </dxf>
    <dxf>
      <font>
        <color theme="6" tint="0.59996337778862885"/>
      </font>
      <fill>
        <patternFill patternType="none">
          <bgColor auto="1"/>
        </patternFill>
      </fill>
    </dxf>
    <dxf>
      <font>
        <color theme="0" tint="-0.14996795556505021"/>
      </font>
      <fill>
        <patternFill patternType="none">
          <bgColor auto="1"/>
        </patternFill>
      </fill>
    </dxf>
    <dxf>
      <font>
        <color theme="6" tint="0.59996337778862885"/>
      </font>
      <fill>
        <patternFill patternType="none">
          <bgColor auto="1"/>
        </patternFill>
      </fill>
    </dxf>
    <dxf>
      <font>
        <color theme="6" tint="0.39994506668294322"/>
      </font>
      <fill>
        <patternFill patternType="none">
          <bgColor auto="1"/>
        </patternFill>
      </fill>
    </dxf>
    <dxf>
      <font>
        <color theme="6" tint="0.59996337778862885"/>
      </font>
      <fill>
        <patternFill patternType="none">
          <bgColor auto="1"/>
        </patternFill>
      </fill>
    </dxf>
    <dxf>
      <font>
        <color theme="6" tint="0.39994506668294322"/>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s>
  <tableStyles count="0" defaultTableStyle="TableStyleMedium2" defaultPivotStyle="PivotStyleLight16"/>
  <colors>
    <mruColors>
      <color rgb="FFABD4E3"/>
      <color rgb="FF5CACC8"/>
      <color rgb="FFCEE6B0"/>
      <color rgb="FF87C543"/>
      <color rgb="FF9ACC5C"/>
      <color rgb="FFABD47B"/>
      <color rgb="FFBED28C"/>
      <color rgb="FF8FC6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26" Type="http://schemas.openxmlformats.org/officeDocument/2006/relationships/customXml" Target="../customXml/item3.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Scenario 1 - kgCO2e</a:t>
            </a:r>
            <a:r>
              <a:rPr lang="en-US" baseline="0">
                <a:solidFill>
                  <a:schemeClr val="bg1"/>
                </a:solidFill>
              </a:rPr>
              <a:t> By Life Cycle Stage</a:t>
            </a:r>
            <a:endParaRPr lang="en-US">
              <a:solidFill>
                <a:schemeClr val="bg1"/>
              </a:solidFill>
            </a:endParaRPr>
          </a:p>
        </c:rich>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spPr>
            <a:solidFill>
              <a:srgbClr val="9ACC5C"/>
            </a:solidFill>
            <a:ln>
              <a:noFill/>
            </a:ln>
            <a:effectLst/>
          </c:spPr>
          <c:invertIfNegative val="0"/>
          <c:dPt>
            <c:idx val="0"/>
            <c:invertIfNegative val="0"/>
            <c:bubble3D val="0"/>
            <c:spPr>
              <a:solidFill>
                <a:srgbClr val="CEE6B0"/>
              </a:solidFill>
              <a:ln>
                <a:noFill/>
              </a:ln>
              <a:effectLst/>
            </c:spPr>
            <c:extLst>
              <c:ext xmlns:c16="http://schemas.microsoft.com/office/drawing/2014/chart" uri="{C3380CC4-5D6E-409C-BE32-E72D297353CC}">
                <c16:uniqueId val="{00000003-C692-4284-A634-14E865A4B9AF}"/>
              </c:ext>
            </c:extLst>
          </c:dPt>
          <c:dPt>
            <c:idx val="7"/>
            <c:invertIfNegative val="0"/>
            <c:bubble3D val="0"/>
            <c:spPr>
              <a:solidFill>
                <a:srgbClr val="5CACC8"/>
              </a:solidFill>
              <a:ln>
                <a:noFill/>
              </a:ln>
              <a:effectLst/>
            </c:spPr>
            <c:extLst>
              <c:ext xmlns:c16="http://schemas.microsoft.com/office/drawing/2014/chart" uri="{C3380CC4-5D6E-409C-BE32-E72D297353CC}">
                <c16:uniqueId val="{00000000-3968-4A55-B884-CFFE79EEB44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'Scenario 1 - Calc Sheet'!$H$27:$O$27</c:f>
              <c:strCache>
                <c:ptCount val="8"/>
                <c:pt idx="0">
                  <c:v>A0 Forest Factors-not incl. in net</c:v>
                </c:pt>
                <c:pt idx="1">
                  <c:v>A1-A3 Product Total</c:v>
                </c:pt>
                <c:pt idx="2">
                  <c:v>A1 - A3 Biogenic Carbon In Product</c:v>
                </c:pt>
                <c:pt idx="3">
                  <c:v>A4 Transportation</c:v>
                </c:pt>
                <c:pt idx="4">
                  <c:v>C2-4 Biogenic Emissions From Product</c:v>
                </c:pt>
                <c:pt idx="5">
                  <c:v>C2-4 Non Biogenic-Emissions</c:v>
                </c:pt>
                <c:pt idx="6">
                  <c:v>Module D</c:v>
                </c:pt>
                <c:pt idx="7">
                  <c:v>Net</c:v>
                </c:pt>
              </c:strCache>
            </c:strRef>
          </c:cat>
          <c:val>
            <c:numRef>
              <c:f>'Scenario 1 - Calc Sheet'!$H$28:$O$28</c:f>
              <c:numCache>
                <c:formatCode>0.0</c:formatCode>
                <c:ptCount val="8"/>
                <c:pt idx="0">
                  <c:v>0</c:v>
                </c:pt>
                <c:pt idx="1">
                  <c:v>0</c:v>
                </c:pt>
                <c:pt idx="2">
                  <c:v>0</c:v>
                </c:pt>
                <c:pt idx="3">
                  <c:v>0</c:v>
                </c:pt>
                <c:pt idx="4">
                  <c:v>0</c:v>
                </c:pt>
                <c:pt idx="5">
                  <c:v>0</c:v>
                </c:pt>
                <c:pt idx="6">
                  <c:v>0</c:v>
                </c:pt>
                <c:pt idx="7" formatCode="0">
                  <c:v>0</c:v>
                </c:pt>
              </c:numCache>
            </c:numRef>
          </c:val>
          <c:extLst>
            <c:ext xmlns:c16="http://schemas.microsoft.com/office/drawing/2014/chart" uri="{C3380CC4-5D6E-409C-BE32-E72D297353CC}">
              <c16:uniqueId val="{00000000-5B35-41ED-AD84-7897EAFAAC73}"/>
            </c:ext>
          </c:extLst>
        </c:ser>
        <c:dLbls>
          <c:showLegendKey val="0"/>
          <c:showVal val="0"/>
          <c:showCatName val="0"/>
          <c:showSerName val="0"/>
          <c:showPercent val="0"/>
          <c:showBubbleSize val="0"/>
        </c:dLbls>
        <c:gapWidth val="3"/>
        <c:overlap val="-27"/>
        <c:axId val="197185824"/>
        <c:axId val="466673040"/>
      </c:barChart>
      <c:catAx>
        <c:axId val="19718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466673040"/>
        <c:crosses val="autoZero"/>
        <c:auto val="1"/>
        <c:lblAlgn val="ctr"/>
        <c:lblOffset val="100"/>
        <c:noMultiLvlLbl val="0"/>
      </c:catAx>
      <c:valAx>
        <c:axId val="46667304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185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dk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Comparison</a:t>
            </a:r>
            <a:r>
              <a:rPr lang="en-US" baseline="0">
                <a:solidFill>
                  <a:schemeClr val="bg1"/>
                </a:solidFill>
              </a:rPr>
              <a:t> of Scenarios for Net GWP (kgCO2e)</a:t>
            </a:r>
            <a:endParaRPr lang="en-US">
              <a:solidFill>
                <a:schemeClr val="bg1"/>
              </a:solidFill>
            </a:endParaRPr>
          </a:p>
        </c:rich>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8.389704442910112E-2"/>
          <c:y val="0.17388905521689774"/>
          <c:w val="0.88628067900880003"/>
          <c:h val="0.78939027656682514"/>
        </c:manualLayout>
      </c:layout>
      <c:barChart>
        <c:barDir val="col"/>
        <c:grouping val="stacked"/>
        <c:varyColors val="0"/>
        <c:ser>
          <c:idx val="0"/>
          <c:order val="0"/>
          <c:tx>
            <c:strRef>
              <c:f>'Scenario 1 - Calc Sheet'!$G$52</c:f>
              <c:strCache>
                <c:ptCount val="1"/>
                <c:pt idx="0">
                  <c:v>Wood kgCO2e</c:v>
                </c:pt>
              </c:strCache>
            </c:strRef>
          </c:tx>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'Scenario 1 - Calc Sheet'!$I$51:$K$51</c:f>
              <c:strCache>
                <c:ptCount val="3"/>
                <c:pt idx="0">
                  <c:v>Baseline</c:v>
                </c:pt>
                <c:pt idx="1">
                  <c:v>Scenario 1</c:v>
                </c:pt>
                <c:pt idx="2">
                  <c:v>Net</c:v>
                </c:pt>
              </c:strCache>
            </c:strRef>
          </c:cat>
          <c:val>
            <c:numRef>
              <c:f>'Scenario 1 - Calc Sheet'!$I$52:$K$52</c:f>
              <c:numCache>
                <c:formatCode>0.0</c:formatCode>
                <c:ptCount val="3"/>
                <c:pt idx="0">
                  <c:v>0</c:v>
                </c:pt>
                <c:pt idx="1">
                  <c:v>0</c:v>
                </c:pt>
              </c:numCache>
            </c:numRef>
          </c:val>
          <c:extLst>
            <c:ext xmlns:c16="http://schemas.microsoft.com/office/drawing/2014/chart" uri="{C3380CC4-5D6E-409C-BE32-E72D297353CC}">
              <c16:uniqueId val="{00000000-01AD-4569-AF54-06CDC7AF2D6A}"/>
            </c:ext>
          </c:extLst>
        </c:ser>
        <c:ser>
          <c:idx val="1"/>
          <c:order val="1"/>
          <c:tx>
            <c:strRef>
              <c:f>'Scenario 1 - Calc Sheet'!$G$53</c:f>
              <c:strCache>
                <c:ptCount val="1"/>
                <c:pt idx="0">
                  <c:v>Non Wood kgCOe</c:v>
                </c:pt>
              </c:strCache>
            </c:strRef>
          </c:tx>
          <c:spPr>
            <a:solidFill>
              <a:srgbClr val="ABD4E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'Scenario 1 - Calc Sheet'!$I$51:$K$51</c:f>
              <c:strCache>
                <c:ptCount val="3"/>
                <c:pt idx="0">
                  <c:v>Baseline</c:v>
                </c:pt>
                <c:pt idx="1">
                  <c:v>Scenario 1</c:v>
                </c:pt>
                <c:pt idx="2">
                  <c:v>Net</c:v>
                </c:pt>
              </c:strCache>
            </c:strRef>
          </c:cat>
          <c:val>
            <c:numRef>
              <c:f>'Scenario 1 - Calc Sheet'!$I$53:$K$53</c:f>
              <c:numCache>
                <c:formatCode>0.0</c:formatCode>
                <c:ptCount val="3"/>
                <c:pt idx="0" formatCode="General">
                  <c:v>0</c:v>
                </c:pt>
                <c:pt idx="1">
                  <c:v>0</c:v>
                </c:pt>
              </c:numCache>
            </c:numRef>
          </c:val>
          <c:extLst>
            <c:ext xmlns:c16="http://schemas.microsoft.com/office/drawing/2014/chart" uri="{C3380CC4-5D6E-409C-BE32-E72D297353CC}">
              <c16:uniqueId val="{00000001-01AD-4569-AF54-06CDC7AF2D6A}"/>
            </c:ext>
          </c:extLst>
        </c:ser>
        <c:ser>
          <c:idx val="2"/>
          <c:order val="2"/>
          <c:tx>
            <c:strRef>
              <c:f>'Scenario 1 - Calc Sheet'!$G$54</c:f>
              <c:strCache>
                <c:ptCount val="1"/>
                <c:pt idx="0">
                  <c:v>Net kgCO2e</c:v>
                </c:pt>
              </c:strCache>
            </c:strRef>
          </c:tx>
          <c:spPr>
            <a:solidFill>
              <a:srgbClr val="5CACC8"/>
            </a:solidFill>
            <a:ln>
              <a:noFill/>
            </a:ln>
            <a:effectLst/>
          </c:spPr>
          <c:invertIfNegative val="0"/>
          <c:dLbls>
            <c:dLbl>
              <c:idx val="2"/>
              <c:layout>
                <c:manualLayout>
                  <c:x val="0"/>
                  <c:y val="-6.446602758495920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54B-4026-B8F1-05AFDA7B843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'Scenario 1 - Calc Sheet'!$I$51:$K$51</c:f>
              <c:strCache>
                <c:ptCount val="3"/>
                <c:pt idx="0">
                  <c:v>Baseline</c:v>
                </c:pt>
                <c:pt idx="1">
                  <c:v>Scenario 1</c:v>
                </c:pt>
                <c:pt idx="2">
                  <c:v>Net</c:v>
                </c:pt>
              </c:strCache>
            </c:strRef>
          </c:cat>
          <c:val>
            <c:numRef>
              <c:f>'Scenario 1 - Calc Sheet'!$I$54:$K$54</c:f>
              <c:numCache>
                <c:formatCode>General</c:formatCode>
                <c:ptCount val="3"/>
                <c:pt idx="2" formatCode="0.0">
                  <c:v>0</c:v>
                </c:pt>
              </c:numCache>
            </c:numRef>
          </c:val>
          <c:extLst>
            <c:ext xmlns:c16="http://schemas.microsoft.com/office/drawing/2014/chart" uri="{C3380CC4-5D6E-409C-BE32-E72D297353CC}">
              <c16:uniqueId val="{00000001-E54B-4026-B8F1-05AFDA7B8431}"/>
            </c:ext>
          </c:extLst>
        </c:ser>
        <c:dLbls>
          <c:showLegendKey val="0"/>
          <c:showVal val="0"/>
          <c:showCatName val="0"/>
          <c:showSerName val="0"/>
          <c:showPercent val="0"/>
          <c:showBubbleSize val="0"/>
        </c:dLbls>
        <c:gapWidth val="14"/>
        <c:overlap val="100"/>
        <c:axId val="1634508592"/>
        <c:axId val="1402756528"/>
      </c:barChart>
      <c:catAx>
        <c:axId val="1634508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402756528"/>
        <c:crosses val="autoZero"/>
        <c:auto val="1"/>
        <c:lblAlgn val="ctr"/>
        <c:lblOffset val="100"/>
        <c:noMultiLvlLbl val="0"/>
      </c:catAx>
      <c:valAx>
        <c:axId val="140275652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4508592"/>
        <c:crosses val="autoZero"/>
        <c:crossBetween val="between"/>
      </c:valAx>
      <c:spPr>
        <a:noFill/>
        <a:ln>
          <a:noFill/>
        </a:ln>
        <a:effectLst/>
      </c:spPr>
    </c:plotArea>
    <c:legend>
      <c:legendPos val="r"/>
      <c:layout>
        <c:manualLayout>
          <c:xMode val="edge"/>
          <c:yMode val="edge"/>
          <c:x val="0.15136747758382402"/>
          <c:y val="9.5179078313856302E-2"/>
          <c:w val="0.66253928472206758"/>
          <c:h val="7.552892087760557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dk1"/>
      </a:solid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200" b="0" i="0" u="none" strike="noStrike" kern="1200" spc="0" baseline="0">
                <a:solidFill>
                  <a:schemeClr val="bg1"/>
                </a:solidFill>
                <a:latin typeface="+mn-lt"/>
                <a:ea typeface="+mn-ea"/>
                <a:cs typeface="+mn-cs"/>
              </a:defRPr>
            </a:pPr>
            <a:r>
              <a:rPr lang="en-US">
                <a:solidFill>
                  <a:schemeClr val="bg1"/>
                </a:solidFill>
              </a:rPr>
              <a:t>Custom End of Life Scenarios - kgCO2e</a:t>
            </a:r>
            <a:r>
              <a:rPr lang="en-US" baseline="0">
                <a:solidFill>
                  <a:schemeClr val="bg1"/>
                </a:solidFill>
              </a:rPr>
              <a:t> By Module</a:t>
            </a:r>
            <a:endParaRPr lang="en-US">
              <a:solidFill>
                <a:schemeClr val="bg1"/>
              </a:solidFill>
            </a:endParaRPr>
          </a:p>
        </c:rich>
      </c:tx>
      <c:overlay val="0"/>
      <c:spPr>
        <a:solidFill>
          <a:schemeClr val="tx1">
            <a:lumMod val="65000"/>
            <a:lumOff val="35000"/>
          </a:schemeClr>
        </a:solidFill>
        <a:ln>
          <a:noFill/>
        </a:ln>
        <a:effectLst/>
      </c:spPr>
      <c:txPr>
        <a:bodyPr rot="0" spcFirstLastPara="1" vertOverflow="ellipsis" vert="horz" wrap="square" anchor="ctr" anchorCtr="1"/>
        <a:lstStyle/>
        <a:p>
          <a:pPr>
            <a:defRPr lang="en-US" sz="12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Factors'!$B$6</c:f>
              <c:strCache>
                <c:ptCount val="1"/>
                <c:pt idx="0">
                  <c:v>C2-4 Non-Biogenic Emissions</c:v>
                </c:pt>
              </c:strCache>
            </c:strRef>
          </c:tx>
          <c:spPr>
            <a:solidFill>
              <a:srgbClr val="9ACC5C"/>
            </a:solidFill>
            <a:ln>
              <a:noFill/>
            </a:ln>
            <a:effectLst/>
          </c:spPr>
          <c:invertIfNegative val="0"/>
          <c:dLbls>
            <c:spPr>
              <a:noFill/>
              <a:ln>
                <a:noFill/>
              </a:ln>
              <a:effectLst/>
            </c:spPr>
            <c:txPr>
              <a:bodyPr rot="-5400000" spcFirstLastPara="1" vertOverflow="ellipsis"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Factors'!$C$4:$H$4</c:f>
              <c:strCache>
                <c:ptCount val="6"/>
                <c:pt idx="0">
                  <c:v>landfill</c:v>
                </c:pt>
                <c:pt idx="1">
                  <c:v>landfill with gas energy recovery</c:v>
                </c:pt>
                <c:pt idx="2">
                  <c:v>landfill with flare</c:v>
                </c:pt>
                <c:pt idx="3">
                  <c:v>Incineration</c:v>
                </c:pt>
                <c:pt idx="4">
                  <c:v>Recycling</c:v>
                </c:pt>
                <c:pt idx="5">
                  <c:v>Total</c:v>
                </c:pt>
              </c:strCache>
            </c:strRef>
          </c:cat>
          <c:val>
            <c:numRef>
              <c:f>'EOL Factors'!$C$6:$H$6</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2653-4382-83F1-9A8BC5B45EB6}"/>
            </c:ext>
          </c:extLst>
        </c:ser>
        <c:ser>
          <c:idx val="1"/>
          <c:order val="1"/>
          <c:tx>
            <c:strRef>
              <c:f>'EOL Factors'!$B$7</c:f>
              <c:strCache>
                <c:ptCount val="1"/>
                <c:pt idx="0">
                  <c:v>C2-4 Biogenic Emissions</c:v>
                </c:pt>
              </c:strCache>
            </c:strRef>
          </c:tx>
          <c:spPr>
            <a:solidFill>
              <a:srgbClr val="CEE6B0"/>
            </a:solidFill>
            <a:ln>
              <a:noFill/>
            </a:ln>
            <a:effectLst/>
          </c:spPr>
          <c:invertIfNegative val="0"/>
          <c:dLbls>
            <c:spPr>
              <a:noFill/>
              <a:ln>
                <a:noFill/>
              </a:ln>
              <a:effectLst/>
            </c:spPr>
            <c:txPr>
              <a:bodyPr rot="-5400000" spcFirstLastPara="1" vertOverflow="ellipsis"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Factors'!$C$4:$H$4</c:f>
              <c:strCache>
                <c:ptCount val="6"/>
                <c:pt idx="0">
                  <c:v>landfill</c:v>
                </c:pt>
                <c:pt idx="1">
                  <c:v>landfill with gas energy recovery</c:v>
                </c:pt>
                <c:pt idx="2">
                  <c:v>landfill with flare</c:v>
                </c:pt>
                <c:pt idx="3">
                  <c:v>Incineration</c:v>
                </c:pt>
                <c:pt idx="4">
                  <c:v>Recycling</c:v>
                </c:pt>
                <c:pt idx="5">
                  <c:v>Total</c:v>
                </c:pt>
              </c:strCache>
            </c:strRef>
          </c:cat>
          <c:val>
            <c:numRef>
              <c:f>'EOL Factors'!$C$7:$H$7</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2653-4382-83F1-9A8BC5B45EB6}"/>
            </c:ext>
          </c:extLst>
        </c:ser>
        <c:ser>
          <c:idx val="2"/>
          <c:order val="2"/>
          <c:tx>
            <c:strRef>
              <c:f>'EOL Factors'!$B$8</c:f>
              <c:strCache>
                <c:ptCount val="1"/>
                <c:pt idx="0">
                  <c:v>Module D</c:v>
                </c:pt>
              </c:strCache>
            </c:strRef>
          </c:tx>
          <c:spPr>
            <a:solidFill>
              <a:schemeClr val="bg2">
                <a:lumMod val="90000"/>
              </a:schemeClr>
            </a:solidFill>
            <a:ln>
              <a:noFill/>
            </a:ln>
            <a:effectLst/>
          </c:spPr>
          <c:invertIfNegative val="0"/>
          <c:dLbls>
            <c:spPr>
              <a:noFill/>
              <a:ln>
                <a:noFill/>
              </a:ln>
              <a:effectLst/>
            </c:spPr>
            <c:txPr>
              <a:bodyPr rot="-5400000" spcFirstLastPara="1" vertOverflow="ellipsis"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Factors'!$C$4:$H$4</c:f>
              <c:strCache>
                <c:ptCount val="6"/>
                <c:pt idx="0">
                  <c:v>landfill</c:v>
                </c:pt>
                <c:pt idx="1">
                  <c:v>landfill with gas energy recovery</c:v>
                </c:pt>
                <c:pt idx="2">
                  <c:v>landfill with flare</c:v>
                </c:pt>
                <c:pt idx="3">
                  <c:v>Incineration</c:v>
                </c:pt>
                <c:pt idx="4">
                  <c:v>Recycling</c:v>
                </c:pt>
                <c:pt idx="5">
                  <c:v>Total</c:v>
                </c:pt>
              </c:strCache>
            </c:strRef>
          </c:cat>
          <c:val>
            <c:numRef>
              <c:f>'EOL Factors'!$C$8:$H$8</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2-2653-4382-83F1-9A8BC5B45EB6}"/>
            </c:ext>
          </c:extLst>
        </c:ser>
        <c:ser>
          <c:idx val="3"/>
          <c:order val="3"/>
          <c:tx>
            <c:strRef>
              <c:f>'EOL Factors'!$B$9</c:f>
              <c:strCache>
                <c:ptCount val="1"/>
                <c:pt idx="0">
                  <c:v>Net</c:v>
                </c:pt>
              </c:strCache>
            </c:strRef>
          </c:tx>
          <c:spPr>
            <a:solidFill>
              <a:srgbClr val="5CACC8"/>
            </a:solidFill>
            <a:ln>
              <a:noFill/>
            </a:ln>
            <a:effectLst/>
          </c:spPr>
          <c:invertIfNegative val="0"/>
          <c:dLbls>
            <c:spPr>
              <a:noFill/>
              <a:ln>
                <a:noFill/>
              </a:ln>
              <a:effectLst/>
            </c:spPr>
            <c:txPr>
              <a:bodyPr rot="-5400000" spcFirstLastPara="1" vertOverflow="ellipsis"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Factors'!$C$4:$H$4</c:f>
              <c:strCache>
                <c:ptCount val="6"/>
                <c:pt idx="0">
                  <c:v>landfill</c:v>
                </c:pt>
                <c:pt idx="1">
                  <c:v>landfill with gas energy recovery</c:v>
                </c:pt>
                <c:pt idx="2">
                  <c:v>landfill with flare</c:v>
                </c:pt>
                <c:pt idx="3">
                  <c:v>Incineration</c:v>
                </c:pt>
                <c:pt idx="4">
                  <c:v>Recycling</c:v>
                </c:pt>
                <c:pt idx="5">
                  <c:v>Total</c:v>
                </c:pt>
              </c:strCache>
            </c:strRef>
          </c:cat>
          <c:val>
            <c:numRef>
              <c:f>'EOL Factors'!$C$9:$H$9</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3-2653-4382-83F1-9A8BC5B45EB6}"/>
            </c:ext>
          </c:extLst>
        </c:ser>
        <c:dLbls>
          <c:dLblPos val="outEnd"/>
          <c:showLegendKey val="0"/>
          <c:showVal val="1"/>
          <c:showCatName val="0"/>
          <c:showSerName val="0"/>
          <c:showPercent val="0"/>
          <c:showBubbleSize val="0"/>
        </c:dLbls>
        <c:gapWidth val="275"/>
        <c:axId val="117812848"/>
        <c:axId val="112185040"/>
      </c:barChart>
      <c:catAx>
        <c:axId val="117812848"/>
        <c:scaling>
          <c:orientation val="minMax"/>
        </c:scaling>
        <c:delete val="0"/>
        <c:axPos val="b"/>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crossAx val="112185040"/>
        <c:crosses val="autoZero"/>
        <c:auto val="1"/>
        <c:lblAlgn val="ctr"/>
        <c:lblOffset val="100"/>
        <c:noMultiLvlLbl val="0"/>
      </c:catAx>
      <c:valAx>
        <c:axId val="112185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17812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8575" cap="flat" cmpd="sng" algn="ctr">
      <a:solidFill>
        <a:schemeClr val="tx1"/>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'EOL Factors'!$J$11:$O$11</c:f>
          <c:strCache>
            <c:ptCount val="6"/>
            <c:pt idx="0">
              <c:v>EPA WARM - Landfill Calculations</c:v>
            </c:pt>
          </c:strCache>
        </c:strRef>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Factors'!$K$14</c:f>
              <c:strCache>
                <c:ptCount val="1"/>
                <c:pt idx="0">
                  <c:v>C2-4 - Non Biogenic Emissions</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Factors'!$J$15:$J$21</c:f>
              <c:strCache>
                <c:ptCount val="7"/>
                <c:pt idx="0">
                  <c:v>landfill gas CO2 emissions</c:v>
                </c:pt>
                <c:pt idx="1">
                  <c:v>landfill gas CH4 emissions</c:v>
                </c:pt>
                <c:pt idx="2">
                  <c:v>CO2 emissions from CH4 converted to CO2 through soil</c:v>
                </c:pt>
                <c:pt idx="3">
                  <c:v>heavy equipment</c:v>
                </c:pt>
                <c:pt idx="4">
                  <c:v>transport</c:v>
                </c:pt>
                <c:pt idx="5">
                  <c:v>Total</c:v>
                </c:pt>
                <c:pt idx="6">
                  <c:v>net</c:v>
                </c:pt>
              </c:strCache>
            </c:strRef>
          </c:cat>
          <c:val>
            <c:numRef>
              <c:f>'EOL Factors'!$K$15:$K$21</c:f>
              <c:numCache>
                <c:formatCode>0.0</c:formatCode>
                <c:ptCount val="7"/>
                <c:pt idx="1">
                  <c:v>0</c:v>
                </c:pt>
                <c:pt idx="3">
                  <c:v>0</c:v>
                </c:pt>
                <c:pt idx="4">
                  <c:v>0</c:v>
                </c:pt>
                <c:pt idx="5">
                  <c:v>0</c:v>
                </c:pt>
              </c:numCache>
            </c:numRef>
          </c:val>
          <c:extLst>
            <c:ext xmlns:c16="http://schemas.microsoft.com/office/drawing/2014/chart" uri="{C3380CC4-5D6E-409C-BE32-E72D297353CC}">
              <c16:uniqueId val="{00000000-0651-49EE-A256-A245A9F51040}"/>
            </c:ext>
          </c:extLst>
        </c:ser>
        <c:ser>
          <c:idx val="1"/>
          <c:order val="1"/>
          <c:tx>
            <c:strRef>
              <c:f>'EOL Factors'!$L$14</c:f>
              <c:strCache>
                <c:ptCount val="1"/>
                <c:pt idx="0">
                  <c:v>C2-4 biogenic emissions</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Factors'!$J$15:$J$21</c:f>
              <c:strCache>
                <c:ptCount val="7"/>
                <c:pt idx="0">
                  <c:v>landfill gas CO2 emissions</c:v>
                </c:pt>
                <c:pt idx="1">
                  <c:v>landfill gas CH4 emissions</c:v>
                </c:pt>
                <c:pt idx="2">
                  <c:v>CO2 emissions from CH4 converted to CO2 through soil</c:v>
                </c:pt>
                <c:pt idx="3">
                  <c:v>heavy equipment</c:v>
                </c:pt>
                <c:pt idx="4">
                  <c:v>transport</c:v>
                </c:pt>
                <c:pt idx="5">
                  <c:v>Total</c:v>
                </c:pt>
                <c:pt idx="6">
                  <c:v>net</c:v>
                </c:pt>
              </c:strCache>
            </c:strRef>
          </c:cat>
          <c:val>
            <c:numRef>
              <c:f>'EOL Factors'!$L$15:$L$21</c:f>
              <c:numCache>
                <c:formatCode>0.0</c:formatCode>
                <c:ptCount val="7"/>
                <c:pt idx="0">
                  <c:v>0</c:v>
                </c:pt>
                <c:pt idx="2">
                  <c:v>0</c:v>
                </c:pt>
                <c:pt idx="5">
                  <c:v>0</c:v>
                </c:pt>
              </c:numCache>
            </c:numRef>
          </c:val>
          <c:extLst>
            <c:ext xmlns:c16="http://schemas.microsoft.com/office/drawing/2014/chart" uri="{C3380CC4-5D6E-409C-BE32-E72D297353CC}">
              <c16:uniqueId val="{00000001-0651-49EE-A256-A245A9F51040}"/>
            </c:ext>
          </c:extLst>
        </c:ser>
        <c:ser>
          <c:idx val="2"/>
          <c:order val="2"/>
          <c:tx>
            <c:strRef>
              <c:f>'EOL Factors'!$M$14</c:f>
              <c:strCache>
                <c:ptCount val="1"/>
                <c:pt idx="0">
                  <c:v>Module 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Factors'!$J$15:$J$21</c:f>
              <c:strCache>
                <c:ptCount val="7"/>
                <c:pt idx="0">
                  <c:v>landfill gas CO2 emissions</c:v>
                </c:pt>
                <c:pt idx="1">
                  <c:v>landfill gas CH4 emissions</c:v>
                </c:pt>
                <c:pt idx="2">
                  <c:v>CO2 emissions from CH4 converted to CO2 through soil</c:v>
                </c:pt>
                <c:pt idx="3">
                  <c:v>heavy equipment</c:v>
                </c:pt>
                <c:pt idx="4">
                  <c:v>transport</c:v>
                </c:pt>
                <c:pt idx="5">
                  <c:v>Total</c:v>
                </c:pt>
                <c:pt idx="6">
                  <c:v>net</c:v>
                </c:pt>
              </c:strCache>
            </c:strRef>
          </c:cat>
          <c:val>
            <c:numRef>
              <c:f>'EOL Factors'!$M$15:$M$21</c:f>
              <c:numCache>
                <c:formatCode>0.0</c:formatCode>
                <c:ptCount val="7"/>
                <c:pt idx="5">
                  <c:v>0</c:v>
                </c:pt>
              </c:numCache>
            </c:numRef>
          </c:val>
          <c:extLst>
            <c:ext xmlns:c16="http://schemas.microsoft.com/office/drawing/2014/chart" uri="{C3380CC4-5D6E-409C-BE32-E72D297353CC}">
              <c16:uniqueId val="{00000002-0651-49EE-A256-A245A9F51040}"/>
            </c:ext>
          </c:extLst>
        </c:ser>
        <c:ser>
          <c:idx val="3"/>
          <c:order val="3"/>
          <c:tx>
            <c:strRef>
              <c:f>'EOL Factors'!$N$14</c:f>
              <c:strCache>
                <c:ptCount val="1"/>
                <c:pt idx="0">
                  <c:v>Net</c:v>
                </c:pt>
              </c:strCache>
            </c:strRef>
          </c:tx>
          <c:spPr>
            <a:solidFill>
              <a:srgbClr val="5CACC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Factors'!$J$15:$J$21</c:f>
              <c:strCache>
                <c:ptCount val="7"/>
                <c:pt idx="0">
                  <c:v>landfill gas CO2 emissions</c:v>
                </c:pt>
                <c:pt idx="1">
                  <c:v>landfill gas CH4 emissions</c:v>
                </c:pt>
                <c:pt idx="2">
                  <c:v>CO2 emissions from CH4 converted to CO2 through soil</c:v>
                </c:pt>
                <c:pt idx="3">
                  <c:v>heavy equipment</c:v>
                </c:pt>
                <c:pt idx="4">
                  <c:v>transport</c:v>
                </c:pt>
                <c:pt idx="5">
                  <c:v>Total</c:v>
                </c:pt>
                <c:pt idx="6">
                  <c:v>net</c:v>
                </c:pt>
              </c:strCache>
            </c:strRef>
          </c:cat>
          <c:val>
            <c:numRef>
              <c:f>'EOL Factors'!$N$15:$N$21</c:f>
              <c:numCache>
                <c:formatCode>0.0</c:formatCode>
                <c:ptCount val="7"/>
                <c:pt idx="6">
                  <c:v>0</c:v>
                </c:pt>
              </c:numCache>
            </c:numRef>
          </c:val>
          <c:extLst>
            <c:ext xmlns:c16="http://schemas.microsoft.com/office/drawing/2014/chart" uri="{C3380CC4-5D6E-409C-BE32-E72D297353CC}">
              <c16:uniqueId val="{00000004-0651-49EE-A256-A245A9F51040}"/>
            </c:ext>
          </c:extLst>
        </c:ser>
        <c:dLbls>
          <c:dLblPos val="outEnd"/>
          <c:showLegendKey val="0"/>
          <c:showVal val="1"/>
          <c:showCatName val="0"/>
          <c:showSerName val="0"/>
          <c:showPercent val="0"/>
          <c:showBubbleSize val="0"/>
        </c:dLbls>
        <c:gapWidth val="219"/>
        <c:overlap val="-27"/>
        <c:axId val="122213872"/>
        <c:axId val="2076625024"/>
      </c:barChart>
      <c:catAx>
        <c:axId val="122213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76625024"/>
        <c:crosses val="autoZero"/>
        <c:auto val="1"/>
        <c:lblAlgn val="ctr"/>
        <c:lblOffset val="100"/>
        <c:noMultiLvlLbl val="0"/>
      </c:catAx>
      <c:valAx>
        <c:axId val="2076625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13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'EOL Factors'!$J$23:$O$23</c:f>
          <c:strCache>
            <c:ptCount val="6"/>
            <c:pt idx="0">
              <c:v>EPA WARM - Landfill w Landfill Gas Energy Recovery Calculations</c:v>
            </c:pt>
          </c:strCache>
        </c:strRef>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Factors'!$K$14</c:f>
              <c:strCache>
                <c:ptCount val="1"/>
                <c:pt idx="0">
                  <c:v>C2-4 - Non Biogenic Emissions</c:v>
                </c:pt>
              </c:strCache>
            </c:strRef>
          </c:tx>
          <c:spPr>
            <a:solidFill>
              <a:srgbClr val="9ACC5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Factors'!$J$27:$J$34</c:f>
              <c:strCache>
                <c:ptCount val="8"/>
                <c:pt idx="0">
                  <c:v>landfill gas CO2 emissions</c:v>
                </c:pt>
                <c:pt idx="1">
                  <c:v>landfill gas CH4 emissions</c:v>
                </c:pt>
                <c:pt idx="2">
                  <c:v>CO2 emissions from CH4 converted to CO2 through soil</c:v>
                </c:pt>
                <c:pt idx="3">
                  <c:v>heavy equipment</c:v>
                </c:pt>
                <c:pt idx="4">
                  <c:v>transport</c:v>
                </c:pt>
                <c:pt idx="5">
                  <c:v>elec credit (CO2 fossil)</c:v>
                </c:pt>
                <c:pt idx="6">
                  <c:v>Total</c:v>
                </c:pt>
                <c:pt idx="7">
                  <c:v>Net</c:v>
                </c:pt>
              </c:strCache>
            </c:strRef>
          </c:cat>
          <c:val>
            <c:numRef>
              <c:f>'EOL Factors'!$K$27:$K$34</c:f>
              <c:numCache>
                <c:formatCode>0.0</c:formatCode>
                <c:ptCount val="8"/>
                <c:pt idx="1">
                  <c:v>0</c:v>
                </c:pt>
                <c:pt idx="3">
                  <c:v>0</c:v>
                </c:pt>
                <c:pt idx="4">
                  <c:v>0</c:v>
                </c:pt>
                <c:pt idx="6">
                  <c:v>0</c:v>
                </c:pt>
              </c:numCache>
            </c:numRef>
          </c:val>
          <c:extLst>
            <c:ext xmlns:c16="http://schemas.microsoft.com/office/drawing/2014/chart" uri="{C3380CC4-5D6E-409C-BE32-E72D297353CC}">
              <c16:uniqueId val="{00000000-A459-49BB-8F01-2D6F96174F01}"/>
            </c:ext>
          </c:extLst>
        </c:ser>
        <c:ser>
          <c:idx val="1"/>
          <c:order val="1"/>
          <c:tx>
            <c:strRef>
              <c:f>'EOL Factors'!$L$14</c:f>
              <c:strCache>
                <c:ptCount val="1"/>
                <c:pt idx="0">
                  <c:v>C2-4 biogenic emissions</c:v>
                </c:pt>
              </c:strCache>
            </c:strRef>
          </c:tx>
          <c:spPr>
            <a:solidFill>
              <a:srgbClr val="CEE6B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Factors'!$J$27:$J$34</c:f>
              <c:strCache>
                <c:ptCount val="8"/>
                <c:pt idx="0">
                  <c:v>landfill gas CO2 emissions</c:v>
                </c:pt>
                <c:pt idx="1">
                  <c:v>landfill gas CH4 emissions</c:v>
                </c:pt>
                <c:pt idx="2">
                  <c:v>CO2 emissions from CH4 converted to CO2 through soil</c:v>
                </c:pt>
                <c:pt idx="3">
                  <c:v>heavy equipment</c:v>
                </c:pt>
                <c:pt idx="4">
                  <c:v>transport</c:v>
                </c:pt>
                <c:pt idx="5">
                  <c:v>elec credit (CO2 fossil)</c:v>
                </c:pt>
                <c:pt idx="6">
                  <c:v>Total</c:v>
                </c:pt>
                <c:pt idx="7">
                  <c:v>Net</c:v>
                </c:pt>
              </c:strCache>
            </c:strRef>
          </c:cat>
          <c:val>
            <c:numRef>
              <c:f>'EOL Factors'!$L$27:$L$34</c:f>
              <c:numCache>
                <c:formatCode>General</c:formatCode>
                <c:ptCount val="8"/>
                <c:pt idx="0" formatCode="0.0">
                  <c:v>0</c:v>
                </c:pt>
                <c:pt idx="2" formatCode="0.0">
                  <c:v>0</c:v>
                </c:pt>
                <c:pt idx="6" formatCode="0.0">
                  <c:v>0</c:v>
                </c:pt>
              </c:numCache>
            </c:numRef>
          </c:val>
          <c:extLst>
            <c:ext xmlns:c16="http://schemas.microsoft.com/office/drawing/2014/chart" uri="{C3380CC4-5D6E-409C-BE32-E72D297353CC}">
              <c16:uniqueId val="{00000001-A459-49BB-8F01-2D6F96174F01}"/>
            </c:ext>
          </c:extLst>
        </c:ser>
        <c:ser>
          <c:idx val="2"/>
          <c:order val="2"/>
          <c:tx>
            <c:strRef>
              <c:f>'EOL Factors'!$M$14</c:f>
              <c:strCache>
                <c:ptCount val="1"/>
                <c:pt idx="0">
                  <c:v>Module 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Factors'!$J$27:$J$34</c:f>
              <c:strCache>
                <c:ptCount val="8"/>
                <c:pt idx="0">
                  <c:v>landfill gas CO2 emissions</c:v>
                </c:pt>
                <c:pt idx="1">
                  <c:v>landfill gas CH4 emissions</c:v>
                </c:pt>
                <c:pt idx="2">
                  <c:v>CO2 emissions from CH4 converted to CO2 through soil</c:v>
                </c:pt>
                <c:pt idx="3">
                  <c:v>heavy equipment</c:v>
                </c:pt>
                <c:pt idx="4">
                  <c:v>transport</c:v>
                </c:pt>
                <c:pt idx="5">
                  <c:v>elec credit (CO2 fossil)</c:v>
                </c:pt>
                <c:pt idx="6">
                  <c:v>Total</c:v>
                </c:pt>
                <c:pt idx="7">
                  <c:v>Net</c:v>
                </c:pt>
              </c:strCache>
            </c:strRef>
          </c:cat>
          <c:val>
            <c:numRef>
              <c:f>'EOL Factors'!$M$27:$M$34</c:f>
              <c:numCache>
                <c:formatCode>0.0</c:formatCode>
                <c:ptCount val="8"/>
                <c:pt idx="5">
                  <c:v>0</c:v>
                </c:pt>
                <c:pt idx="6">
                  <c:v>0</c:v>
                </c:pt>
              </c:numCache>
            </c:numRef>
          </c:val>
          <c:extLst>
            <c:ext xmlns:c16="http://schemas.microsoft.com/office/drawing/2014/chart" uri="{C3380CC4-5D6E-409C-BE32-E72D297353CC}">
              <c16:uniqueId val="{00000002-A459-49BB-8F01-2D6F96174F01}"/>
            </c:ext>
          </c:extLst>
        </c:ser>
        <c:ser>
          <c:idx val="3"/>
          <c:order val="3"/>
          <c:tx>
            <c:strRef>
              <c:f>'EOL Factors'!$N$14</c:f>
              <c:strCache>
                <c:ptCount val="1"/>
                <c:pt idx="0">
                  <c:v>Net</c:v>
                </c:pt>
              </c:strCache>
            </c:strRef>
          </c:tx>
          <c:spPr>
            <a:solidFill>
              <a:srgbClr val="5CACC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Factors'!$J$27:$J$34</c:f>
              <c:strCache>
                <c:ptCount val="8"/>
                <c:pt idx="0">
                  <c:v>landfill gas CO2 emissions</c:v>
                </c:pt>
                <c:pt idx="1">
                  <c:v>landfill gas CH4 emissions</c:v>
                </c:pt>
                <c:pt idx="2">
                  <c:v>CO2 emissions from CH4 converted to CO2 through soil</c:v>
                </c:pt>
                <c:pt idx="3">
                  <c:v>heavy equipment</c:v>
                </c:pt>
                <c:pt idx="4">
                  <c:v>transport</c:v>
                </c:pt>
                <c:pt idx="5">
                  <c:v>elec credit (CO2 fossil)</c:v>
                </c:pt>
                <c:pt idx="6">
                  <c:v>Total</c:v>
                </c:pt>
                <c:pt idx="7">
                  <c:v>Net</c:v>
                </c:pt>
              </c:strCache>
            </c:strRef>
          </c:cat>
          <c:val>
            <c:numRef>
              <c:f>'EOL Factors'!$N$27:$N$34</c:f>
              <c:numCache>
                <c:formatCode>0.0</c:formatCode>
                <c:ptCount val="8"/>
                <c:pt idx="7">
                  <c:v>0</c:v>
                </c:pt>
              </c:numCache>
            </c:numRef>
          </c:val>
          <c:extLst>
            <c:ext xmlns:c16="http://schemas.microsoft.com/office/drawing/2014/chart" uri="{C3380CC4-5D6E-409C-BE32-E72D297353CC}">
              <c16:uniqueId val="{00000003-A459-49BB-8F01-2D6F96174F01}"/>
            </c:ext>
          </c:extLst>
        </c:ser>
        <c:dLbls>
          <c:dLblPos val="outEnd"/>
          <c:showLegendKey val="0"/>
          <c:showVal val="1"/>
          <c:showCatName val="0"/>
          <c:showSerName val="0"/>
          <c:showPercent val="0"/>
          <c:showBubbleSize val="0"/>
        </c:dLbls>
        <c:gapWidth val="219"/>
        <c:overlap val="-27"/>
        <c:axId val="122213872"/>
        <c:axId val="2076625024"/>
      </c:barChart>
      <c:catAx>
        <c:axId val="122213872"/>
        <c:scaling>
          <c:orientation val="minMax"/>
        </c:scaling>
        <c:delete val="0"/>
        <c:axPos val="b"/>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76625024"/>
        <c:crosses val="autoZero"/>
        <c:auto val="1"/>
        <c:lblAlgn val="ctr"/>
        <c:lblOffset val="100"/>
        <c:noMultiLvlLbl val="0"/>
      </c:catAx>
      <c:valAx>
        <c:axId val="2076625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13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'EOL Factors'!$J$36:$O$36</c:f>
          <c:strCache>
            <c:ptCount val="6"/>
            <c:pt idx="0">
              <c:v>EPA WARM - Landfill with Flare - Calculations</c:v>
            </c:pt>
          </c:strCache>
        </c:strRef>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Factors'!$K$14</c:f>
              <c:strCache>
                <c:ptCount val="1"/>
                <c:pt idx="0">
                  <c:v>C2-4 - Non Biogenic Emissions</c:v>
                </c:pt>
              </c:strCache>
            </c:strRef>
          </c:tx>
          <c:spPr>
            <a:solidFill>
              <a:srgbClr val="9ACC5C"/>
            </a:solidFill>
            <a:ln>
              <a:noFill/>
            </a:ln>
            <a:effectLst/>
          </c:spPr>
          <c:invertIfNegative val="0"/>
          <c:dLbls>
            <c:delete val="1"/>
          </c:dLbls>
          <c:cat>
            <c:strRef>
              <c:f>'EOL Factors'!$J$40:$J$48</c:f>
              <c:strCache>
                <c:ptCount val="9"/>
                <c:pt idx="0">
                  <c:v>CO2 emissions</c:v>
                </c:pt>
                <c:pt idx="1">
                  <c:v>CH4 emissions</c:v>
                </c:pt>
                <c:pt idx="2">
                  <c:v>CO2 emissions from CH4 converted to CO2 through soil</c:v>
                </c:pt>
                <c:pt idx="3">
                  <c:v>heavy equipment</c:v>
                </c:pt>
                <c:pt idx="4">
                  <c:v>transport</c:v>
                </c:pt>
                <c:pt idx="5">
                  <c:v>elec credit (CO2 fossil)</c:v>
                </c:pt>
                <c:pt idx="6">
                  <c:v>thermal energy credit</c:v>
                </c:pt>
                <c:pt idx="7">
                  <c:v>Total</c:v>
                </c:pt>
                <c:pt idx="8">
                  <c:v>Net</c:v>
                </c:pt>
              </c:strCache>
            </c:strRef>
          </c:cat>
          <c:val>
            <c:numRef>
              <c:f>'EOL Factors'!$K$40:$K$48</c:f>
              <c:numCache>
                <c:formatCode>0.0</c:formatCode>
                <c:ptCount val="9"/>
                <c:pt idx="1">
                  <c:v>0</c:v>
                </c:pt>
                <c:pt idx="3">
                  <c:v>0</c:v>
                </c:pt>
                <c:pt idx="4">
                  <c:v>0</c:v>
                </c:pt>
                <c:pt idx="7">
                  <c:v>0</c:v>
                </c:pt>
              </c:numCache>
            </c:numRef>
          </c:val>
          <c:extLst>
            <c:ext xmlns:c16="http://schemas.microsoft.com/office/drawing/2014/chart" uri="{C3380CC4-5D6E-409C-BE32-E72D297353CC}">
              <c16:uniqueId val="{00000000-3AB0-48C4-9632-CEDC70C0C90E}"/>
            </c:ext>
          </c:extLst>
        </c:ser>
        <c:ser>
          <c:idx val="1"/>
          <c:order val="1"/>
          <c:tx>
            <c:strRef>
              <c:f>'EOL Factors'!$L$14</c:f>
              <c:strCache>
                <c:ptCount val="1"/>
                <c:pt idx="0">
                  <c:v>C2-4 biogenic emissions</c:v>
                </c:pt>
              </c:strCache>
            </c:strRef>
          </c:tx>
          <c:spPr>
            <a:solidFill>
              <a:srgbClr val="CEE6B0"/>
            </a:solidFill>
            <a:ln>
              <a:noFill/>
            </a:ln>
            <a:effectLst/>
          </c:spPr>
          <c:invertIfNegative val="0"/>
          <c:dLbls>
            <c:delete val="1"/>
          </c:dLbls>
          <c:cat>
            <c:strRef>
              <c:f>'EOL Factors'!$J$40:$J$48</c:f>
              <c:strCache>
                <c:ptCount val="9"/>
                <c:pt idx="0">
                  <c:v>CO2 emissions</c:v>
                </c:pt>
                <c:pt idx="1">
                  <c:v>CH4 emissions</c:v>
                </c:pt>
                <c:pt idx="2">
                  <c:v>CO2 emissions from CH4 converted to CO2 through soil</c:v>
                </c:pt>
                <c:pt idx="3">
                  <c:v>heavy equipment</c:v>
                </c:pt>
                <c:pt idx="4">
                  <c:v>transport</c:v>
                </c:pt>
                <c:pt idx="5">
                  <c:v>elec credit (CO2 fossil)</c:v>
                </c:pt>
                <c:pt idx="6">
                  <c:v>thermal energy credit</c:v>
                </c:pt>
                <c:pt idx="7">
                  <c:v>Total</c:v>
                </c:pt>
                <c:pt idx="8">
                  <c:v>Net</c:v>
                </c:pt>
              </c:strCache>
            </c:strRef>
          </c:cat>
          <c:val>
            <c:numRef>
              <c:f>'EOL Factors'!$L$40:$L$48</c:f>
              <c:numCache>
                <c:formatCode>0.0</c:formatCode>
                <c:ptCount val="9"/>
                <c:pt idx="0">
                  <c:v>0</c:v>
                </c:pt>
                <c:pt idx="2">
                  <c:v>0</c:v>
                </c:pt>
                <c:pt idx="7">
                  <c:v>0</c:v>
                </c:pt>
              </c:numCache>
            </c:numRef>
          </c:val>
          <c:extLst>
            <c:ext xmlns:c16="http://schemas.microsoft.com/office/drawing/2014/chart" uri="{C3380CC4-5D6E-409C-BE32-E72D297353CC}">
              <c16:uniqueId val="{00000001-3AB0-48C4-9632-CEDC70C0C90E}"/>
            </c:ext>
          </c:extLst>
        </c:ser>
        <c:ser>
          <c:idx val="2"/>
          <c:order val="2"/>
          <c:tx>
            <c:strRef>
              <c:f>'EOL Factors'!$M$14</c:f>
              <c:strCache>
                <c:ptCount val="1"/>
                <c:pt idx="0">
                  <c:v>Module D</c:v>
                </c:pt>
              </c:strCache>
            </c:strRef>
          </c:tx>
          <c:spPr>
            <a:solidFill>
              <a:schemeClr val="accent3"/>
            </a:solidFill>
            <a:ln>
              <a:noFill/>
            </a:ln>
            <a:effectLst/>
          </c:spPr>
          <c:invertIfNegative val="0"/>
          <c:dLbls>
            <c:delete val="1"/>
          </c:dLbls>
          <c:cat>
            <c:strRef>
              <c:f>'EOL Factors'!$J$40:$J$48</c:f>
              <c:strCache>
                <c:ptCount val="9"/>
                <c:pt idx="0">
                  <c:v>CO2 emissions</c:v>
                </c:pt>
                <c:pt idx="1">
                  <c:v>CH4 emissions</c:v>
                </c:pt>
                <c:pt idx="2">
                  <c:v>CO2 emissions from CH4 converted to CO2 through soil</c:v>
                </c:pt>
                <c:pt idx="3">
                  <c:v>heavy equipment</c:v>
                </c:pt>
                <c:pt idx="4">
                  <c:v>transport</c:v>
                </c:pt>
                <c:pt idx="5">
                  <c:v>elec credit (CO2 fossil)</c:v>
                </c:pt>
                <c:pt idx="6">
                  <c:v>thermal energy credit</c:v>
                </c:pt>
                <c:pt idx="7">
                  <c:v>Total</c:v>
                </c:pt>
                <c:pt idx="8">
                  <c:v>Net</c:v>
                </c:pt>
              </c:strCache>
            </c:strRef>
          </c:cat>
          <c:val>
            <c:numRef>
              <c:f>'EOL Factors'!$M$40:$M$48</c:f>
              <c:numCache>
                <c:formatCode>0.0</c:formatCode>
                <c:ptCount val="9"/>
                <c:pt idx="7">
                  <c:v>0</c:v>
                </c:pt>
              </c:numCache>
            </c:numRef>
          </c:val>
          <c:extLst>
            <c:ext xmlns:c16="http://schemas.microsoft.com/office/drawing/2014/chart" uri="{C3380CC4-5D6E-409C-BE32-E72D297353CC}">
              <c16:uniqueId val="{00000002-3AB0-48C4-9632-CEDC70C0C90E}"/>
            </c:ext>
          </c:extLst>
        </c:ser>
        <c:ser>
          <c:idx val="3"/>
          <c:order val="3"/>
          <c:tx>
            <c:strRef>
              <c:f>'EOL Factors'!$N$14</c:f>
              <c:strCache>
                <c:ptCount val="1"/>
                <c:pt idx="0">
                  <c:v>Net</c:v>
                </c:pt>
              </c:strCache>
            </c:strRef>
          </c:tx>
          <c:spPr>
            <a:solidFill>
              <a:srgbClr val="5CACC8"/>
            </a:solidFill>
            <a:ln>
              <a:noFill/>
            </a:ln>
            <a:effectLst/>
          </c:spPr>
          <c:invertIfNegative val="0"/>
          <c:dLbls>
            <c:delete val="1"/>
          </c:dLbls>
          <c:cat>
            <c:strRef>
              <c:f>'EOL Factors'!$J$40:$J$48</c:f>
              <c:strCache>
                <c:ptCount val="9"/>
                <c:pt idx="0">
                  <c:v>CO2 emissions</c:v>
                </c:pt>
                <c:pt idx="1">
                  <c:v>CH4 emissions</c:v>
                </c:pt>
                <c:pt idx="2">
                  <c:v>CO2 emissions from CH4 converted to CO2 through soil</c:v>
                </c:pt>
                <c:pt idx="3">
                  <c:v>heavy equipment</c:v>
                </c:pt>
                <c:pt idx="4">
                  <c:v>transport</c:v>
                </c:pt>
                <c:pt idx="5">
                  <c:v>elec credit (CO2 fossil)</c:v>
                </c:pt>
                <c:pt idx="6">
                  <c:v>thermal energy credit</c:v>
                </c:pt>
                <c:pt idx="7">
                  <c:v>Total</c:v>
                </c:pt>
                <c:pt idx="8">
                  <c:v>Net</c:v>
                </c:pt>
              </c:strCache>
            </c:strRef>
          </c:cat>
          <c:val>
            <c:numRef>
              <c:f>'EOL Factors'!$N$40:$N$48</c:f>
              <c:numCache>
                <c:formatCode>0.0</c:formatCode>
                <c:ptCount val="9"/>
                <c:pt idx="8">
                  <c:v>0</c:v>
                </c:pt>
              </c:numCache>
            </c:numRef>
          </c:val>
          <c:extLst>
            <c:ext xmlns:c16="http://schemas.microsoft.com/office/drawing/2014/chart" uri="{C3380CC4-5D6E-409C-BE32-E72D297353CC}">
              <c16:uniqueId val="{00000003-3AB0-48C4-9632-CEDC70C0C90E}"/>
            </c:ext>
          </c:extLst>
        </c:ser>
        <c:dLbls>
          <c:dLblPos val="outEnd"/>
          <c:showLegendKey val="0"/>
          <c:showVal val="1"/>
          <c:showCatName val="0"/>
          <c:showSerName val="0"/>
          <c:showPercent val="0"/>
          <c:showBubbleSize val="0"/>
        </c:dLbls>
        <c:gapWidth val="219"/>
        <c:overlap val="-27"/>
        <c:axId val="122213872"/>
        <c:axId val="2076625024"/>
      </c:barChart>
      <c:catAx>
        <c:axId val="122213872"/>
        <c:scaling>
          <c:orientation val="minMax"/>
        </c:scaling>
        <c:delete val="0"/>
        <c:axPos val="b"/>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76625024"/>
        <c:crosses val="autoZero"/>
        <c:auto val="1"/>
        <c:lblAlgn val="ctr"/>
        <c:lblOffset val="100"/>
        <c:noMultiLvlLbl val="0"/>
      </c:catAx>
      <c:valAx>
        <c:axId val="2076625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13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'EOL Factors'!$J$50:$O$50</c:f>
          <c:strCache>
            <c:ptCount val="6"/>
            <c:pt idx="0">
              <c:v>EPA WARM - Incineration - Calculations</c:v>
            </c:pt>
          </c:strCache>
        </c:strRef>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Factors'!$K$14</c:f>
              <c:strCache>
                <c:ptCount val="1"/>
                <c:pt idx="0">
                  <c:v>C2-4 - Non Biogenic Emissions</c:v>
                </c:pt>
              </c:strCache>
            </c:strRef>
          </c:tx>
          <c:spPr>
            <a:solidFill>
              <a:srgbClr val="9ACC5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Factors'!$J$54:$J$61</c:f>
              <c:strCache>
                <c:ptCount val="8"/>
                <c:pt idx="0">
                  <c:v>process  (combustion)</c:v>
                </c:pt>
                <c:pt idx="1">
                  <c:v>biogenic emissions from incineration</c:v>
                </c:pt>
                <c:pt idx="2">
                  <c:v>elec credit (CO2 fossil)</c:v>
                </c:pt>
                <c:pt idx="3">
                  <c:v>elec credit (CH4 fossil)</c:v>
                </c:pt>
                <c:pt idx="4">
                  <c:v>steam credit</c:v>
                </c:pt>
                <c:pt idx="5">
                  <c:v>transport</c:v>
                </c:pt>
                <c:pt idx="6">
                  <c:v>Total</c:v>
                </c:pt>
                <c:pt idx="7">
                  <c:v>Net</c:v>
                </c:pt>
              </c:strCache>
            </c:strRef>
          </c:cat>
          <c:val>
            <c:numRef>
              <c:f>'EOL Factors'!$K$54:$K$61</c:f>
              <c:numCache>
                <c:formatCode>0.0</c:formatCode>
                <c:ptCount val="8"/>
                <c:pt idx="0">
                  <c:v>0</c:v>
                </c:pt>
                <c:pt idx="5">
                  <c:v>0</c:v>
                </c:pt>
                <c:pt idx="6">
                  <c:v>0</c:v>
                </c:pt>
              </c:numCache>
            </c:numRef>
          </c:val>
          <c:extLst>
            <c:ext xmlns:c16="http://schemas.microsoft.com/office/drawing/2014/chart" uri="{C3380CC4-5D6E-409C-BE32-E72D297353CC}">
              <c16:uniqueId val="{00000000-2C62-4C2A-92B7-E3153AF6ED61}"/>
            </c:ext>
          </c:extLst>
        </c:ser>
        <c:ser>
          <c:idx val="1"/>
          <c:order val="1"/>
          <c:tx>
            <c:strRef>
              <c:f>'EOL Factors'!$L$14</c:f>
              <c:strCache>
                <c:ptCount val="1"/>
                <c:pt idx="0">
                  <c:v>C2-4 biogenic emissions</c:v>
                </c:pt>
              </c:strCache>
            </c:strRef>
          </c:tx>
          <c:spPr>
            <a:solidFill>
              <a:srgbClr val="CEE6B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Factors'!$J$54:$J$61</c:f>
              <c:strCache>
                <c:ptCount val="8"/>
                <c:pt idx="0">
                  <c:v>process  (combustion)</c:v>
                </c:pt>
                <c:pt idx="1">
                  <c:v>biogenic emissions from incineration</c:v>
                </c:pt>
                <c:pt idx="2">
                  <c:v>elec credit (CO2 fossil)</c:v>
                </c:pt>
                <c:pt idx="3">
                  <c:v>elec credit (CH4 fossil)</c:v>
                </c:pt>
                <c:pt idx="4">
                  <c:v>steam credit</c:v>
                </c:pt>
                <c:pt idx="5">
                  <c:v>transport</c:v>
                </c:pt>
                <c:pt idx="6">
                  <c:v>Total</c:v>
                </c:pt>
                <c:pt idx="7">
                  <c:v>Net</c:v>
                </c:pt>
              </c:strCache>
            </c:strRef>
          </c:cat>
          <c:val>
            <c:numRef>
              <c:f>'EOL Factors'!$L$54:$L$61</c:f>
              <c:numCache>
                <c:formatCode>0.0</c:formatCode>
                <c:ptCount val="8"/>
                <c:pt idx="1">
                  <c:v>0</c:v>
                </c:pt>
                <c:pt idx="6">
                  <c:v>0</c:v>
                </c:pt>
              </c:numCache>
            </c:numRef>
          </c:val>
          <c:extLst>
            <c:ext xmlns:c16="http://schemas.microsoft.com/office/drawing/2014/chart" uri="{C3380CC4-5D6E-409C-BE32-E72D297353CC}">
              <c16:uniqueId val="{00000001-2C62-4C2A-92B7-E3153AF6ED61}"/>
            </c:ext>
          </c:extLst>
        </c:ser>
        <c:ser>
          <c:idx val="2"/>
          <c:order val="2"/>
          <c:tx>
            <c:strRef>
              <c:f>'EOL Factors'!$M$14</c:f>
              <c:strCache>
                <c:ptCount val="1"/>
                <c:pt idx="0">
                  <c:v>Module 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Factors'!$J$54:$J$61</c:f>
              <c:strCache>
                <c:ptCount val="8"/>
                <c:pt idx="0">
                  <c:v>process  (combustion)</c:v>
                </c:pt>
                <c:pt idx="1">
                  <c:v>biogenic emissions from incineration</c:v>
                </c:pt>
                <c:pt idx="2">
                  <c:v>elec credit (CO2 fossil)</c:v>
                </c:pt>
                <c:pt idx="3">
                  <c:v>elec credit (CH4 fossil)</c:v>
                </c:pt>
                <c:pt idx="4">
                  <c:v>steam credit</c:v>
                </c:pt>
                <c:pt idx="5">
                  <c:v>transport</c:v>
                </c:pt>
                <c:pt idx="6">
                  <c:v>Total</c:v>
                </c:pt>
                <c:pt idx="7">
                  <c:v>Net</c:v>
                </c:pt>
              </c:strCache>
            </c:strRef>
          </c:cat>
          <c:val>
            <c:numRef>
              <c:f>'EOL Factors'!$M$54:$M$61</c:f>
              <c:numCache>
                <c:formatCode>0.0</c:formatCode>
                <c:ptCount val="8"/>
                <c:pt idx="2">
                  <c:v>0</c:v>
                </c:pt>
                <c:pt idx="6">
                  <c:v>0</c:v>
                </c:pt>
              </c:numCache>
            </c:numRef>
          </c:val>
          <c:extLst>
            <c:ext xmlns:c16="http://schemas.microsoft.com/office/drawing/2014/chart" uri="{C3380CC4-5D6E-409C-BE32-E72D297353CC}">
              <c16:uniqueId val="{00000002-2C62-4C2A-92B7-E3153AF6ED61}"/>
            </c:ext>
          </c:extLst>
        </c:ser>
        <c:ser>
          <c:idx val="3"/>
          <c:order val="3"/>
          <c:tx>
            <c:strRef>
              <c:f>'EOL Factors'!$N$14</c:f>
              <c:strCache>
                <c:ptCount val="1"/>
                <c:pt idx="0">
                  <c:v>Net</c:v>
                </c:pt>
              </c:strCache>
            </c:strRef>
          </c:tx>
          <c:spPr>
            <a:solidFill>
              <a:srgbClr val="5CACC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Factors'!$J$54:$J$61</c:f>
              <c:strCache>
                <c:ptCount val="8"/>
                <c:pt idx="0">
                  <c:v>process  (combustion)</c:v>
                </c:pt>
                <c:pt idx="1">
                  <c:v>biogenic emissions from incineration</c:v>
                </c:pt>
                <c:pt idx="2">
                  <c:v>elec credit (CO2 fossil)</c:v>
                </c:pt>
                <c:pt idx="3">
                  <c:v>elec credit (CH4 fossil)</c:v>
                </c:pt>
                <c:pt idx="4">
                  <c:v>steam credit</c:v>
                </c:pt>
                <c:pt idx="5">
                  <c:v>transport</c:v>
                </c:pt>
                <c:pt idx="6">
                  <c:v>Total</c:v>
                </c:pt>
                <c:pt idx="7">
                  <c:v>Net</c:v>
                </c:pt>
              </c:strCache>
            </c:strRef>
          </c:cat>
          <c:val>
            <c:numRef>
              <c:f>'EOL Factors'!$N$54:$N$61</c:f>
              <c:numCache>
                <c:formatCode>0.0</c:formatCode>
                <c:ptCount val="8"/>
                <c:pt idx="7">
                  <c:v>0</c:v>
                </c:pt>
              </c:numCache>
            </c:numRef>
          </c:val>
          <c:extLst>
            <c:ext xmlns:c16="http://schemas.microsoft.com/office/drawing/2014/chart" uri="{C3380CC4-5D6E-409C-BE32-E72D297353CC}">
              <c16:uniqueId val="{00000003-2C62-4C2A-92B7-E3153AF6ED61}"/>
            </c:ext>
          </c:extLst>
        </c:ser>
        <c:dLbls>
          <c:dLblPos val="outEnd"/>
          <c:showLegendKey val="0"/>
          <c:showVal val="1"/>
          <c:showCatName val="0"/>
          <c:showSerName val="0"/>
          <c:showPercent val="0"/>
          <c:showBubbleSize val="0"/>
        </c:dLbls>
        <c:gapWidth val="219"/>
        <c:overlap val="-27"/>
        <c:axId val="122213872"/>
        <c:axId val="2076625024"/>
      </c:barChart>
      <c:catAx>
        <c:axId val="122213872"/>
        <c:scaling>
          <c:orientation val="minMax"/>
        </c:scaling>
        <c:delete val="0"/>
        <c:axPos val="b"/>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76625024"/>
        <c:crosses val="autoZero"/>
        <c:auto val="1"/>
        <c:lblAlgn val="ctr"/>
        <c:lblOffset val="100"/>
        <c:noMultiLvlLbl val="0"/>
      </c:catAx>
      <c:valAx>
        <c:axId val="2076625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13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'EOL Factors'!$J$63:$O$63</c:f>
          <c:strCache>
            <c:ptCount val="6"/>
            <c:pt idx="0">
              <c:v>EPA WARM - Recycling - Calculations</c:v>
            </c:pt>
          </c:strCache>
        </c:strRef>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Factors'!$K$14</c:f>
              <c:strCache>
                <c:ptCount val="1"/>
                <c:pt idx="0">
                  <c:v>C2-4 - Non Biogenic Emissions</c:v>
                </c:pt>
              </c:strCache>
            </c:strRef>
          </c:tx>
          <c:spPr>
            <a:solidFill>
              <a:srgbClr val="87C54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Factors'!$J$67:$J$70</c:f>
              <c:strCache>
                <c:ptCount val="4"/>
                <c:pt idx="0">
                  <c:v>reprocessing</c:v>
                </c:pt>
                <c:pt idx="1">
                  <c:v>avoided burden</c:v>
                </c:pt>
                <c:pt idx="2">
                  <c:v>Total</c:v>
                </c:pt>
                <c:pt idx="3">
                  <c:v>Net</c:v>
                </c:pt>
              </c:strCache>
            </c:strRef>
          </c:cat>
          <c:val>
            <c:numRef>
              <c:f>'EOL Factors'!$K$67:$K$70</c:f>
              <c:numCache>
                <c:formatCode>0.0</c:formatCode>
                <c:ptCount val="4"/>
                <c:pt idx="0">
                  <c:v>0</c:v>
                </c:pt>
                <c:pt idx="2">
                  <c:v>0</c:v>
                </c:pt>
              </c:numCache>
            </c:numRef>
          </c:val>
          <c:extLst>
            <c:ext xmlns:c16="http://schemas.microsoft.com/office/drawing/2014/chart" uri="{C3380CC4-5D6E-409C-BE32-E72D297353CC}">
              <c16:uniqueId val="{00000000-FF19-4570-BC02-AF02D79E8B05}"/>
            </c:ext>
          </c:extLst>
        </c:ser>
        <c:ser>
          <c:idx val="1"/>
          <c:order val="1"/>
          <c:tx>
            <c:strRef>
              <c:f>'EOL Factors'!$L$14</c:f>
              <c:strCache>
                <c:ptCount val="1"/>
                <c:pt idx="0">
                  <c:v>C2-4 biogenic emissions</c:v>
                </c:pt>
              </c:strCache>
            </c:strRef>
          </c:tx>
          <c:spPr>
            <a:solidFill>
              <a:srgbClr val="CEE6B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Factors'!$J$67:$J$70</c:f>
              <c:strCache>
                <c:ptCount val="4"/>
                <c:pt idx="0">
                  <c:v>reprocessing</c:v>
                </c:pt>
                <c:pt idx="1">
                  <c:v>avoided burden</c:v>
                </c:pt>
                <c:pt idx="2">
                  <c:v>Total</c:v>
                </c:pt>
                <c:pt idx="3">
                  <c:v>Net</c:v>
                </c:pt>
              </c:strCache>
            </c:strRef>
          </c:cat>
          <c:val>
            <c:numRef>
              <c:f>'EOL Factors'!$L$67:$L$70</c:f>
              <c:numCache>
                <c:formatCode>0.0</c:formatCode>
                <c:ptCount val="4"/>
                <c:pt idx="2">
                  <c:v>0</c:v>
                </c:pt>
              </c:numCache>
            </c:numRef>
          </c:val>
          <c:extLst>
            <c:ext xmlns:c16="http://schemas.microsoft.com/office/drawing/2014/chart" uri="{C3380CC4-5D6E-409C-BE32-E72D297353CC}">
              <c16:uniqueId val="{00000001-FF19-4570-BC02-AF02D79E8B05}"/>
            </c:ext>
          </c:extLst>
        </c:ser>
        <c:ser>
          <c:idx val="2"/>
          <c:order val="2"/>
          <c:tx>
            <c:strRef>
              <c:f>'EOL Factors'!$M$14</c:f>
              <c:strCache>
                <c:ptCount val="1"/>
                <c:pt idx="0">
                  <c:v>Module 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Factors'!$J$67:$J$70</c:f>
              <c:strCache>
                <c:ptCount val="4"/>
                <c:pt idx="0">
                  <c:v>reprocessing</c:v>
                </c:pt>
                <c:pt idx="1">
                  <c:v>avoided burden</c:v>
                </c:pt>
                <c:pt idx="2">
                  <c:v>Total</c:v>
                </c:pt>
                <c:pt idx="3">
                  <c:v>Net</c:v>
                </c:pt>
              </c:strCache>
            </c:strRef>
          </c:cat>
          <c:val>
            <c:numRef>
              <c:f>'EOL Factors'!$M$67:$M$70</c:f>
              <c:numCache>
                <c:formatCode>0.0</c:formatCode>
                <c:ptCount val="4"/>
                <c:pt idx="1">
                  <c:v>0</c:v>
                </c:pt>
                <c:pt idx="2">
                  <c:v>0</c:v>
                </c:pt>
              </c:numCache>
            </c:numRef>
          </c:val>
          <c:extLst>
            <c:ext xmlns:c16="http://schemas.microsoft.com/office/drawing/2014/chart" uri="{C3380CC4-5D6E-409C-BE32-E72D297353CC}">
              <c16:uniqueId val="{00000002-FF19-4570-BC02-AF02D79E8B05}"/>
            </c:ext>
          </c:extLst>
        </c:ser>
        <c:ser>
          <c:idx val="3"/>
          <c:order val="3"/>
          <c:tx>
            <c:strRef>
              <c:f>'EOL Factors'!$N$14</c:f>
              <c:strCache>
                <c:ptCount val="1"/>
                <c:pt idx="0">
                  <c:v>Net</c:v>
                </c:pt>
              </c:strCache>
            </c:strRef>
          </c:tx>
          <c:spPr>
            <a:solidFill>
              <a:srgbClr val="5CACC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Factors'!$J$67:$J$70</c:f>
              <c:strCache>
                <c:ptCount val="4"/>
                <c:pt idx="0">
                  <c:v>reprocessing</c:v>
                </c:pt>
                <c:pt idx="1">
                  <c:v>avoided burden</c:v>
                </c:pt>
                <c:pt idx="2">
                  <c:v>Total</c:v>
                </c:pt>
                <c:pt idx="3">
                  <c:v>Net</c:v>
                </c:pt>
              </c:strCache>
            </c:strRef>
          </c:cat>
          <c:val>
            <c:numRef>
              <c:f>'EOL Factors'!$N$67:$N$70</c:f>
              <c:numCache>
                <c:formatCode>0.0</c:formatCode>
                <c:ptCount val="4"/>
                <c:pt idx="3">
                  <c:v>0</c:v>
                </c:pt>
              </c:numCache>
            </c:numRef>
          </c:val>
          <c:extLst>
            <c:ext xmlns:c16="http://schemas.microsoft.com/office/drawing/2014/chart" uri="{C3380CC4-5D6E-409C-BE32-E72D297353CC}">
              <c16:uniqueId val="{00000003-FF19-4570-BC02-AF02D79E8B05}"/>
            </c:ext>
          </c:extLst>
        </c:ser>
        <c:dLbls>
          <c:dLblPos val="outEnd"/>
          <c:showLegendKey val="0"/>
          <c:showVal val="1"/>
          <c:showCatName val="0"/>
          <c:showSerName val="0"/>
          <c:showPercent val="0"/>
          <c:showBubbleSize val="0"/>
        </c:dLbls>
        <c:gapWidth val="219"/>
        <c:overlap val="-27"/>
        <c:axId val="122213872"/>
        <c:axId val="2076625024"/>
      </c:barChart>
      <c:catAx>
        <c:axId val="122213872"/>
        <c:scaling>
          <c:orientation val="minMax"/>
        </c:scaling>
        <c:delete val="0"/>
        <c:axPos val="b"/>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76625024"/>
        <c:crosses val="autoZero"/>
        <c:auto val="1"/>
        <c:lblAlgn val="ctr"/>
        <c:lblOffset val="100"/>
        <c:noMultiLvlLbl val="0"/>
      </c:catAx>
      <c:valAx>
        <c:axId val="2076625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13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'EOL Factors'!$J$72:$O$72</c:f>
          <c:strCache>
            <c:ptCount val="6"/>
            <c:pt idx="0">
              <c:v>Tally - Landfill - Calculations</c:v>
            </c:pt>
          </c:strCache>
        </c:strRef>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Factors'!$K$14</c:f>
              <c:strCache>
                <c:ptCount val="1"/>
                <c:pt idx="0">
                  <c:v>C2-4 - Non Biogenic Emissions</c:v>
                </c:pt>
              </c:strCache>
            </c:strRef>
          </c:tx>
          <c:spPr>
            <a:solidFill>
              <a:srgbClr val="87C54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Factors'!$J$76:$J$81</c:f>
              <c:strCache>
                <c:ptCount val="6"/>
                <c:pt idx="0">
                  <c:v>CO2 emissions</c:v>
                </c:pt>
                <c:pt idx="1">
                  <c:v>CH4 emissions</c:v>
                </c:pt>
                <c:pt idx="2">
                  <c:v>elec credit (CO2 fossil)</c:v>
                </c:pt>
                <c:pt idx="3">
                  <c:v>thermal energy credit</c:v>
                </c:pt>
                <c:pt idx="4">
                  <c:v>Total</c:v>
                </c:pt>
                <c:pt idx="5">
                  <c:v>Net</c:v>
                </c:pt>
              </c:strCache>
            </c:strRef>
          </c:cat>
          <c:val>
            <c:numRef>
              <c:f>'EOL Factors'!$K$76:$K$81</c:f>
              <c:numCache>
                <c:formatCode>0.0</c:formatCode>
                <c:ptCount val="6"/>
                <c:pt idx="0">
                  <c:v>0</c:v>
                </c:pt>
                <c:pt idx="1">
                  <c:v>0</c:v>
                </c:pt>
                <c:pt idx="4">
                  <c:v>0</c:v>
                </c:pt>
              </c:numCache>
            </c:numRef>
          </c:val>
          <c:extLst>
            <c:ext xmlns:c16="http://schemas.microsoft.com/office/drawing/2014/chart" uri="{C3380CC4-5D6E-409C-BE32-E72D297353CC}">
              <c16:uniqueId val="{00000000-6AC0-4FFF-A501-7E18DF917DBE}"/>
            </c:ext>
          </c:extLst>
        </c:ser>
        <c:ser>
          <c:idx val="1"/>
          <c:order val="1"/>
          <c:tx>
            <c:strRef>
              <c:f>'EOL Factors'!$L$14</c:f>
              <c:strCache>
                <c:ptCount val="1"/>
                <c:pt idx="0">
                  <c:v>C2-4 biogenic emissions</c:v>
                </c:pt>
              </c:strCache>
            </c:strRef>
          </c:tx>
          <c:spPr>
            <a:solidFill>
              <a:srgbClr val="CEE6B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Factors'!$J$76:$J$81</c:f>
              <c:strCache>
                <c:ptCount val="6"/>
                <c:pt idx="0">
                  <c:v>CO2 emissions</c:v>
                </c:pt>
                <c:pt idx="1">
                  <c:v>CH4 emissions</c:v>
                </c:pt>
                <c:pt idx="2">
                  <c:v>elec credit (CO2 fossil)</c:v>
                </c:pt>
                <c:pt idx="3">
                  <c:v>thermal energy credit</c:v>
                </c:pt>
                <c:pt idx="4">
                  <c:v>Total</c:v>
                </c:pt>
                <c:pt idx="5">
                  <c:v>Net</c:v>
                </c:pt>
              </c:strCache>
            </c:strRef>
          </c:cat>
          <c:val>
            <c:numRef>
              <c:f>'EOL Factors'!$L$76:$L$81</c:f>
              <c:numCache>
                <c:formatCode>0.0</c:formatCode>
                <c:ptCount val="6"/>
                <c:pt idx="0">
                  <c:v>0</c:v>
                </c:pt>
                <c:pt idx="4">
                  <c:v>0</c:v>
                </c:pt>
              </c:numCache>
            </c:numRef>
          </c:val>
          <c:extLst>
            <c:ext xmlns:c16="http://schemas.microsoft.com/office/drawing/2014/chart" uri="{C3380CC4-5D6E-409C-BE32-E72D297353CC}">
              <c16:uniqueId val="{00000001-6AC0-4FFF-A501-7E18DF917DBE}"/>
            </c:ext>
          </c:extLst>
        </c:ser>
        <c:ser>
          <c:idx val="2"/>
          <c:order val="2"/>
          <c:tx>
            <c:strRef>
              <c:f>'EOL Factors'!$M$14</c:f>
              <c:strCache>
                <c:ptCount val="1"/>
                <c:pt idx="0">
                  <c:v>Module 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Factors'!$J$76:$J$81</c:f>
              <c:strCache>
                <c:ptCount val="6"/>
                <c:pt idx="0">
                  <c:v>CO2 emissions</c:v>
                </c:pt>
                <c:pt idx="1">
                  <c:v>CH4 emissions</c:v>
                </c:pt>
                <c:pt idx="2">
                  <c:v>elec credit (CO2 fossil)</c:v>
                </c:pt>
                <c:pt idx="3">
                  <c:v>thermal energy credit</c:v>
                </c:pt>
                <c:pt idx="4">
                  <c:v>Total</c:v>
                </c:pt>
                <c:pt idx="5">
                  <c:v>Net</c:v>
                </c:pt>
              </c:strCache>
            </c:strRef>
          </c:cat>
          <c:val>
            <c:numRef>
              <c:f>'EOL Factors'!$M$76:$M$81</c:f>
              <c:numCache>
                <c:formatCode>0.0</c:formatCode>
                <c:ptCount val="6"/>
                <c:pt idx="2">
                  <c:v>0</c:v>
                </c:pt>
                <c:pt idx="3">
                  <c:v>0</c:v>
                </c:pt>
                <c:pt idx="4">
                  <c:v>0</c:v>
                </c:pt>
              </c:numCache>
            </c:numRef>
          </c:val>
          <c:extLst>
            <c:ext xmlns:c16="http://schemas.microsoft.com/office/drawing/2014/chart" uri="{C3380CC4-5D6E-409C-BE32-E72D297353CC}">
              <c16:uniqueId val="{00000002-6AC0-4FFF-A501-7E18DF917DBE}"/>
            </c:ext>
          </c:extLst>
        </c:ser>
        <c:ser>
          <c:idx val="3"/>
          <c:order val="3"/>
          <c:tx>
            <c:strRef>
              <c:f>'EOL Factors'!$N$14</c:f>
              <c:strCache>
                <c:ptCount val="1"/>
                <c:pt idx="0">
                  <c:v>Net</c:v>
                </c:pt>
              </c:strCache>
            </c:strRef>
          </c:tx>
          <c:spPr>
            <a:solidFill>
              <a:srgbClr val="5CACC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Factors'!$J$76:$J$81</c:f>
              <c:strCache>
                <c:ptCount val="6"/>
                <c:pt idx="0">
                  <c:v>CO2 emissions</c:v>
                </c:pt>
                <c:pt idx="1">
                  <c:v>CH4 emissions</c:v>
                </c:pt>
                <c:pt idx="2">
                  <c:v>elec credit (CO2 fossil)</c:v>
                </c:pt>
                <c:pt idx="3">
                  <c:v>thermal energy credit</c:v>
                </c:pt>
                <c:pt idx="4">
                  <c:v>Total</c:v>
                </c:pt>
                <c:pt idx="5">
                  <c:v>Net</c:v>
                </c:pt>
              </c:strCache>
            </c:strRef>
          </c:cat>
          <c:val>
            <c:numRef>
              <c:f>'EOL Factors'!$N$76:$N$81</c:f>
              <c:numCache>
                <c:formatCode>0.0</c:formatCode>
                <c:ptCount val="6"/>
                <c:pt idx="5">
                  <c:v>0</c:v>
                </c:pt>
              </c:numCache>
            </c:numRef>
          </c:val>
          <c:extLst>
            <c:ext xmlns:c16="http://schemas.microsoft.com/office/drawing/2014/chart" uri="{C3380CC4-5D6E-409C-BE32-E72D297353CC}">
              <c16:uniqueId val="{00000003-6AC0-4FFF-A501-7E18DF917DBE}"/>
            </c:ext>
          </c:extLst>
        </c:ser>
        <c:dLbls>
          <c:dLblPos val="outEnd"/>
          <c:showLegendKey val="0"/>
          <c:showVal val="1"/>
          <c:showCatName val="0"/>
          <c:showSerName val="0"/>
          <c:showPercent val="0"/>
          <c:showBubbleSize val="0"/>
        </c:dLbls>
        <c:gapWidth val="219"/>
        <c:overlap val="-27"/>
        <c:axId val="122213872"/>
        <c:axId val="2076625024"/>
      </c:barChart>
      <c:catAx>
        <c:axId val="122213872"/>
        <c:scaling>
          <c:orientation val="minMax"/>
        </c:scaling>
        <c:delete val="0"/>
        <c:axPos val="b"/>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76625024"/>
        <c:crosses val="autoZero"/>
        <c:auto val="1"/>
        <c:lblAlgn val="ctr"/>
        <c:lblOffset val="100"/>
        <c:noMultiLvlLbl val="0"/>
      </c:catAx>
      <c:valAx>
        <c:axId val="2076625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13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'EOL Factors'!$J$72:$O$72</c:f>
          <c:strCache>
            <c:ptCount val="6"/>
            <c:pt idx="0">
              <c:v>Tally - Landfill - Calculations</c:v>
            </c:pt>
          </c:strCache>
        </c:strRef>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Factors'!$K$14</c:f>
              <c:strCache>
                <c:ptCount val="1"/>
                <c:pt idx="0">
                  <c:v>C2-4 - Non Biogenic Emissions</c:v>
                </c:pt>
              </c:strCache>
            </c:strRef>
          </c:tx>
          <c:spPr>
            <a:solidFill>
              <a:srgbClr val="87C54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Factors'!$J$87:$J$93</c:f>
              <c:strCache>
                <c:ptCount val="7"/>
                <c:pt idx="0">
                  <c:v>CO2 emissions</c:v>
                </c:pt>
                <c:pt idx="1">
                  <c:v>CH4 emissions</c:v>
                </c:pt>
                <c:pt idx="2">
                  <c:v>elec credit (CO2 fossil)</c:v>
                </c:pt>
                <c:pt idx="3">
                  <c:v>elec credit (CH4 fossil)</c:v>
                </c:pt>
                <c:pt idx="4">
                  <c:v>thermal energy credit</c:v>
                </c:pt>
                <c:pt idx="5">
                  <c:v>Total</c:v>
                </c:pt>
                <c:pt idx="6">
                  <c:v>Net</c:v>
                </c:pt>
              </c:strCache>
            </c:strRef>
          </c:cat>
          <c:val>
            <c:numRef>
              <c:f>'EOL Factors'!$K$87:$K$93</c:f>
              <c:numCache>
                <c:formatCode>0.0</c:formatCode>
                <c:ptCount val="7"/>
                <c:pt idx="5">
                  <c:v>0</c:v>
                </c:pt>
              </c:numCache>
            </c:numRef>
          </c:val>
          <c:extLst>
            <c:ext xmlns:c16="http://schemas.microsoft.com/office/drawing/2014/chart" uri="{C3380CC4-5D6E-409C-BE32-E72D297353CC}">
              <c16:uniqueId val="{00000000-20DB-4023-A809-8368E3686393}"/>
            </c:ext>
          </c:extLst>
        </c:ser>
        <c:ser>
          <c:idx val="1"/>
          <c:order val="1"/>
          <c:tx>
            <c:strRef>
              <c:f>'EOL Factors'!$L$14</c:f>
              <c:strCache>
                <c:ptCount val="1"/>
                <c:pt idx="0">
                  <c:v>C2-4 biogenic emissions</c:v>
                </c:pt>
              </c:strCache>
            </c:strRef>
          </c:tx>
          <c:spPr>
            <a:solidFill>
              <a:srgbClr val="CEE6B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Factors'!$J$87:$J$93</c:f>
              <c:strCache>
                <c:ptCount val="7"/>
                <c:pt idx="0">
                  <c:v>CO2 emissions</c:v>
                </c:pt>
                <c:pt idx="1">
                  <c:v>CH4 emissions</c:v>
                </c:pt>
                <c:pt idx="2">
                  <c:v>elec credit (CO2 fossil)</c:v>
                </c:pt>
                <c:pt idx="3">
                  <c:v>elec credit (CH4 fossil)</c:v>
                </c:pt>
                <c:pt idx="4">
                  <c:v>thermal energy credit</c:v>
                </c:pt>
                <c:pt idx="5">
                  <c:v>Total</c:v>
                </c:pt>
                <c:pt idx="6">
                  <c:v>Net</c:v>
                </c:pt>
              </c:strCache>
            </c:strRef>
          </c:cat>
          <c:val>
            <c:numRef>
              <c:f>'EOL Factors'!$L$87:$L$93</c:f>
              <c:numCache>
                <c:formatCode>0.0</c:formatCode>
                <c:ptCount val="7"/>
                <c:pt idx="0">
                  <c:v>0</c:v>
                </c:pt>
                <c:pt idx="5">
                  <c:v>0</c:v>
                </c:pt>
              </c:numCache>
            </c:numRef>
          </c:val>
          <c:extLst>
            <c:ext xmlns:c16="http://schemas.microsoft.com/office/drawing/2014/chart" uri="{C3380CC4-5D6E-409C-BE32-E72D297353CC}">
              <c16:uniqueId val="{00000001-20DB-4023-A809-8368E3686393}"/>
            </c:ext>
          </c:extLst>
        </c:ser>
        <c:ser>
          <c:idx val="2"/>
          <c:order val="2"/>
          <c:tx>
            <c:strRef>
              <c:f>'EOL Factors'!$M$14</c:f>
              <c:strCache>
                <c:ptCount val="1"/>
                <c:pt idx="0">
                  <c:v>Module 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Factors'!$J$87:$J$93</c:f>
              <c:strCache>
                <c:ptCount val="7"/>
                <c:pt idx="0">
                  <c:v>CO2 emissions</c:v>
                </c:pt>
                <c:pt idx="1">
                  <c:v>CH4 emissions</c:v>
                </c:pt>
                <c:pt idx="2">
                  <c:v>elec credit (CO2 fossil)</c:v>
                </c:pt>
                <c:pt idx="3">
                  <c:v>elec credit (CH4 fossil)</c:v>
                </c:pt>
                <c:pt idx="4">
                  <c:v>thermal energy credit</c:v>
                </c:pt>
                <c:pt idx="5">
                  <c:v>Total</c:v>
                </c:pt>
                <c:pt idx="6">
                  <c:v>Net</c:v>
                </c:pt>
              </c:strCache>
            </c:strRef>
          </c:cat>
          <c:val>
            <c:numRef>
              <c:f>'EOL Factors'!$M$87:$M$93</c:f>
              <c:numCache>
                <c:formatCode>0.0</c:formatCode>
                <c:ptCount val="7"/>
                <c:pt idx="2">
                  <c:v>0</c:v>
                </c:pt>
                <c:pt idx="3">
                  <c:v>0</c:v>
                </c:pt>
                <c:pt idx="4">
                  <c:v>0</c:v>
                </c:pt>
                <c:pt idx="5">
                  <c:v>0</c:v>
                </c:pt>
              </c:numCache>
            </c:numRef>
          </c:val>
          <c:extLst>
            <c:ext xmlns:c16="http://schemas.microsoft.com/office/drawing/2014/chart" uri="{C3380CC4-5D6E-409C-BE32-E72D297353CC}">
              <c16:uniqueId val="{00000002-20DB-4023-A809-8368E3686393}"/>
            </c:ext>
          </c:extLst>
        </c:ser>
        <c:ser>
          <c:idx val="3"/>
          <c:order val="3"/>
          <c:tx>
            <c:strRef>
              <c:f>'EOL Factors'!$N$14</c:f>
              <c:strCache>
                <c:ptCount val="1"/>
                <c:pt idx="0">
                  <c:v>Net</c:v>
                </c:pt>
              </c:strCache>
            </c:strRef>
          </c:tx>
          <c:spPr>
            <a:solidFill>
              <a:srgbClr val="5CACC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Factors'!$J$87:$J$93</c:f>
              <c:strCache>
                <c:ptCount val="7"/>
                <c:pt idx="0">
                  <c:v>CO2 emissions</c:v>
                </c:pt>
                <c:pt idx="1">
                  <c:v>CH4 emissions</c:v>
                </c:pt>
                <c:pt idx="2">
                  <c:v>elec credit (CO2 fossil)</c:v>
                </c:pt>
                <c:pt idx="3">
                  <c:v>elec credit (CH4 fossil)</c:v>
                </c:pt>
                <c:pt idx="4">
                  <c:v>thermal energy credit</c:v>
                </c:pt>
                <c:pt idx="5">
                  <c:v>Total</c:v>
                </c:pt>
                <c:pt idx="6">
                  <c:v>Net</c:v>
                </c:pt>
              </c:strCache>
            </c:strRef>
          </c:cat>
          <c:val>
            <c:numRef>
              <c:f>'EOL Factors'!$N$87:$N$93</c:f>
              <c:numCache>
                <c:formatCode>0.0</c:formatCode>
                <c:ptCount val="7"/>
                <c:pt idx="6">
                  <c:v>0</c:v>
                </c:pt>
              </c:numCache>
            </c:numRef>
          </c:val>
          <c:extLst>
            <c:ext xmlns:c16="http://schemas.microsoft.com/office/drawing/2014/chart" uri="{C3380CC4-5D6E-409C-BE32-E72D297353CC}">
              <c16:uniqueId val="{00000003-20DB-4023-A809-8368E3686393}"/>
            </c:ext>
          </c:extLst>
        </c:ser>
        <c:dLbls>
          <c:dLblPos val="outEnd"/>
          <c:showLegendKey val="0"/>
          <c:showVal val="1"/>
          <c:showCatName val="0"/>
          <c:showSerName val="0"/>
          <c:showPercent val="0"/>
          <c:showBubbleSize val="0"/>
        </c:dLbls>
        <c:gapWidth val="219"/>
        <c:overlap val="-27"/>
        <c:axId val="122213872"/>
        <c:axId val="2076625024"/>
      </c:barChart>
      <c:catAx>
        <c:axId val="122213872"/>
        <c:scaling>
          <c:orientation val="minMax"/>
        </c:scaling>
        <c:delete val="0"/>
        <c:axPos val="b"/>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76625024"/>
        <c:crosses val="autoZero"/>
        <c:auto val="1"/>
        <c:lblAlgn val="ctr"/>
        <c:lblOffset val="100"/>
        <c:noMultiLvlLbl val="0"/>
      </c:catAx>
      <c:valAx>
        <c:axId val="2076625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13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'EOL Factors'!$J$72:$O$72</c:f>
          <c:strCache>
            <c:ptCount val="6"/>
            <c:pt idx="0">
              <c:v>Tally - Landfill - Calculations</c:v>
            </c:pt>
          </c:strCache>
        </c:strRef>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Factors'!$K$14</c:f>
              <c:strCache>
                <c:ptCount val="1"/>
                <c:pt idx="0">
                  <c:v>C2-4 - Non Biogenic Emissions</c:v>
                </c:pt>
              </c:strCache>
            </c:strRef>
          </c:tx>
          <c:spPr>
            <a:solidFill>
              <a:srgbClr val="87C54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Factors'!$J$99:$J$103</c:f>
              <c:strCache>
                <c:ptCount val="5"/>
                <c:pt idx="0">
                  <c:v>CO2 (fossil)</c:v>
                </c:pt>
                <c:pt idx="1">
                  <c:v>CH4, biogenic</c:v>
                </c:pt>
                <c:pt idx="2">
                  <c:v>CO2 (resource)</c:v>
                </c:pt>
                <c:pt idx="3">
                  <c:v>Total</c:v>
                </c:pt>
                <c:pt idx="4">
                  <c:v>Net</c:v>
                </c:pt>
              </c:strCache>
            </c:strRef>
          </c:cat>
          <c:val>
            <c:numRef>
              <c:f>'EOL Factors'!$K$99:$K$103</c:f>
              <c:numCache>
                <c:formatCode>0.0</c:formatCode>
                <c:ptCount val="5"/>
                <c:pt idx="3">
                  <c:v>0</c:v>
                </c:pt>
              </c:numCache>
            </c:numRef>
          </c:val>
          <c:extLst>
            <c:ext xmlns:c16="http://schemas.microsoft.com/office/drawing/2014/chart" uri="{C3380CC4-5D6E-409C-BE32-E72D297353CC}">
              <c16:uniqueId val="{00000000-5F32-4583-A187-CDB92BA2260D}"/>
            </c:ext>
          </c:extLst>
        </c:ser>
        <c:ser>
          <c:idx val="1"/>
          <c:order val="1"/>
          <c:tx>
            <c:strRef>
              <c:f>'EOL Factors'!$L$14</c:f>
              <c:strCache>
                <c:ptCount val="1"/>
                <c:pt idx="0">
                  <c:v>C2-4 biogenic emissions</c:v>
                </c:pt>
              </c:strCache>
            </c:strRef>
          </c:tx>
          <c:spPr>
            <a:solidFill>
              <a:srgbClr val="CEE6B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Factors'!$J$99:$J$103</c:f>
              <c:strCache>
                <c:ptCount val="5"/>
                <c:pt idx="0">
                  <c:v>CO2 (fossil)</c:v>
                </c:pt>
                <c:pt idx="1">
                  <c:v>CH4, biogenic</c:v>
                </c:pt>
                <c:pt idx="2">
                  <c:v>CO2 (resource)</c:v>
                </c:pt>
                <c:pt idx="3">
                  <c:v>Total</c:v>
                </c:pt>
                <c:pt idx="4">
                  <c:v>Net</c:v>
                </c:pt>
              </c:strCache>
            </c:strRef>
          </c:cat>
          <c:val>
            <c:numRef>
              <c:f>'EOL Factors'!$L$99:$L$103</c:f>
              <c:numCache>
                <c:formatCode>0.0</c:formatCode>
                <c:ptCount val="5"/>
                <c:pt idx="3">
                  <c:v>0</c:v>
                </c:pt>
              </c:numCache>
            </c:numRef>
          </c:val>
          <c:extLst>
            <c:ext xmlns:c16="http://schemas.microsoft.com/office/drawing/2014/chart" uri="{C3380CC4-5D6E-409C-BE32-E72D297353CC}">
              <c16:uniqueId val="{00000001-5F32-4583-A187-CDB92BA2260D}"/>
            </c:ext>
          </c:extLst>
        </c:ser>
        <c:ser>
          <c:idx val="2"/>
          <c:order val="2"/>
          <c:tx>
            <c:strRef>
              <c:f>'EOL Factors'!$M$14</c:f>
              <c:strCache>
                <c:ptCount val="1"/>
                <c:pt idx="0">
                  <c:v>Module 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Factors'!$J$99:$J$103</c:f>
              <c:strCache>
                <c:ptCount val="5"/>
                <c:pt idx="0">
                  <c:v>CO2 (fossil)</c:v>
                </c:pt>
                <c:pt idx="1">
                  <c:v>CH4, biogenic</c:v>
                </c:pt>
                <c:pt idx="2">
                  <c:v>CO2 (resource)</c:v>
                </c:pt>
                <c:pt idx="3">
                  <c:v>Total</c:v>
                </c:pt>
                <c:pt idx="4">
                  <c:v>Net</c:v>
                </c:pt>
              </c:strCache>
            </c:strRef>
          </c:cat>
          <c:val>
            <c:numRef>
              <c:f>'EOL Factors'!$M$99:$M$103</c:f>
              <c:numCache>
                <c:formatCode>0.0</c:formatCode>
                <c:ptCount val="5"/>
                <c:pt idx="0">
                  <c:v>0</c:v>
                </c:pt>
                <c:pt idx="1">
                  <c:v>0</c:v>
                </c:pt>
                <c:pt idx="2">
                  <c:v>0</c:v>
                </c:pt>
                <c:pt idx="3">
                  <c:v>0</c:v>
                </c:pt>
              </c:numCache>
            </c:numRef>
          </c:val>
          <c:extLst>
            <c:ext xmlns:c16="http://schemas.microsoft.com/office/drawing/2014/chart" uri="{C3380CC4-5D6E-409C-BE32-E72D297353CC}">
              <c16:uniqueId val="{00000002-5F32-4583-A187-CDB92BA2260D}"/>
            </c:ext>
          </c:extLst>
        </c:ser>
        <c:ser>
          <c:idx val="3"/>
          <c:order val="3"/>
          <c:tx>
            <c:strRef>
              <c:f>'EOL Factors'!$N$14</c:f>
              <c:strCache>
                <c:ptCount val="1"/>
                <c:pt idx="0">
                  <c:v>Net</c:v>
                </c:pt>
              </c:strCache>
            </c:strRef>
          </c:tx>
          <c:spPr>
            <a:solidFill>
              <a:srgbClr val="5CACC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Factors'!$J$99:$J$103</c:f>
              <c:strCache>
                <c:ptCount val="5"/>
                <c:pt idx="0">
                  <c:v>CO2 (fossil)</c:v>
                </c:pt>
                <c:pt idx="1">
                  <c:v>CH4, biogenic</c:v>
                </c:pt>
                <c:pt idx="2">
                  <c:v>CO2 (resource)</c:v>
                </c:pt>
                <c:pt idx="3">
                  <c:v>Total</c:v>
                </c:pt>
                <c:pt idx="4">
                  <c:v>Net</c:v>
                </c:pt>
              </c:strCache>
            </c:strRef>
          </c:cat>
          <c:val>
            <c:numRef>
              <c:f>'EOL Factors'!$N$99:$N$103</c:f>
              <c:numCache>
                <c:formatCode>0.0</c:formatCode>
                <c:ptCount val="5"/>
                <c:pt idx="4">
                  <c:v>0</c:v>
                </c:pt>
              </c:numCache>
            </c:numRef>
          </c:val>
          <c:extLst>
            <c:ext xmlns:c16="http://schemas.microsoft.com/office/drawing/2014/chart" uri="{C3380CC4-5D6E-409C-BE32-E72D297353CC}">
              <c16:uniqueId val="{00000003-5F32-4583-A187-CDB92BA2260D}"/>
            </c:ext>
          </c:extLst>
        </c:ser>
        <c:dLbls>
          <c:dLblPos val="outEnd"/>
          <c:showLegendKey val="0"/>
          <c:showVal val="1"/>
          <c:showCatName val="0"/>
          <c:showSerName val="0"/>
          <c:showPercent val="0"/>
          <c:showBubbleSize val="0"/>
        </c:dLbls>
        <c:gapWidth val="219"/>
        <c:overlap val="-27"/>
        <c:axId val="122213872"/>
        <c:axId val="2076625024"/>
      </c:barChart>
      <c:catAx>
        <c:axId val="122213872"/>
        <c:scaling>
          <c:orientation val="minMax"/>
        </c:scaling>
        <c:delete val="0"/>
        <c:axPos val="b"/>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76625024"/>
        <c:crosses val="autoZero"/>
        <c:auto val="1"/>
        <c:lblAlgn val="ctr"/>
        <c:lblOffset val="100"/>
        <c:noMultiLvlLbl val="0"/>
      </c:catAx>
      <c:valAx>
        <c:axId val="2076625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13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7.png"/></Relationships>
</file>

<file path=xl/drawings/_rels/drawing5.xml.rels><?xml version="1.0" encoding="UTF-8" standalone="yes"?>
<Relationships xmlns="http://schemas.openxmlformats.org/package/2006/relationships"><Relationship Id="rId8" Type="http://schemas.openxmlformats.org/officeDocument/2006/relationships/chart" Target="../charts/chart11.xml"/><Relationship Id="rId3" Type="http://schemas.openxmlformats.org/officeDocument/2006/relationships/chart" Target="../charts/chart6.xml"/><Relationship Id="rId7" Type="http://schemas.openxmlformats.org/officeDocument/2006/relationships/chart" Target="../charts/chart10.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8</xdr:col>
      <xdr:colOff>85726</xdr:colOff>
      <xdr:row>1</xdr:row>
      <xdr:rowOff>818198</xdr:rowOff>
    </xdr:from>
    <xdr:to>
      <xdr:col>8</xdr:col>
      <xdr:colOff>1657350</xdr:colOff>
      <xdr:row>1</xdr:row>
      <xdr:rowOff>1552576</xdr:rowOff>
    </xdr:to>
    <xdr:pic>
      <xdr:nvPicPr>
        <xdr:cNvPr id="5" name="Picture 4">
          <a:extLst>
            <a:ext uri="{FF2B5EF4-FFF2-40B4-BE49-F238E27FC236}">
              <a16:creationId xmlns:a16="http://schemas.microsoft.com/office/drawing/2014/main" id="{4B6F024B-37B1-458C-8310-752157A41EB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05326" y="1008698"/>
          <a:ext cx="1571624" cy="734378"/>
        </a:xfrm>
        <a:prstGeom prst="rect">
          <a:avLst/>
        </a:prstGeom>
      </xdr:spPr>
    </xdr:pic>
    <xdr:clientData/>
  </xdr:twoCellAnchor>
  <xdr:twoCellAnchor editAs="oneCell">
    <xdr:from>
      <xdr:col>8</xdr:col>
      <xdr:colOff>417195</xdr:colOff>
      <xdr:row>5</xdr:row>
      <xdr:rowOff>18098</xdr:rowOff>
    </xdr:from>
    <xdr:to>
      <xdr:col>8</xdr:col>
      <xdr:colOff>1314451</xdr:colOff>
      <xdr:row>5</xdr:row>
      <xdr:rowOff>896550</xdr:rowOff>
    </xdr:to>
    <xdr:pic>
      <xdr:nvPicPr>
        <xdr:cNvPr id="7" name="Picture 6">
          <a:extLst>
            <a:ext uri="{FF2B5EF4-FFF2-40B4-BE49-F238E27FC236}">
              <a16:creationId xmlns:a16="http://schemas.microsoft.com/office/drawing/2014/main" id="{1CAE59B5-F753-4B84-9321-AB77C53815A1}"/>
            </a:ext>
            <a:ext uri="{147F2762-F138-4A5C-976F-8EAC2B608ADB}">
              <a16:predDERef xmlns:a16="http://schemas.microsoft.com/office/drawing/2014/main" pred="{4B6F024B-37B1-458C-8310-752157A41EBA}"/>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4439" t="23726" r="25445" b="23333"/>
        <a:stretch/>
      </xdr:blipFill>
      <xdr:spPr>
        <a:xfrm>
          <a:off x="4836795" y="3408998"/>
          <a:ext cx="897256" cy="878452"/>
        </a:xfrm>
        <a:prstGeom prst="rect">
          <a:avLst/>
        </a:prstGeom>
      </xdr:spPr>
    </xdr:pic>
    <xdr:clientData/>
  </xdr:twoCellAnchor>
  <xdr:twoCellAnchor editAs="oneCell">
    <xdr:from>
      <xdr:col>8</xdr:col>
      <xdr:colOff>38100</xdr:colOff>
      <xdr:row>3</xdr:row>
      <xdr:rowOff>161926</xdr:rowOff>
    </xdr:from>
    <xdr:to>
      <xdr:col>8</xdr:col>
      <xdr:colOff>1684697</xdr:colOff>
      <xdr:row>3</xdr:row>
      <xdr:rowOff>514350</xdr:rowOff>
    </xdr:to>
    <xdr:pic>
      <xdr:nvPicPr>
        <xdr:cNvPr id="8" name="Picture 7" descr="See the source image">
          <a:extLst>
            <a:ext uri="{FF2B5EF4-FFF2-40B4-BE49-F238E27FC236}">
              <a16:creationId xmlns:a16="http://schemas.microsoft.com/office/drawing/2014/main" id="{3E7CB3D5-1737-4E45-8798-87D0D31934E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457700" y="2733676"/>
          <a:ext cx="1646597" cy="3524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26630</xdr:colOff>
      <xdr:row>1</xdr:row>
      <xdr:rowOff>1797881</xdr:rowOff>
    </xdr:from>
    <xdr:to>
      <xdr:col>7</xdr:col>
      <xdr:colOff>433387</xdr:colOff>
      <xdr:row>3</xdr:row>
      <xdr:rowOff>523875</xdr:rowOff>
    </xdr:to>
    <xdr:pic>
      <xdr:nvPicPr>
        <xdr:cNvPr id="4" name="Picture 3">
          <a:extLst>
            <a:ext uri="{FF2B5EF4-FFF2-40B4-BE49-F238E27FC236}">
              <a16:creationId xmlns:a16="http://schemas.microsoft.com/office/drawing/2014/main" id="{56AD81C9-0038-4802-9AF6-77942A26B853}"/>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50468" y="1978856"/>
          <a:ext cx="4264382" cy="10977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338760</xdr:colOff>
      <xdr:row>0</xdr:row>
      <xdr:rowOff>0</xdr:rowOff>
    </xdr:from>
    <xdr:to>
      <xdr:col>8</xdr:col>
      <xdr:colOff>519735</xdr:colOff>
      <xdr:row>16</xdr:row>
      <xdr:rowOff>133723</xdr:rowOff>
    </xdr:to>
    <xdr:pic>
      <xdr:nvPicPr>
        <xdr:cNvPr id="5" name="Picture 4">
          <a:extLst>
            <a:ext uri="{FF2B5EF4-FFF2-40B4-BE49-F238E27FC236}">
              <a16:creationId xmlns:a16="http://schemas.microsoft.com/office/drawing/2014/main" id="{7F1BAF9D-BC35-4BA9-9906-981AC2132B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8760" y="0"/>
          <a:ext cx="5018018" cy="3049201"/>
        </a:xfrm>
        <a:prstGeom prst="rect">
          <a:avLst/>
        </a:prstGeom>
      </xdr:spPr>
    </xdr:pic>
    <xdr:clientData/>
  </xdr:twoCellAnchor>
  <xdr:twoCellAnchor editAs="oneCell">
    <xdr:from>
      <xdr:col>0</xdr:col>
      <xdr:colOff>266700</xdr:colOff>
      <xdr:row>23</xdr:row>
      <xdr:rowOff>109537</xdr:rowOff>
    </xdr:from>
    <xdr:to>
      <xdr:col>9</xdr:col>
      <xdr:colOff>66033</xdr:colOff>
      <xdr:row>31</xdr:row>
      <xdr:rowOff>128586</xdr:rowOff>
    </xdr:to>
    <xdr:pic>
      <xdr:nvPicPr>
        <xdr:cNvPr id="6" name="Picture 5">
          <a:extLst>
            <a:ext uri="{FF2B5EF4-FFF2-40B4-BE49-F238E27FC236}">
              <a16:creationId xmlns:a16="http://schemas.microsoft.com/office/drawing/2014/main" id="{192EC1AF-922C-4D31-AB5A-4DCBE748184C}"/>
            </a:ext>
          </a:extLst>
        </xdr:cNvPr>
        <xdr:cNvPicPr>
          <a:picLocks noChangeAspect="1"/>
        </xdr:cNvPicPr>
      </xdr:nvPicPr>
      <xdr:blipFill rotWithShape="1">
        <a:blip xmlns:r="http://schemas.openxmlformats.org/officeDocument/2006/relationships" r:embed="rId2"/>
        <a:srcRect t="5852"/>
        <a:stretch/>
      </xdr:blipFill>
      <xdr:spPr>
        <a:xfrm>
          <a:off x="266700" y="7148512"/>
          <a:ext cx="5285733" cy="146684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10</xdr:row>
      <xdr:rowOff>0</xdr:rowOff>
    </xdr:from>
    <xdr:to>
      <xdr:col>15</xdr:col>
      <xdr:colOff>0</xdr:colOff>
      <xdr:row>26</xdr:row>
      <xdr:rowOff>9523</xdr:rowOff>
    </xdr:to>
    <xdr:graphicFrame macro="">
      <xdr:nvGraphicFramePr>
        <xdr:cNvPr id="2" name="Chart 1">
          <a:extLst>
            <a:ext uri="{FF2B5EF4-FFF2-40B4-BE49-F238E27FC236}">
              <a16:creationId xmlns:a16="http://schemas.microsoft.com/office/drawing/2014/main" id="{7924FC5C-548B-4D3D-B20D-DC0756766C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7812</xdr:colOff>
      <xdr:row>35</xdr:row>
      <xdr:rowOff>179294</xdr:rowOff>
    </xdr:from>
    <xdr:to>
      <xdr:col>15</xdr:col>
      <xdr:colOff>0</xdr:colOff>
      <xdr:row>49</xdr:row>
      <xdr:rowOff>268941</xdr:rowOff>
    </xdr:to>
    <xdr:graphicFrame macro="">
      <xdr:nvGraphicFramePr>
        <xdr:cNvPr id="3" name="Chart 2">
          <a:extLst>
            <a:ext uri="{FF2B5EF4-FFF2-40B4-BE49-F238E27FC236}">
              <a16:creationId xmlns:a16="http://schemas.microsoft.com/office/drawing/2014/main" id="{C2E06687-AD71-44C1-854B-5837E824FB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269701</xdr:colOff>
      <xdr:row>6</xdr:row>
      <xdr:rowOff>148198</xdr:rowOff>
    </xdr:from>
    <xdr:to>
      <xdr:col>5</xdr:col>
      <xdr:colOff>269701</xdr:colOff>
      <xdr:row>112</xdr:row>
      <xdr:rowOff>374196</xdr:rowOff>
    </xdr:to>
    <xdr:cxnSp macro="">
      <xdr:nvCxnSpPr>
        <xdr:cNvPr id="6" name="Straight Connector 5">
          <a:extLst>
            <a:ext uri="{FF2B5EF4-FFF2-40B4-BE49-F238E27FC236}">
              <a16:creationId xmlns:a16="http://schemas.microsoft.com/office/drawing/2014/main" id="{0504DF13-6EF5-4427-B7DF-365C7680C974}"/>
            </a:ext>
          </a:extLst>
        </xdr:cNvPr>
        <xdr:cNvCxnSpPr/>
      </xdr:nvCxnSpPr>
      <xdr:spPr>
        <a:xfrm>
          <a:off x="6773915" y="1250377"/>
          <a:ext cx="0" cy="29107159"/>
        </a:xfrm>
        <a:prstGeom prst="line">
          <a:avLst/>
        </a:prstGeom>
        <a:ln w="22225">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42460</xdr:colOff>
      <xdr:row>57</xdr:row>
      <xdr:rowOff>1800</xdr:rowOff>
    </xdr:from>
    <xdr:to>
      <xdr:col>15</xdr:col>
      <xdr:colOff>29053</xdr:colOff>
      <xdr:row>69</xdr:row>
      <xdr:rowOff>162364</xdr:rowOff>
    </xdr:to>
    <xdr:graphicFrame macro="">
      <xdr:nvGraphicFramePr>
        <xdr:cNvPr id="9" name="Chart 8">
          <a:extLst>
            <a:ext uri="{FF2B5EF4-FFF2-40B4-BE49-F238E27FC236}">
              <a16:creationId xmlns:a16="http://schemas.microsoft.com/office/drawing/2014/main" id="{ABAE939A-75C1-4836-9B6F-E2FE2C949D92}"/>
            </a:ext>
            <a:ext uri="{147F2762-F138-4A5C-976F-8EAC2B608ADB}">
              <a16:predDERef xmlns:a16="http://schemas.microsoft.com/office/drawing/2014/main" pred="{219E70ED-A3A4-441B-92B7-CBDA8C7A34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217715</xdr:colOff>
      <xdr:row>0</xdr:row>
      <xdr:rowOff>0</xdr:rowOff>
    </xdr:from>
    <xdr:to>
      <xdr:col>1</xdr:col>
      <xdr:colOff>1189570</xdr:colOff>
      <xdr:row>6</xdr:row>
      <xdr:rowOff>115660</xdr:rowOff>
    </xdr:to>
    <xdr:pic>
      <xdr:nvPicPr>
        <xdr:cNvPr id="10" name="Picture 9">
          <a:extLst>
            <a:ext uri="{FF2B5EF4-FFF2-40B4-BE49-F238E27FC236}">
              <a16:creationId xmlns:a16="http://schemas.microsoft.com/office/drawing/2014/main" id="{12F0150F-9DC3-422E-B485-0AC18200315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17715" y="0"/>
          <a:ext cx="1237195" cy="1217839"/>
        </a:xfrm>
        <a:prstGeom prst="rect">
          <a:avLst/>
        </a:prstGeom>
      </xdr:spPr>
    </xdr:pic>
    <xdr:clientData/>
  </xdr:twoCellAnchor>
</xdr:wsDr>
</file>

<file path=xl/drawings/drawing4.xml><?xml version="1.0" encoding="utf-8"?>
<c:userShapes xmlns:c="http://schemas.openxmlformats.org/drawingml/2006/chart">
  <cdr:relSizeAnchor xmlns:cdr="http://schemas.openxmlformats.org/drawingml/2006/chartDrawing">
    <cdr:from>
      <cdr:x>0.78203</cdr:x>
      <cdr:y>0.23527</cdr:y>
    </cdr:from>
    <cdr:to>
      <cdr:x>0.9026</cdr:x>
      <cdr:y>0.39896</cdr:y>
    </cdr:to>
    <cdr:sp macro="" textlink="'Scenario 1 - Calc Sheet'!$J$56">
      <cdr:nvSpPr>
        <cdr:cNvPr id="2" name="TextBox 1">
          <a:extLst xmlns:a="http://schemas.openxmlformats.org/drawingml/2006/main">
            <a:ext uri="{FF2B5EF4-FFF2-40B4-BE49-F238E27FC236}">
              <a16:creationId xmlns:a16="http://schemas.microsoft.com/office/drawing/2014/main" id="{B9024446-62EF-4F0F-AC29-A25FA3298038}"/>
            </a:ext>
          </a:extLst>
        </cdr:cNvPr>
        <cdr:cNvSpPr txBox="1"/>
      </cdr:nvSpPr>
      <cdr:spPr>
        <a:xfrm xmlns:a="http://schemas.openxmlformats.org/drawingml/2006/main">
          <a:off x="6644253" y="817281"/>
          <a:ext cx="1024380" cy="56863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833FADE3-F279-4778-A887-2966AE422305}" type="TxLink">
            <a:rPr lang="en-US" sz="2000" b="0" i="0" u="none" strike="noStrike">
              <a:solidFill>
                <a:srgbClr val="000000"/>
              </a:solidFill>
              <a:latin typeface="Calibri"/>
              <a:cs typeface="Calibri"/>
            </a:rPr>
            <a:pPr/>
            <a:t>#DIV/0!</a:t>
          </a:fld>
          <a:endParaRPr lang="en-US" sz="2000"/>
        </a:p>
      </cdr:txBody>
    </cdr:sp>
  </cdr:relSizeAnchor>
  <cdr:relSizeAnchor xmlns:cdr="http://schemas.openxmlformats.org/drawingml/2006/chartDrawing">
    <cdr:from>
      <cdr:x>0.7758</cdr:x>
      <cdr:y>0.15669</cdr:y>
    </cdr:from>
    <cdr:to>
      <cdr:x>0.90454</cdr:x>
      <cdr:y>0.26582</cdr:y>
    </cdr:to>
    <cdr:sp macro="" textlink="">
      <cdr:nvSpPr>
        <cdr:cNvPr id="3" name="TextBox 2">
          <a:extLst xmlns:a="http://schemas.openxmlformats.org/drawingml/2006/main">
            <a:ext uri="{FF2B5EF4-FFF2-40B4-BE49-F238E27FC236}">
              <a16:creationId xmlns:a16="http://schemas.microsoft.com/office/drawing/2014/main" id="{882C98F5-951C-4715-9715-D74C8663BEF7}"/>
            </a:ext>
          </a:extLst>
        </cdr:cNvPr>
        <cdr:cNvSpPr txBox="1"/>
      </cdr:nvSpPr>
      <cdr:spPr>
        <a:xfrm xmlns:a="http://schemas.openxmlformats.org/drawingml/2006/main">
          <a:off x="6591303" y="544297"/>
          <a:ext cx="1093793" cy="37909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2000" b="0" i="0" u="none" strike="noStrike">
              <a:solidFill>
                <a:srgbClr val="000000"/>
              </a:solidFill>
              <a:latin typeface="Calibri"/>
              <a:cs typeface="Calibri"/>
            </a:rPr>
            <a:t>Savings:</a:t>
          </a:r>
        </a:p>
      </cdr:txBody>
    </cdr:sp>
  </cdr:relSizeAnchor>
</c:userShapes>
</file>

<file path=xl/drawings/drawing5.xml><?xml version="1.0" encoding="utf-8"?>
<xdr:wsDr xmlns:xdr="http://schemas.openxmlformats.org/drawingml/2006/spreadsheetDrawing" xmlns:a="http://schemas.openxmlformats.org/drawingml/2006/main">
  <xdr:twoCellAnchor>
    <xdr:from>
      <xdr:col>0</xdr:col>
      <xdr:colOff>240087</xdr:colOff>
      <xdr:row>11</xdr:row>
      <xdr:rowOff>179455</xdr:rowOff>
    </xdr:from>
    <xdr:to>
      <xdr:col>8</xdr:col>
      <xdr:colOff>1288677</xdr:colOff>
      <xdr:row>20</xdr:row>
      <xdr:rowOff>186357</xdr:rowOff>
    </xdr:to>
    <xdr:graphicFrame macro="">
      <xdr:nvGraphicFramePr>
        <xdr:cNvPr id="4" name="Chart 3">
          <a:extLst>
            <a:ext uri="{FF2B5EF4-FFF2-40B4-BE49-F238E27FC236}">
              <a16:creationId xmlns:a16="http://schemas.microsoft.com/office/drawing/2014/main" id="{E86E7B10-F02C-48FA-9724-0A3D3D901E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161645</xdr:colOff>
      <xdr:row>24</xdr:row>
      <xdr:rowOff>358</xdr:rowOff>
    </xdr:from>
    <xdr:to>
      <xdr:col>8</xdr:col>
      <xdr:colOff>1210235</xdr:colOff>
      <xdr:row>34</xdr:row>
      <xdr:rowOff>27214</xdr:rowOff>
    </xdr:to>
    <xdr:graphicFrame macro="">
      <xdr:nvGraphicFramePr>
        <xdr:cNvPr id="5" name="Chart 4">
          <a:extLst>
            <a:ext uri="{FF2B5EF4-FFF2-40B4-BE49-F238E27FC236}">
              <a16:creationId xmlns:a16="http://schemas.microsoft.com/office/drawing/2014/main" id="{3B55E945-9168-4F4D-8EBF-B66E0FC1BB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13607</xdr:colOff>
      <xdr:row>36</xdr:row>
      <xdr:rowOff>156483</xdr:rowOff>
    </xdr:from>
    <xdr:to>
      <xdr:col>8</xdr:col>
      <xdr:colOff>1062197</xdr:colOff>
      <xdr:row>48</xdr:row>
      <xdr:rowOff>20412</xdr:rowOff>
    </xdr:to>
    <xdr:graphicFrame macro="">
      <xdr:nvGraphicFramePr>
        <xdr:cNvPr id="6" name="Chart 5">
          <a:extLst>
            <a:ext uri="{FF2B5EF4-FFF2-40B4-BE49-F238E27FC236}">
              <a16:creationId xmlns:a16="http://schemas.microsoft.com/office/drawing/2014/main" id="{16B695B9-5BE3-4A8C-B280-CFD674C0D9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50</xdr:row>
      <xdr:rowOff>93723</xdr:rowOff>
    </xdr:from>
    <xdr:to>
      <xdr:col>8</xdr:col>
      <xdr:colOff>1048590</xdr:colOff>
      <xdr:row>61</xdr:row>
      <xdr:rowOff>441615</xdr:rowOff>
    </xdr:to>
    <xdr:graphicFrame macro="">
      <xdr:nvGraphicFramePr>
        <xdr:cNvPr id="7" name="Chart 6">
          <a:extLst>
            <a:ext uri="{FF2B5EF4-FFF2-40B4-BE49-F238E27FC236}">
              <a16:creationId xmlns:a16="http://schemas.microsoft.com/office/drawing/2014/main" id="{E0685840-46A0-439E-A41E-75791561B9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63</xdr:row>
      <xdr:rowOff>129886</xdr:rowOff>
    </xdr:from>
    <xdr:to>
      <xdr:col>8</xdr:col>
      <xdr:colOff>1048590</xdr:colOff>
      <xdr:row>70</xdr:row>
      <xdr:rowOff>969817</xdr:rowOff>
    </xdr:to>
    <xdr:graphicFrame macro="">
      <xdr:nvGraphicFramePr>
        <xdr:cNvPr id="8" name="Chart 7">
          <a:extLst>
            <a:ext uri="{FF2B5EF4-FFF2-40B4-BE49-F238E27FC236}">
              <a16:creationId xmlns:a16="http://schemas.microsoft.com/office/drawing/2014/main" id="{FC963D48-5BC3-4D36-90A6-57C81F64F5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72</xdr:row>
      <xdr:rowOff>147205</xdr:rowOff>
    </xdr:from>
    <xdr:to>
      <xdr:col>8</xdr:col>
      <xdr:colOff>1048590</xdr:colOff>
      <xdr:row>81</xdr:row>
      <xdr:rowOff>987135</xdr:rowOff>
    </xdr:to>
    <xdr:graphicFrame macro="">
      <xdr:nvGraphicFramePr>
        <xdr:cNvPr id="9" name="Chart 8">
          <a:extLst>
            <a:ext uri="{FF2B5EF4-FFF2-40B4-BE49-F238E27FC236}">
              <a16:creationId xmlns:a16="http://schemas.microsoft.com/office/drawing/2014/main" id="{DDF16BEC-2A77-4A92-85F4-CC17D256D7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84</xdr:row>
      <xdr:rowOff>2</xdr:rowOff>
    </xdr:from>
    <xdr:to>
      <xdr:col>8</xdr:col>
      <xdr:colOff>1048590</xdr:colOff>
      <xdr:row>93</xdr:row>
      <xdr:rowOff>839930</xdr:rowOff>
    </xdr:to>
    <xdr:graphicFrame macro="">
      <xdr:nvGraphicFramePr>
        <xdr:cNvPr id="10" name="Chart 9">
          <a:extLst>
            <a:ext uri="{FF2B5EF4-FFF2-40B4-BE49-F238E27FC236}">
              <a16:creationId xmlns:a16="http://schemas.microsoft.com/office/drawing/2014/main" id="{2BD67C24-CFBF-4E9C-A7CB-70DDAD88F9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95</xdr:row>
      <xdr:rowOff>164523</xdr:rowOff>
    </xdr:from>
    <xdr:to>
      <xdr:col>8</xdr:col>
      <xdr:colOff>1048590</xdr:colOff>
      <xdr:row>109</xdr:row>
      <xdr:rowOff>95248</xdr:rowOff>
    </xdr:to>
    <xdr:graphicFrame macro="">
      <xdr:nvGraphicFramePr>
        <xdr:cNvPr id="11" name="Chart 10">
          <a:extLst>
            <a:ext uri="{FF2B5EF4-FFF2-40B4-BE49-F238E27FC236}">
              <a16:creationId xmlns:a16="http://schemas.microsoft.com/office/drawing/2014/main" id="{027819F1-F9A1-430D-A73D-6F8307ED7E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Dunn, Jacob" id="{9D416587-5F1C-44FE-8985-A6FB801EC47A}" userId="S::jacob.dunn@zgf.com::1081f788-c55c-4b89-a307-f95774849cb0" providerId="AD"/>
</personList>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81" dT="2021-06-02T22:47:30.47" personId="{9D416587-5F1C-44FE-8985-A6FB801EC47A}" id="{84430F59-64D7-445E-98E8-5662C4A21ADA}">
    <text>check why recycling is not updating in the EOL graph</text>
  </threadedComment>
</ThreadedComments>
</file>

<file path=xl/threadedComments/threadedComment2.xml><?xml version="1.0" encoding="utf-8"?>
<ThreadedComments xmlns="http://schemas.microsoft.com/office/spreadsheetml/2018/threadedcomments" xmlns:x="http://schemas.openxmlformats.org/spreadsheetml/2006/main">
  <threadedComment ref="T45" dT="2021-03-12T00:39:53.53" personId="{9D416587-5F1C-44FE-8985-A6FB801EC47A}" id="{321A4D09-5F07-4D70-B900-01D7103B9ECC}">
    <text>double check why there is energy export with flare?</text>
  </threadedComment>
  <threadedComment ref="S55" dT="2021-03-12T00:45:05.80" personId="{9D416587-5F1C-44FE-8985-A6FB801EC47A}" id="{2261449E-DBD8-48FE-81F0-CDC38FC116B7}">
    <text>from the epd - 853.66 CO2e/450.18 kg ODW = emissions from biogenic carbon in wood going into atmosphere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ablebits.com/office-addins-blog/2020/09/02/create-dynamic-dependent-drop-down-excel/"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8" Type="http://schemas.openxmlformats.org/officeDocument/2006/relationships/hyperlink" Target="https://corrim.org/wp-content/uploads/Module-G1-PNW-Glulam.pdf" TargetMode="External"/><Relationship Id="rId13" Type="http://schemas.openxmlformats.org/officeDocument/2006/relationships/hyperlink" Target="https://www.awc.org/pdf/greenbuilding/epd/AWC-EPD-LVL-1307.pdf" TargetMode="External"/><Relationship Id="rId3" Type="http://schemas.openxmlformats.org/officeDocument/2006/relationships/hyperlink" Target="https://www.structurlam.com/wp-content/uploads/2021/02/Structurlam-Environmental-Product-Declaration-Glulam.pdf" TargetMode="External"/><Relationship Id="rId7" Type="http://schemas.openxmlformats.org/officeDocument/2006/relationships/hyperlink" Target="https://www.awc.org/pdf/greenbuilding/epd/AWC-EPD-Glulam-1307.pdf" TargetMode="External"/><Relationship Id="rId12" Type="http://schemas.openxmlformats.org/officeDocument/2006/relationships/hyperlink" Target="https://www.awc.org/pdf/greenbuilding/epd/AWC-EPD-LVL-1307.pdf" TargetMode="External"/><Relationship Id="rId17" Type="http://schemas.openxmlformats.org/officeDocument/2006/relationships/hyperlink" Target="https://www.awc.org/pdf/greenbuilding/epd/AWC-EPD-SoftwoodLumber-1307.pdf" TargetMode="External"/><Relationship Id="rId2" Type="http://schemas.openxmlformats.org/officeDocument/2006/relationships/hyperlink" Target="http://www.clt.lt/failai/files/EPD%20according%20to%20ISO%2014025.pdf" TargetMode="External"/><Relationship Id="rId16" Type="http://schemas.openxmlformats.org/officeDocument/2006/relationships/hyperlink" Target="https://www.awc.org/pdf/greenbuilding/epd/AWC_EPD_NorthAmericanSoftwoodLumber_20200605.pdf" TargetMode="External"/><Relationship Id="rId1" Type="http://schemas.openxmlformats.org/officeDocument/2006/relationships/hyperlink" Target="https://www.awc.org/pdf/greenbuilding/epd/AWC-EPD-Glulam-1307.pdf" TargetMode="External"/><Relationship Id="rId6" Type="http://schemas.openxmlformats.org/officeDocument/2006/relationships/hyperlink" Target="https://www.awc.org/pdf/greenbuilding/epd/AWC_EPD_NorthAmericanGluedLaminatedTimber_20200605.pdf" TargetMode="External"/><Relationship Id="rId11" Type="http://schemas.openxmlformats.org/officeDocument/2006/relationships/hyperlink" Target="https://www.awc.org/pdf/greenbuilding/epd/AWC_EPD_NorthAmericanLaminatedVeneerLumber_20200605.pdf" TargetMode="External"/><Relationship Id="rId5" Type="http://schemas.openxmlformats.org/officeDocument/2006/relationships/hyperlink" Target="https://www.awc.org/pdf/greenbuilding/epd/AWC-EPD-Glulam-1307.pdf" TargetMode="External"/><Relationship Id="rId15" Type="http://schemas.openxmlformats.org/officeDocument/2006/relationships/hyperlink" Target="http://gabi-documentation-2021.gabi-software.com/xml-data/processes/bdd72752-09d1-44ad-a47b-e7b31fae976f.xml" TargetMode="External"/><Relationship Id="rId10" Type="http://schemas.openxmlformats.org/officeDocument/2006/relationships/hyperlink" Target="http://www.athenasmi.org/wp-content/uploads/2018/07/CtoG-LCA-of-Canadian-Glulam.pdf" TargetMode="External"/><Relationship Id="rId4" Type="http://schemas.openxmlformats.org/officeDocument/2006/relationships/hyperlink" Target="https://www.nordic.ca/data/files/datasheet/file/EPD_Nordic_X-Lam.pdf" TargetMode="External"/><Relationship Id="rId9" Type="http://schemas.openxmlformats.org/officeDocument/2006/relationships/hyperlink" Target="https://corrim.org/wp-content/uploads/Module-G2-SE-Glulam.pdf" TargetMode="External"/><Relationship Id="rId14" Type="http://schemas.openxmlformats.org/officeDocument/2006/relationships/hyperlink" Target="http://gabi-documentation-2021.gabi-software.com/xml-data/processes/09730248-3647-4d05-bac8-29d35de9219e.xm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9.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5F6ED-594B-4F7F-B82A-4A22DBDE8307}">
  <sheetPr>
    <tabColor rgb="FFFF0000"/>
  </sheetPr>
  <dimension ref="A1:XFD38"/>
  <sheetViews>
    <sheetView workbookViewId="0"/>
  </sheetViews>
  <sheetFormatPr defaultColWidth="9" defaultRowHeight="15" x14ac:dyDescent="0.25"/>
  <cols>
    <col min="1" max="1" width="11.7109375" style="15" customWidth="1"/>
    <col min="2" max="2" width="15" style="15" customWidth="1"/>
    <col min="3" max="3" width="34" style="15" customWidth="1"/>
    <col min="4" max="8" width="18" style="15" customWidth="1"/>
    <col min="9" max="9" width="18.140625" style="15" customWidth="1"/>
    <col min="10" max="10" width="16.140625" style="15" customWidth="1"/>
    <col min="11" max="11" width="15" style="15" customWidth="1"/>
    <col min="12" max="12" width="15.28515625" style="15" customWidth="1"/>
    <col min="13" max="13" width="15.85546875" style="15" customWidth="1"/>
    <col min="14" max="14" width="10" style="15" customWidth="1"/>
    <col min="15" max="20" width="9" style="15"/>
    <col min="21" max="21" width="19" style="15" customWidth="1"/>
    <col min="22" max="16384" width="9" style="15"/>
  </cols>
  <sheetData>
    <row r="1" spans="1:44 16384:16384" x14ac:dyDescent="0.25">
      <c r="A1" s="54"/>
      <c r="B1" s="54" t="s">
        <v>0</v>
      </c>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XFD1" s="54"/>
    </row>
    <row r="2" spans="1:44 16384:16384" x14ac:dyDescent="0.25">
      <c r="A2" s="54"/>
      <c r="B2" s="54" t="s">
        <v>1</v>
      </c>
      <c r="C2" s="54" t="s">
        <v>2</v>
      </c>
      <c r="D2" s="54" t="s">
        <v>2</v>
      </c>
      <c r="E2" s="54" t="s">
        <v>2</v>
      </c>
      <c r="F2" s="54" t="s">
        <v>3</v>
      </c>
      <c r="G2" s="54" t="s">
        <v>3</v>
      </c>
      <c r="H2" s="54"/>
      <c r="I2" s="54" t="s">
        <v>2</v>
      </c>
      <c r="J2" s="54" t="s">
        <v>4</v>
      </c>
      <c r="K2" s="54" t="s">
        <v>3</v>
      </c>
      <c r="L2" s="54" t="s">
        <v>3</v>
      </c>
      <c r="M2" s="54" t="s">
        <v>3</v>
      </c>
      <c r="N2" s="54" t="s">
        <v>3</v>
      </c>
      <c r="O2" s="54" t="s">
        <v>3</v>
      </c>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XFD2" s="54" t="s">
        <v>3</v>
      </c>
    </row>
    <row r="3" spans="1:44 16384:16384" x14ac:dyDescent="0.25">
      <c r="A3" s="54"/>
      <c r="B3" s="54" t="s">
        <v>5</v>
      </c>
      <c r="C3" s="54"/>
      <c r="D3" s="54"/>
      <c r="E3" s="54"/>
      <c r="F3" s="54"/>
      <c r="G3" s="54"/>
      <c r="H3" s="54"/>
      <c r="I3" s="54" t="s">
        <v>6</v>
      </c>
      <c r="J3" s="54" t="s">
        <v>7</v>
      </c>
      <c r="K3" s="54" t="s">
        <v>8</v>
      </c>
      <c r="L3" s="54" t="s">
        <v>9</v>
      </c>
      <c r="M3" s="54" t="s">
        <v>10</v>
      </c>
      <c r="N3" s="54" t="s">
        <v>8</v>
      </c>
      <c r="O3" s="54" t="s">
        <v>9</v>
      </c>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XFD3" s="54"/>
    </row>
    <row r="4" spans="1:44 16384:16384" x14ac:dyDescent="0.25">
      <c r="A4" s="54"/>
      <c r="B4" s="54" t="s">
        <v>11</v>
      </c>
      <c r="C4" s="54" t="s">
        <v>12</v>
      </c>
      <c r="D4" s="54"/>
      <c r="E4" s="54"/>
      <c r="F4" s="54"/>
      <c r="G4" s="54"/>
      <c r="H4" s="54"/>
      <c r="I4" s="54" t="s">
        <v>13</v>
      </c>
      <c r="J4" s="54" t="s">
        <v>13</v>
      </c>
      <c r="K4" s="54" t="s">
        <v>14</v>
      </c>
      <c r="L4" s="54" t="s">
        <v>15</v>
      </c>
      <c r="M4" s="54" t="s">
        <v>12</v>
      </c>
      <c r="N4" s="54" t="s">
        <v>12</v>
      </c>
      <c r="O4" s="54" t="s">
        <v>12</v>
      </c>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4" t="s">
        <v>12</v>
      </c>
      <c r="XFD4" s="54"/>
    </row>
    <row r="5" spans="1:44 16384:16384" x14ac:dyDescent="0.25">
      <c r="A5" s="54"/>
      <c r="B5" s="58" t="s">
        <v>16</v>
      </c>
      <c r="C5" s="58" t="s">
        <v>17</v>
      </c>
      <c r="D5" s="58" t="s">
        <v>18</v>
      </c>
      <c r="E5" s="58" t="s">
        <v>19</v>
      </c>
      <c r="F5" s="58" t="s">
        <v>20</v>
      </c>
      <c r="G5" s="58" t="s">
        <v>21</v>
      </c>
      <c r="H5" s="58" t="s">
        <v>22</v>
      </c>
      <c r="I5" s="58" t="s">
        <v>23</v>
      </c>
      <c r="J5" s="58" t="s">
        <v>23</v>
      </c>
      <c r="K5" s="58" t="s">
        <v>23</v>
      </c>
      <c r="L5" s="58" t="s">
        <v>23</v>
      </c>
      <c r="M5" s="58" t="s">
        <v>23</v>
      </c>
      <c r="N5" s="58" t="s">
        <v>23</v>
      </c>
      <c r="O5" s="58" t="s">
        <v>23</v>
      </c>
      <c r="P5" s="54"/>
      <c r="Q5" s="54"/>
      <c r="R5" s="54"/>
      <c r="S5" s="58" t="s">
        <v>24</v>
      </c>
      <c r="T5" s="58" t="s">
        <v>25</v>
      </c>
      <c r="U5" s="58" t="s">
        <v>26</v>
      </c>
      <c r="V5" s="58" t="s">
        <v>27</v>
      </c>
      <c r="W5" s="58" t="s">
        <v>28</v>
      </c>
      <c r="X5" s="58" t="s">
        <v>29</v>
      </c>
      <c r="Y5" s="54"/>
      <c r="Z5" s="54"/>
      <c r="AA5" s="54"/>
      <c r="AB5" s="54"/>
      <c r="AC5" s="54"/>
      <c r="AD5" s="54"/>
      <c r="AE5" s="54"/>
      <c r="AF5" s="54"/>
      <c r="AG5" s="54"/>
      <c r="AH5" s="54"/>
      <c r="AI5" s="54"/>
      <c r="AJ5" s="54"/>
      <c r="AK5" s="54"/>
      <c r="AL5" s="54"/>
      <c r="AM5" s="54"/>
      <c r="AN5" s="54"/>
      <c r="AO5" s="54"/>
      <c r="AP5" s="54"/>
      <c r="AQ5" s="54"/>
      <c r="AR5" s="3" t="s">
        <v>30</v>
      </c>
      <c r="XFD5" s="54"/>
    </row>
    <row r="6" spans="1:44 16384:16384" x14ac:dyDescent="0.25">
      <c r="A6" s="54"/>
      <c r="B6" s="58" t="s">
        <v>31</v>
      </c>
      <c r="C6" s="58" t="s">
        <v>32</v>
      </c>
      <c r="D6" s="58" t="s">
        <v>33</v>
      </c>
      <c r="E6" s="58" t="s">
        <v>33</v>
      </c>
      <c r="F6" s="58" t="s">
        <v>20</v>
      </c>
      <c r="G6" s="58"/>
      <c r="H6" s="58"/>
      <c r="I6" s="2"/>
      <c r="J6" s="2"/>
      <c r="K6" s="2"/>
      <c r="L6" s="54"/>
      <c r="M6" s="2"/>
      <c r="N6" s="2"/>
      <c r="O6" s="54"/>
      <c r="P6" s="54"/>
      <c r="Q6" s="54"/>
      <c r="R6" s="54"/>
      <c r="S6" s="58" t="s">
        <v>34</v>
      </c>
      <c r="T6" s="58" t="s">
        <v>35</v>
      </c>
      <c r="U6" s="58"/>
      <c r="V6" s="58" t="s">
        <v>36</v>
      </c>
      <c r="W6" s="58" t="s">
        <v>37</v>
      </c>
      <c r="X6" s="54"/>
      <c r="Y6" s="54"/>
      <c r="Z6" s="54"/>
      <c r="AA6" s="54"/>
      <c r="AB6" s="54"/>
      <c r="AC6" s="54"/>
      <c r="AD6" s="54"/>
      <c r="AE6" s="54"/>
      <c r="AF6" s="54"/>
      <c r="AG6" s="54"/>
      <c r="AH6" s="54"/>
      <c r="AI6" s="54"/>
      <c r="AJ6" s="54"/>
      <c r="AK6" s="54"/>
      <c r="AL6" s="54"/>
      <c r="AM6" s="54"/>
      <c r="AN6" s="54"/>
      <c r="AO6" s="54"/>
      <c r="AP6" s="54"/>
      <c r="AQ6" s="54"/>
      <c r="AR6" s="4"/>
      <c r="XFD6" s="54"/>
    </row>
    <row r="7" spans="1:44 16384:16384" x14ac:dyDescent="0.25">
      <c r="A7" s="54"/>
      <c r="B7" s="7" t="s">
        <v>38</v>
      </c>
      <c r="C7" s="58"/>
      <c r="D7" s="58"/>
      <c r="E7" s="58"/>
      <c r="F7" s="58"/>
      <c r="G7" s="58"/>
      <c r="H7" s="58"/>
      <c r="I7" s="9">
        <v>1.93</v>
      </c>
      <c r="J7" s="9">
        <v>1.93</v>
      </c>
      <c r="K7" s="9">
        <v>1.93</v>
      </c>
      <c r="L7" s="9">
        <v>1.93</v>
      </c>
      <c r="M7" s="9">
        <v>1.93</v>
      </c>
      <c r="N7" s="9">
        <v>1.93</v>
      </c>
      <c r="O7" s="9">
        <v>1.93</v>
      </c>
      <c r="P7" s="9"/>
      <c r="Q7" s="54"/>
      <c r="R7" s="54"/>
      <c r="S7" s="58"/>
      <c r="T7" s="58"/>
      <c r="U7" s="58"/>
      <c r="V7" s="58"/>
      <c r="W7" s="58"/>
      <c r="X7" s="54"/>
      <c r="Y7" s="54"/>
      <c r="Z7" s="54"/>
      <c r="AA7" s="54"/>
      <c r="AB7" s="54"/>
      <c r="AC7" s="54"/>
      <c r="AD7" s="54"/>
      <c r="AE7" s="54"/>
      <c r="AF7" s="54"/>
      <c r="AG7" s="54"/>
      <c r="AH7" s="54"/>
      <c r="AI7" s="54"/>
      <c r="AJ7" s="54"/>
      <c r="AK7" s="54"/>
      <c r="AL7" s="54"/>
      <c r="AM7" s="54"/>
      <c r="AN7" s="54"/>
      <c r="AO7" s="54"/>
      <c r="AP7" s="54"/>
      <c r="AQ7" s="54"/>
      <c r="AR7" s="6"/>
      <c r="XFD7" s="54"/>
    </row>
    <row r="8" spans="1:44 16384:16384" x14ac:dyDescent="0.25">
      <c r="A8" s="54"/>
      <c r="B8" s="7" t="s">
        <v>39</v>
      </c>
      <c r="C8" s="58"/>
      <c r="D8" s="58"/>
      <c r="E8" s="58"/>
      <c r="F8" s="58"/>
      <c r="G8" s="58"/>
      <c r="H8" s="58"/>
      <c r="I8" s="9">
        <v>355.4051255</v>
      </c>
      <c r="J8" s="9">
        <v>964</v>
      </c>
      <c r="K8" s="54">
        <v>964.28</v>
      </c>
      <c r="L8" s="54">
        <v>281.73</v>
      </c>
      <c r="M8" s="9"/>
      <c r="N8" s="54">
        <f>M9+AR9</f>
        <v>977.38</v>
      </c>
      <c r="O8" s="54">
        <f>977.38-820.6</f>
        <v>156.77999999999997</v>
      </c>
      <c r="P8" s="9"/>
      <c r="Q8" s="54"/>
      <c r="R8" s="54"/>
      <c r="S8" s="58"/>
      <c r="T8" s="58"/>
      <c r="U8" s="58"/>
      <c r="V8" s="58"/>
      <c r="W8" s="58"/>
      <c r="X8" s="54"/>
      <c r="Y8" s="54"/>
      <c r="Z8" s="54"/>
      <c r="AA8" s="54"/>
      <c r="AB8" s="54"/>
      <c r="AC8" s="54"/>
      <c r="AD8" s="54"/>
      <c r="AE8" s="54"/>
      <c r="AF8" s="54"/>
      <c r="AG8" s="54"/>
      <c r="AH8" s="54"/>
      <c r="AI8" s="54"/>
      <c r="AJ8" s="54"/>
      <c r="AK8" s="54"/>
      <c r="AL8" s="54"/>
      <c r="AM8" s="54"/>
      <c r="AN8" s="54"/>
      <c r="AO8" s="54"/>
      <c r="AP8" s="54"/>
      <c r="AQ8" s="54"/>
      <c r="AR8" s="6"/>
      <c r="XFD8" s="54"/>
    </row>
    <row r="9" spans="1:44 16384:16384" ht="30" x14ac:dyDescent="0.25">
      <c r="A9" s="319" t="s">
        <v>0</v>
      </c>
      <c r="B9" s="215" t="s">
        <v>40</v>
      </c>
      <c r="C9" s="49">
        <f>'DO NOT USE Carbon'!C6/0.02831685</f>
        <v>568.39993159171308</v>
      </c>
      <c r="D9" s="49">
        <f>'DO NOT USE Carbon'!D6/0.02831685</f>
        <v>537.80993527329133</v>
      </c>
      <c r="E9" s="49">
        <f>'DO NOT USE Carbon'!E6/0.02831685</f>
        <v>542.90515066006981</v>
      </c>
      <c r="F9" s="49">
        <f>'DO NOT USE Carbon'!F6/0.02831685</f>
        <v>30608.98369698607</v>
      </c>
      <c r="G9" s="49">
        <f>'DO NOT USE Carbon'!G6/0.02831685</f>
        <v>0</v>
      </c>
      <c r="H9" s="49">
        <f>'DO NOT USE Carbon'!H6/0.02831685</f>
        <v>0</v>
      </c>
      <c r="I9" s="49">
        <v>264</v>
      </c>
      <c r="J9" s="49">
        <v>264</v>
      </c>
      <c r="K9" s="54"/>
      <c r="L9" s="54"/>
      <c r="M9" s="54"/>
      <c r="N9" s="54"/>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4">
        <v>977.38</v>
      </c>
      <c r="XFD9" s="54"/>
    </row>
    <row r="10" spans="1:44 16384:16384" ht="45" x14ac:dyDescent="0.25">
      <c r="A10" s="319"/>
      <c r="B10" s="215" t="s">
        <v>41</v>
      </c>
      <c r="C10" s="49">
        <f>'DO NOT USE Carbon'!C7/0.02831685</f>
        <v>0</v>
      </c>
      <c r="D10" s="49">
        <f>'DO NOT USE Carbon'!D7/0.02831685</f>
        <v>0</v>
      </c>
      <c r="E10" s="49">
        <f>'DO NOT USE Carbon'!E7/0.02831685</f>
        <v>0</v>
      </c>
      <c r="F10" s="49">
        <f>'DO NOT USE Carbon'!F7/0.02831685</f>
        <v>0</v>
      </c>
      <c r="G10" s="49">
        <f>'DO NOT USE Carbon'!G7/0.02831685</f>
        <v>0</v>
      </c>
      <c r="H10" s="49">
        <f>'DO NOT USE Carbon'!H7/0.02831685</f>
        <v>0</v>
      </c>
      <c r="I10" s="49">
        <f>'DO NOT USE Carbon'!I7/0.02831685</f>
        <v>0</v>
      </c>
      <c r="J10" s="49">
        <f>'DO NOT USE Carbon'!J7/0.02831685</f>
        <v>0</v>
      </c>
      <c r="K10" s="54"/>
      <c r="L10" s="54"/>
      <c r="M10" s="54"/>
      <c r="N10" s="54"/>
      <c r="O10" s="54"/>
      <c r="P10" s="54"/>
      <c r="Q10" s="54"/>
      <c r="R10" s="54"/>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4"/>
      <c r="XFD10" s="54"/>
    </row>
    <row r="11" spans="1:44 16384:16384" x14ac:dyDescent="0.25">
      <c r="A11" s="319"/>
      <c r="B11" s="215" t="s">
        <v>42</v>
      </c>
      <c r="C11" s="49">
        <f>'DO NOT USE Carbon'!C8/0.02831685</f>
        <v>45.373994539131644</v>
      </c>
      <c r="D11" s="49">
        <f>'DO NOT USE Carbon'!D8/0.02831685</f>
        <v>470.58369336413125</v>
      </c>
      <c r="E11" s="49">
        <f>'DO NOT USE Carbon'!E8/0.02831685</f>
        <v>475.04200682756021</v>
      </c>
      <c r="F11" s="49">
        <f>'DO NOT USE Carbon'!F8/0.02831685</f>
        <v>-1995.984722877015</v>
      </c>
      <c r="G11" s="49">
        <f>'DO NOT USE Carbon'!G8/0.02831685</f>
        <v>0</v>
      </c>
      <c r="H11" s="49">
        <f>'DO NOT USE Carbon'!H8/0.02831685</f>
        <v>0</v>
      </c>
      <c r="I11" s="49">
        <f>'DO NOT USE Carbon'!I8/0.02831685</f>
        <v>49.445616049102206</v>
      </c>
      <c r="J11" s="49">
        <f>'DO NOT USE Carbon'!J8/0.02831685</f>
        <v>-90.774889075025655</v>
      </c>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4"/>
      <c r="XFD11" s="54"/>
    </row>
    <row r="12" spans="1:44 16384:16384" x14ac:dyDescent="0.25">
      <c r="A12" s="319"/>
      <c r="B12" s="215" t="s">
        <v>43</v>
      </c>
      <c r="C12" s="49"/>
      <c r="D12" s="49"/>
      <c r="E12" s="49"/>
      <c r="F12" s="49"/>
      <c r="G12" s="49"/>
      <c r="H12" s="49"/>
      <c r="I12" s="49">
        <v>-964.28</v>
      </c>
      <c r="J12" s="49">
        <v>-964</v>
      </c>
      <c r="K12" s="54">
        <v>-964.28</v>
      </c>
      <c r="L12" s="54">
        <v>-964.28</v>
      </c>
      <c r="M12" s="54"/>
      <c r="N12" s="54">
        <v>-977.38</v>
      </c>
      <c r="O12" s="54">
        <v>-977.38</v>
      </c>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4"/>
      <c r="XFD12" s="54"/>
    </row>
    <row r="13" spans="1:44 16384:16384" ht="30" x14ac:dyDescent="0.25">
      <c r="A13" s="319"/>
      <c r="B13" s="215" t="s">
        <v>44</v>
      </c>
      <c r="C13" s="49">
        <f>'DO NOT USE Carbon'!C13/0.02831685</f>
        <v>12.520870493083375</v>
      </c>
      <c r="D13" s="49">
        <f>'DO NOT USE Carbon'!D13/0.02831685</f>
        <v>12.27013367326016</v>
      </c>
      <c r="E13" s="49">
        <f>'DO NOT USE Carbon'!E13/0.02831685</f>
        <v>12.386381012309526</v>
      </c>
      <c r="F13" s="49">
        <f>'DO NOT USE Carbon'!F13/0.02831685</f>
        <v>1688.7471593768373</v>
      </c>
      <c r="G13" s="49">
        <f>'DO NOT USE Carbon'!G13/0.02831685</f>
        <v>0</v>
      </c>
      <c r="H13" s="49">
        <f>'DO NOT USE Carbon'!H13/0.02831685</f>
        <v>0</v>
      </c>
      <c r="I13" s="49">
        <f>'DO NOT USE Carbon'!I13/0.02831685</f>
        <v>13.644426973860686</v>
      </c>
      <c r="J13" s="49">
        <f>'DO NOT USE Carbon'!J13/0.02831685</f>
        <v>13.569457594883435</v>
      </c>
      <c r="K13" s="49"/>
      <c r="L13" s="49"/>
      <c r="M13" s="49"/>
      <c r="N13" s="49"/>
      <c r="O13" s="49"/>
      <c r="P13" s="49"/>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10">
        <f>'DO NOT USE Carbon'!Q13/0.02831685</f>
        <v>0</v>
      </c>
      <c r="XFD13" s="54"/>
    </row>
    <row r="14" spans="1:44 16384:16384" ht="30" x14ac:dyDescent="0.25">
      <c r="A14" s="319"/>
      <c r="B14" s="215" t="s">
        <v>45</v>
      </c>
      <c r="C14" s="49">
        <f>'DO NOT USE Carbon'!C9/0.02831685</f>
        <v>-705.59991507936797</v>
      </c>
      <c r="D14" s="49">
        <f>'DO NOT USE Carbon'!D9/0.02831685</f>
        <v>-561.81930738370613</v>
      </c>
      <c r="E14" s="49">
        <f>'DO NOT USE Carbon'!E9/0.02831685</f>
        <v>-557.44725290989288</v>
      </c>
      <c r="F14" s="49">
        <f>'DO NOT USE Carbon'!F9/0.02831685</f>
        <v>-24209.260563939839</v>
      </c>
      <c r="G14" s="49">
        <f>'DO NOT USE Carbon'!G9/0.02831685</f>
        <v>4304.5042086248995</v>
      </c>
      <c r="H14" s="49" t="e">
        <f>'DO NOT USE Carbon'!H9/0.02831685</f>
        <v>#VALUE!</v>
      </c>
      <c r="I14" s="49">
        <v>198.10284619999999</v>
      </c>
      <c r="J14" s="49">
        <f>'DO NOT USE Carbon'!J9/0.02831685</f>
        <v>198.10284615785019</v>
      </c>
      <c r="K14" s="49">
        <v>197.87</v>
      </c>
      <c r="L14" s="49">
        <v>197.87</v>
      </c>
      <c r="M14" s="49">
        <v>137.19</v>
      </c>
      <c r="N14" s="54">
        <v>137.19</v>
      </c>
      <c r="O14" s="54">
        <v>137.19</v>
      </c>
      <c r="P14" s="54"/>
      <c r="Q14" s="54"/>
      <c r="R14" s="54"/>
      <c r="S14" s="54"/>
      <c r="T14" s="54"/>
      <c r="U14" s="54"/>
      <c r="V14" s="54"/>
      <c r="W14" s="54"/>
      <c r="X14" s="54">
        <f>SUM(X15:X17)</f>
        <v>123.57</v>
      </c>
      <c r="Y14" s="54"/>
      <c r="Z14" s="54"/>
      <c r="AA14" s="54"/>
      <c r="AB14" s="54"/>
      <c r="AC14" s="54"/>
      <c r="AD14" s="54"/>
      <c r="AE14" s="54"/>
      <c r="AF14" s="54"/>
      <c r="AG14" s="54"/>
      <c r="AH14" s="54"/>
      <c r="AI14" s="54"/>
      <c r="AJ14" s="54"/>
      <c r="AK14" s="54"/>
      <c r="AL14" s="54"/>
      <c r="AM14" s="54"/>
      <c r="AN14" s="54"/>
      <c r="AO14" s="54"/>
      <c r="AP14" s="54"/>
      <c r="AQ14" s="54"/>
      <c r="AR14" s="10"/>
      <c r="XFD14" s="54"/>
    </row>
    <row r="15" spans="1:44 16384:16384" x14ac:dyDescent="0.25">
      <c r="A15" s="319"/>
      <c r="B15" s="215" t="s">
        <v>46</v>
      </c>
      <c r="C15" s="49" t="e">
        <f>'DO NOT USE Carbon'!C10/0.02831685</f>
        <v>#VALUE!</v>
      </c>
      <c r="D15" s="49" t="e">
        <f>'DO NOT USE Carbon'!D10/0.02831685</f>
        <v>#VALUE!</v>
      </c>
      <c r="E15" s="49" t="e">
        <f>'DO NOT USE Carbon'!E10/0.02831685</f>
        <v>#VALUE!</v>
      </c>
      <c r="F15" s="49">
        <f>'DO NOT USE Carbon'!F10/0.02831685</f>
        <v>-25291.654968684721</v>
      </c>
      <c r="G15" s="49">
        <f>'DO NOT USE Carbon'!G10/0.02831685</f>
        <v>1337.719414412267</v>
      </c>
      <c r="H15" s="49" t="e">
        <f>'DO NOT USE Carbon'!H10/0.02831685</f>
        <v>#VALUE!</v>
      </c>
      <c r="I15" s="49">
        <f>'DO NOT USE Carbon'!I10/0.02831685</f>
        <v>0</v>
      </c>
      <c r="J15" s="49">
        <f>'DO NOT USE Carbon'!J10/0.02831685</f>
        <v>0</v>
      </c>
      <c r="K15" s="54">
        <v>11.37</v>
      </c>
      <c r="L15" s="54">
        <v>11.37</v>
      </c>
      <c r="M15" s="54">
        <v>66.260000000000005</v>
      </c>
      <c r="N15" s="54">
        <f>M15+AR15</f>
        <v>-1354.99</v>
      </c>
      <c r="O15" s="54">
        <v>-1354.99</v>
      </c>
      <c r="P15" s="54"/>
      <c r="Q15" s="54"/>
      <c r="R15" s="54"/>
      <c r="S15" s="54"/>
      <c r="T15" s="54"/>
      <c r="U15" s="54"/>
      <c r="V15" s="54"/>
      <c r="W15" s="54"/>
      <c r="X15" s="54">
        <v>61.16</v>
      </c>
      <c r="Y15" s="54"/>
      <c r="Z15" s="54"/>
      <c r="AA15" s="54"/>
      <c r="AB15" s="54"/>
      <c r="AC15" s="54"/>
      <c r="AD15" s="54"/>
      <c r="AE15" s="54"/>
      <c r="AF15" s="54"/>
      <c r="AG15" s="54"/>
      <c r="AH15" s="54"/>
      <c r="AI15" s="54"/>
      <c r="AJ15" s="54"/>
      <c r="AK15" s="54"/>
      <c r="AL15" s="54"/>
      <c r="AM15" s="54"/>
      <c r="AN15" s="54"/>
      <c r="AO15" s="54"/>
      <c r="AP15" s="54"/>
      <c r="AQ15" s="54"/>
      <c r="AR15" s="10">
        <f>-1664.37+243.12</f>
        <v>-1421.25</v>
      </c>
      <c r="XFD15" s="54"/>
    </row>
    <row r="16" spans="1:44 16384:16384" x14ac:dyDescent="0.25">
      <c r="A16" s="319"/>
      <c r="B16" s="215" t="s">
        <v>47</v>
      </c>
      <c r="C16" s="49" t="e">
        <f>'DO NOT USE Carbon'!C11/0.02831685</f>
        <v>#VALUE!</v>
      </c>
      <c r="D16" s="49" t="e">
        <f>'DO NOT USE Carbon'!D11/0.02831685</f>
        <v>#VALUE!</v>
      </c>
      <c r="E16" s="49" t="e">
        <f>'DO NOT USE Carbon'!E11/0.02831685</f>
        <v>#VALUE!</v>
      </c>
      <c r="F16" s="49">
        <f>'DO NOT USE Carbon'!F11/0.02831685</f>
        <v>969.3874848367667</v>
      </c>
      <c r="G16" s="49">
        <f>'DO NOT USE Carbon'!G11/0.02831685</f>
        <v>1835.3030086326692</v>
      </c>
      <c r="H16" s="49" t="e">
        <f>'DO NOT USE Carbon'!H11/0.02831685</f>
        <v>#VALUE!</v>
      </c>
      <c r="I16" s="49">
        <f>'DO NOT USE Carbon'!I11/0.02831685</f>
        <v>0</v>
      </c>
      <c r="J16" s="49">
        <f>'DO NOT USE Carbon'!J11/0.02831685</f>
        <v>0</v>
      </c>
      <c r="K16" s="54"/>
      <c r="L16" s="54"/>
      <c r="M16" s="54">
        <v>23.79</v>
      </c>
      <c r="N16" s="54">
        <f>M16+AR16</f>
        <v>23.79</v>
      </c>
      <c r="O16" s="54">
        <v>23.79</v>
      </c>
      <c r="P16" s="54"/>
      <c r="Q16" s="54"/>
      <c r="R16" s="54"/>
      <c r="S16" s="54"/>
      <c r="T16" s="54"/>
      <c r="U16" s="54"/>
      <c r="V16" s="54"/>
      <c r="W16" s="54"/>
      <c r="X16" s="54">
        <v>40.799999999999997</v>
      </c>
      <c r="Y16" s="54"/>
      <c r="Z16" s="54"/>
      <c r="AA16" s="54"/>
      <c r="AB16" s="54"/>
      <c r="AC16" s="54"/>
      <c r="AD16" s="54"/>
      <c r="AE16" s="54"/>
      <c r="AF16" s="54"/>
      <c r="AG16" s="54"/>
      <c r="AH16" s="54"/>
      <c r="AI16" s="54"/>
      <c r="AJ16" s="54"/>
      <c r="AK16" s="54"/>
      <c r="AL16" s="54"/>
      <c r="AM16" s="54"/>
      <c r="AN16" s="54"/>
      <c r="AO16" s="54"/>
      <c r="AP16" s="54"/>
      <c r="AQ16" s="54"/>
      <c r="AR16" s="4">
        <v>0</v>
      </c>
      <c r="XFD16" s="54"/>
    </row>
    <row r="17" spans="1:44" x14ac:dyDescent="0.25">
      <c r="A17" s="319"/>
      <c r="B17" s="215" t="s">
        <v>48</v>
      </c>
      <c r="C17" s="49" t="e">
        <f>'DO NOT USE Carbon'!C12/0.02831685</f>
        <v>#VALUE!</v>
      </c>
      <c r="D17" s="49" t="e">
        <f>'DO NOT USE Carbon'!D12/0.02831685</f>
        <v>#VALUE!</v>
      </c>
      <c r="E17" s="49" t="e">
        <f>'DO NOT USE Carbon'!E12/0.02831685</f>
        <v>#VALUE!</v>
      </c>
      <c r="F17" s="49">
        <f>'DO NOT USE Carbon'!F12/0.02831685</f>
        <v>113.00691990811126</v>
      </c>
      <c r="G17" s="49">
        <f>'DO NOT USE Carbon'!G12/0.02831685</f>
        <v>1131.4817855799638</v>
      </c>
      <c r="H17" s="49" t="e">
        <f>'DO NOT USE Carbon'!H12/0.02831685</f>
        <v>#VALUE!</v>
      </c>
      <c r="I17" s="49">
        <f>'DO NOT USE Carbon'!I12/0.02831685</f>
        <v>0</v>
      </c>
      <c r="J17" s="49">
        <f>'DO NOT USE Carbon'!J12/0.02831685</f>
        <v>0</v>
      </c>
      <c r="K17" s="54">
        <v>186.59</v>
      </c>
      <c r="L17" s="54">
        <v>186.59</v>
      </c>
      <c r="M17" s="54">
        <v>47.15</v>
      </c>
      <c r="N17" s="54">
        <f>M17+AR17</f>
        <v>491.02</v>
      </c>
      <c r="O17" s="54">
        <v>491.02</v>
      </c>
      <c r="P17" s="54"/>
      <c r="Q17" s="54"/>
      <c r="R17" s="54"/>
      <c r="S17" s="54"/>
      <c r="T17" s="54"/>
      <c r="U17" s="54"/>
      <c r="V17" s="54"/>
      <c r="W17" s="54"/>
      <c r="X17" s="54">
        <v>21.61</v>
      </c>
      <c r="Y17" s="54"/>
      <c r="Z17" s="54"/>
      <c r="AA17" s="54"/>
      <c r="AB17" s="54"/>
      <c r="AC17" s="54"/>
      <c r="AD17" s="54"/>
      <c r="AE17" s="54"/>
      <c r="AF17" s="54"/>
      <c r="AG17" s="54"/>
      <c r="AH17" s="54"/>
      <c r="AI17" s="54"/>
      <c r="AJ17" s="54"/>
      <c r="AK17" s="54"/>
      <c r="AL17" s="54"/>
      <c r="AM17" s="54"/>
      <c r="AN17" s="54"/>
      <c r="AO17" s="54"/>
      <c r="AP17" s="54"/>
      <c r="AQ17" s="54"/>
      <c r="AR17" s="4">
        <f>405.65-0.01+38.23</f>
        <v>443.87</v>
      </c>
    </row>
    <row r="18" spans="1:44" x14ac:dyDescent="0.25">
      <c r="A18" s="319"/>
      <c r="B18" s="215"/>
      <c r="C18" s="49"/>
      <c r="D18" s="49"/>
      <c r="E18" s="49"/>
      <c r="F18" s="49"/>
      <c r="G18" s="49"/>
      <c r="H18" s="49"/>
      <c r="I18" s="49"/>
      <c r="J18" s="49"/>
      <c r="K18" s="54"/>
      <c r="L18" s="54"/>
      <c r="M18" s="54"/>
      <c r="N18" s="54"/>
      <c r="O18" s="54"/>
      <c r="P18" s="54"/>
      <c r="Q18" s="54"/>
      <c r="R18" s="54"/>
      <c r="S18" s="54"/>
      <c r="T18" s="54"/>
      <c r="U18" s="54"/>
      <c r="V18" s="54"/>
      <c r="W18" s="54"/>
      <c r="X18" s="54"/>
      <c r="Y18" s="54"/>
      <c r="Z18" s="54"/>
      <c r="AA18" s="54"/>
      <c r="AB18" s="54"/>
      <c r="AC18" s="54"/>
      <c r="AD18" s="54"/>
      <c r="AE18" s="54"/>
      <c r="AF18" s="54"/>
      <c r="AG18" s="54"/>
      <c r="AH18" s="54"/>
      <c r="AI18" s="54"/>
      <c r="AJ18" s="54"/>
      <c r="AK18" s="54"/>
      <c r="AL18" s="54"/>
      <c r="AM18" s="54"/>
      <c r="AN18" s="54"/>
      <c r="AO18" s="54"/>
      <c r="AP18" s="54"/>
      <c r="AQ18" s="54"/>
      <c r="AR18" s="4"/>
    </row>
    <row r="19" spans="1:44" ht="45" x14ac:dyDescent="0.25">
      <c r="A19" s="319"/>
      <c r="B19" s="215" t="s">
        <v>49</v>
      </c>
      <c r="C19" s="49">
        <f>'DO NOT USE Carbon'!C14/0.02831685</f>
        <v>0</v>
      </c>
      <c r="D19" s="49">
        <f>'DO NOT USE Carbon'!D14/0.02831685</f>
        <v>0</v>
      </c>
      <c r="E19" s="49">
        <f>'DO NOT USE Carbon'!E14/0.02831685</f>
        <v>0</v>
      </c>
      <c r="F19" s="49">
        <f>'DO NOT USE Carbon'!F14/0.02831685</f>
        <v>0</v>
      </c>
      <c r="G19" s="49">
        <f>'DO NOT USE Carbon'!G14/0.02831685</f>
        <v>0</v>
      </c>
      <c r="H19" s="49">
        <f>'DO NOT USE Carbon'!H14/0.02831685</f>
        <v>0</v>
      </c>
      <c r="I19" s="54">
        <v>964.28</v>
      </c>
      <c r="J19" s="54">
        <v>964.28</v>
      </c>
      <c r="K19" s="54">
        <v>964.28</v>
      </c>
      <c r="L19" s="54">
        <v>964.28</v>
      </c>
      <c r="M19" s="54">
        <v>977.38</v>
      </c>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4"/>
    </row>
    <row r="20" spans="1:44" ht="30" x14ac:dyDescent="0.25">
      <c r="A20" s="319"/>
      <c r="B20" s="215" t="s">
        <v>50</v>
      </c>
      <c r="C20" s="49">
        <f>'DO NOT USE Carbon'!C15/0.02831685</f>
        <v>0</v>
      </c>
      <c r="D20" s="49">
        <f>'DO NOT USE Carbon'!D15/0.02831685</f>
        <v>0</v>
      </c>
      <c r="E20" s="49">
        <f>'DO NOT USE Carbon'!E15/0.02831685</f>
        <v>0</v>
      </c>
      <c r="F20" s="49">
        <f>'DO NOT USE Carbon'!F15/0.02831685</f>
        <v>0</v>
      </c>
      <c r="G20" s="49">
        <f>'DO NOT USE Carbon'!G15/0.02831685</f>
        <v>0</v>
      </c>
      <c r="H20" s="49">
        <f>'DO NOT USE Carbon'!H15/0.02831685</f>
        <v>0</v>
      </c>
      <c r="I20" s="49"/>
      <c r="J20" s="49"/>
      <c r="K20" s="54">
        <v>682.55</v>
      </c>
      <c r="L20" s="54">
        <v>682.55</v>
      </c>
      <c r="M20" s="54">
        <v>820.6</v>
      </c>
      <c r="N20" s="54"/>
      <c r="O20" s="54"/>
      <c r="P20" s="54"/>
      <c r="Q20" s="54"/>
      <c r="R20" s="54"/>
      <c r="S20" s="54"/>
      <c r="T20" s="54"/>
      <c r="U20" s="54"/>
      <c r="V20" s="54"/>
      <c r="W20" s="54"/>
      <c r="X20" s="54"/>
      <c r="Y20" s="54"/>
      <c r="Z20" s="54"/>
      <c r="AA20" s="54"/>
      <c r="AB20" s="54"/>
      <c r="AC20" s="54"/>
      <c r="AD20" s="54"/>
      <c r="AE20" s="54"/>
      <c r="AF20" s="54"/>
      <c r="AG20" s="54"/>
      <c r="AH20" s="54"/>
      <c r="AI20" s="54"/>
      <c r="AJ20" s="54"/>
      <c r="AK20" s="54"/>
      <c r="AL20" s="54"/>
      <c r="AM20" s="54"/>
      <c r="AN20" s="54"/>
      <c r="AO20" s="54"/>
      <c r="AP20" s="54"/>
      <c r="AQ20" s="54"/>
      <c r="AR20" s="4"/>
    </row>
    <row r="21" spans="1:44" x14ac:dyDescent="0.25">
      <c r="A21" s="198"/>
      <c r="B21" s="215"/>
      <c r="C21" s="49"/>
      <c r="D21" s="49"/>
      <c r="E21" s="49"/>
      <c r="F21" s="49"/>
      <c r="G21" s="49"/>
      <c r="H21" s="49"/>
      <c r="I21" s="49"/>
      <c r="J21" s="49"/>
      <c r="K21" s="49"/>
      <c r="L21" s="49"/>
      <c r="M21" s="49"/>
      <c r="N21" s="49"/>
      <c r="O21" s="49"/>
      <c r="P21" s="49"/>
      <c r="Q21" s="54"/>
      <c r="R21" s="54"/>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49"/>
    </row>
    <row r="22" spans="1:44" x14ac:dyDescent="0.25">
      <c r="A22" s="319" t="s">
        <v>51</v>
      </c>
      <c r="B22" s="215"/>
      <c r="C22" s="54"/>
      <c r="D22" s="54"/>
      <c r="E22" s="54"/>
      <c r="F22" s="54"/>
      <c r="G22" s="54"/>
      <c r="H22" s="54"/>
      <c r="I22" s="54"/>
      <c r="J22" s="54"/>
      <c r="K22" s="54"/>
      <c r="L22" s="54"/>
      <c r="M22" s="54"/>
      <c r="N22" s="54"/>
      <c r="O22" s="54"/>
      <c r="P22" s="54"/>
      <c r="Q22" s="54"/>
      <c r="R22" s="54"/>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row>
    <row r="23" spans="1:44" x14ac:dyDescent="0.25">
      <c r="A23" s="319"/>
      <c r="B23" s="54"/>
      <c r="C23" s="54"/>
      <c r="D23" s="54"/>
      <c r="E23" s="54"/>
      <c r="F23" s="54"/>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row>
    <row r="24" spans="1:44" x14ac:dyDescent="0.25">
      <c r="A24" s="319"/>
      <c r="B24" s="54"/>
      <c r="C24" s="54"/>
      <c r="D24" s="54"/>
      <c r="E24" s="54"/>
      <c r="F24" s="54"/>
      <c r="G24" s="54"/>
      <c r="H24" s="54"/>
      <c r="I24" s="54"/>
      <c r="J24" s="54"/>
      <c r="K24" s="54"/>
      <c r="L24" s="54"/>
      <c r="M24" s="54"/>
      <c r="N24" s="54"/>
      <c r="O24" s="54"/>
      <c r="P24" s="54"/>
      <c r="Q24" s="54"/>
      <c r="R24" s="57"/>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row>
    <row r="25" spans="1:44" x14ac:dyDescent="0.25">
      <c r="A25" s="319"/>
      <c r="B25" s="54"/>
      <c r="C25" s="54"/>
      <c r="D25" s="54"/>
      <c r="E25" s="54"/>
      <c r="F25" s="54"/>
      <c r="G25" s="54"/>
      <c r="H25" s="54"/>
      <c r="I25" s="54"/>
      <c r="J25" s="54"/>
      <c r="K25" s="54"/>
      <c r="L25" s="54"/>
      <c r="M25" s="54"/>
      <c r="N25" s="54"/>
      <c r="O25" s="54"/>
      <c r="P25" s="54"/>
      <c r="Q25" s="54"/>
      <c r="R25" s="57"/>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row>
    <row r="26" spans="1:44" x14ac:dyDescent="0.25">
      <c r="A26" s="319"/>
      <c r="B26" s="54"/>
      <c r="C26" s="54"/>
      <c r="D26" s="54"/>
      <c r="E26" s="54"/>
      <c r="F26" s="54"/>
      <c r="G26" s="54"/>
      <c r="H26" s="54"/>
      <c r="I26" s="54"/>
      <c r="J26" s="54"/>
      <c r="K26" s="54"/>
      <c r="L26" s="54"/>
      <c r="M26" s="54"/>
      <c r="N26" s="54"/>
      <c r="O26" s="54"/>
      <c r="P26" s="54"/>
      <c r="Q26" s="54"/>
      <c r="R26" s="57"/>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row>
    <row r="27" spans="1:44" x14ac:dyDescent="0.25">
      <c r="A27" s="319"/>
      <c r="B27" s="54"/>
      <c r="C27" s="54"/>
      <c r="D27" s="54"/>
      <c r="E27" s="54"/>
      <c r="F27" s="54"/>
      <c r="G27" s="54"/>
      <c r="H27" s="54"/>
      <c r="I27" s="54"/>
      <c r="J27" s="54"/>
      <c r="K27" s="54"/>
      <c r="L27" s="54"/>
      <c r="M27" s="54"/>
      <c r="N27" s="54"/>
      <c r="O27" s="54"/>
      <c r="P27" s="54"/>
      <c r="Q27" s="54"/>
      <c r="R27" s="57"/>
      <c r="S27" s="54"/>
      <c r="T27" s="54"/>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row>
    <row r="28" spans="1:44" x14ac:dyDescent="0.25">
      <c r="A28" s="319" t="s">
        <v>51</v>
      </c>
      <c r="B28" s="54"/>
      <c r="C28" s="54"/>
      <c r="D28" s="54"/>
      <c r="E28" s="54"/>
      <c r="F28" s="54"/>
      <c r="G28" s="54"/>
      <c r="H28" s="54"/>
      <c r="I28" s="54"/>
      <c r="J28" s="54"/>
      <c r="K28" s="54"/>
      <c r="L28" s="54"/>
      <c r="M28" s="54"/>
      <c r="N28" s="54"/>
      <c r="O28" s="54"/>
      <c r="P28" s="54"/>
      <c r="Q28" s="54"/>
      <c r="R28" s="57"/>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row>
    <row r="29" spans="1:44" x14ac:dyDescent="0.25">
      <c r="A29" s="319"/>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row>
    <row r="30" spans="1:44" x14ac:dyDescent="0.25">
      <c r="A30" s="319"/>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row>
    <row r="31" spans="1:44" x14ac:dyDescent="0.25">
      <c r="A31" s="319"/>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row>
    <row r="32" spans="1:44" x14ac:dyDescent="0.25">
      <c r="A32" s="319"/>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row>
    <row r="33" spans="1:1" x14ac:dyDescent="0.25">
      <c r="A33" s="319"/>
    </row>
    <row r="38" spans="1:1" x14ac:dyDescent="0.25">
      <c r="A38" s="54" t="s">
        <v>52</v>
      </c>
    </row>
  </sheetData>
  <mergeCells count="3">
    <mergeCell ref="A9:A20"/>
    <mergeCell ref="A22:A27"/>
    <mergeCell ref="A28:A33"/>
  </mergeCells>
  <conditionalFormatting sqref="R24:R28">
    <cfRule type="dataBar" priority="1">
      <dataBar>
        <cfvo type="min"/>
        <cfvo type="max"/>
        <color rgb="FF638EC6"/>
      </dataBar>
      <extLst>
        <ext xmlns:x14="http://schemas.microsoft.com/office/spreadsheetml/2009/9/main" uri="{B025F937-C7B1-47D3-B67F-A62EFF666E3E}">
          <x14:id>{FF2396EB-74DF-4F9E-874A-BF12694B00DE}</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FF2396EB-74DF-4F9E-874A-BF12694B00DE}">
            <x14:dataBar minLength="0" maxLength="100">
              <x14:cfvo type="min"/>
              <x14:cfvo type="max"/>
              <x14:negativeFillColor rgb="FFFF0000"/>
              <x14:axisColor rgb="FF000000"/>
            </x14:dataBar>
          </x14:cfRule>
          <xm:sqref>R24:R28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D6674-0CC4-410E-BBE0-8CCFE78155AE}">
  <sheetPr>
    <tabColor rgb="FFFF0000"/>
  </sheetPr>
  <dimension ref="A1:XFD32"/>
  <sheetViews>
    <sheetView workbookViewId="0"/>
  </sheetViews>
  <sheetFormatPr defaultRowHeight="15" x14ac:dyDescent="0.25"/>
  <cols>
    <col min="1" max="1" width="11.7109375" customWidth="1"/>
    <col min="2" max="2" width="15" customWidth="1"/>
    <col min="3" max="3" width="17" customWidth="1"/>
    <col min="4" max="8" width="18" customWidth="1"/>
    <col min="9" max="9" width="29.85546875" customWidth="1"/>
    <col min="10" max="10" width="16.140625" style="15" customWidth="1"/>
    <col min="11" max="11" width="15" style="15" customWidth="1"/>
    <col min="12" max="12" width="17.42578125" style="15" customWidth="1"/>
    <col min="13" max="13" width="15.85546875" customWidth="1"/>
    <col min="21" max="21" width="19" customWidth="1"/>
  </cols>
  <sheetData>
    <row r="1" spans="1:23 16384:16384" x14ac:dyDescent="0.25">
      <c r="A1" s="54"/>
      <c r="B1" s="54" t="s">
        <v>0</v>
      </c>
      <c r="C1" s="54"/>
      <c r="D1" s="54"/>
      <c r="E1" s="54"/>
      <c r="F1" s="54"/>
      <c r="G1" s="54"/>
      <c r="H1" s="54"/>
      <c r="I1" s="54"/>
      <c r="J1" s="54"/>
      <c r="K1" s="54"/>
      <c r="L1" s="54"/>
      <c r="M1" s="54"/>
      <c r="N1" s="54"/>
      <c r="O1" s="54"/>
      <c r="P1" s="54"/>
      <c r="Q1" s="54"/>
      <c r="R1" s="54"/>
      <c r="S1" s="54"/>
      <c r="T1" s="54"/>
      <c r="U1" s="54"/>
      <c r="V1" s="54"/>
      <c r="W1" s="54"/>
      <c r="XFD1" s="54"/>
    </row>
    <row r="2" spans="1:23 16384:16384" x14ac:dyDescent="0.25">
      <c r="A2" s="54"/>
      <c r="B2" s="54" t="s">
        <v>1</v>
      </c>
      <c r="C2" s="54" t="s">
        <v>2</v>
      </c>
      <c r="D2" s="54" t="s">
        <v>2</v>
      </c>
      <c r="E2" s="54" t="s">
        <v>2</v>
      </c>
      <c r="F2" s="54" t="s">
        <v>3</v>
      </c>
      <c r="G2" s="54" t="s">
        <v>3</v>
      </c>
      <c r="H2" s="54"/>
      <c r="I2" s="54" t="s">
        <v>2</v>
      </c>
      <c r="J2" s="54" t="s">
        <v>4</v>
      </c>
      <c r="K2" s="54" t="s">
        <v>3</v>
      </c>
      <c r="L2" s="54" t="s">
        <v>3</v>
      </c>
      <c r="M2" s="54" t="s">
        <v>3</v>
      </c>
      <c r="N2" s="54" t="s">
        <v>3</v>
      </c>
      <c r="O2" s="54"/>
      <c r="P2" s="54"/>
      <c r="Q2" s="54"/>
      <c r="R2" s="54"/>
      <c r="S2" s="54"/>
      <c r="T2" s="54"/>
      <c r="U2" s="54"/>
      <c r="V2" s="54"/>
      <c r="W2" s="54"/>
      <c r="XFD2" s="54" t="s">
        <v>3</v>
      </c>
    </row>
    <row r="3" spans="1:23 16384:16384" x14ac:dyDescent="0.25">
      <c r="A3" s="54"/>
      <c r="B3" s="54" t="s">
        <v>11</v>
      </c>
      <c r="C3" s="54" t="s">
        <v>12</v>
      </c>
      <c r="D3" s="54"/>
      <c r="E3" s="54"/>
      <c r="F3" s="54"/>
      <c r="G3" s="54"/>
      <c r="H3" s="54"/>
      <c r="I3" s="54" t="s">
        <v>13</v>
      </c>
      <c r="J3" s="54" t="s">
        <v>13</v>
      </c>
      <c r="K3" s="54" t="s">
        <v>14</v>
      </c>
      <c r="L3" s="54" t="s">
        <v>12</v>
      </c>
      <c r="M3" s="54" t="s">
        <v>12</v>
      </c>
      <c r="N3" s="54" t="s">
        <v>12</v>
      </c>
      <c r="O3" s="54"/>
      <c r="P3" s="54" t="s">
        <v>12</v>
      </c>
      <c r="Q3" s="54"/>
      <c r="R3" s="54"/>
      <c r="S3" s="54"/>
      <c r="T3" s="54"/>
      <c r="U3" s="54"/>
      <c r="V3" s="54"/>
      <c r="W3" s="54"/>
      <c r="XFD3" s="54"/>
    </row>
    <row r="4" spans="1:23 16384:16384" x14ac:dyDescent="0.25">
      <c r="A4" s="54"/>
      <c r="B4" s="58" t="s">
        <v>16</v>
      </c>
      <c r="C4" s="58" t="s">
        <v>17</v>
      </c>
      <c r="D4" s="58" t="s">
        <v>18</v>
      </c>
      <c r="E4" s="58" t="s">
        <v>19</v>
      </c>
      <c r="F4" s="58" t="s">
        <v>20</v>
      </c>
      <c r="G4" s="58" t="s">
        <v>21</v>
      </c>
      <c r="H4" s="58" t="s">
        <v>22</v>
      </c>
      <c r="I4" s="58" t="s">
        <v>53</v>
      </c>
      <c r="J4" s="58" t="s">
        <v>53</v>
      </c>
      <c r="K4" s="58" t="s">
        <v>23</v>
      </c>
      <c r="L4" s="58" t="s">
        <v>23</v>
      </c>
      <c r="M4" s="58" t="s">
        <v>54</v>
      </c>
      <c r="N4" s="58" t="s">
        <v>55</v>
      </c>
      <c r="O4" s="54"/>
      <c r="P4" s="58" t="s">
        <v>30</v>
      </c>
      <c r="Q4" s="54"/>
      <c r="R4" s="58" t="s">
        <v>24</v>
      </c>
      <c r="S4" s="58" t="s">
        <v>25</v>
      </c>
      <c r="T4" s="58" t="s">
        <v>26</v>
      </c>
      <c r="U4" s="58" t="s">
        <v>27</v>
      </c>
      <c r="V4" s="58" t="s">
        <v>28</v>
      </c>
      <c r="W4" s="58" t="s">
        <v>29</v>
      </c>
      <c r="XFD4" s="54"/>
    </row>
    <row r="5" spans="1:23 16384:16384" ht="105" x14ac:dyDescent="0.25">
      <c r="A5" s="54"/>
      <c r="B5" s="58" t="s">
        <v>31</v>
      </c>
      <c r="C5" s="58" t="s">
        <v>32</v>
      </c>
      <c r="D5" s="58" t="s">
        <v>33</v>
      </c>
      <c r="E5" s="58" t="s">
        <v>33</v>
      </c>
      <c r="F5" s="58" t="s">
        <v>20</v>
      </c>
      <c r="G5" s="58"/>
      <c r="H5" s="58"/>
      <c r="I5" s="2" t="s">
        <v>56</v>
      </c>
      <c r="J5" s="2"/>
      <c r="K5" s="2"/>
      <c r="L5" s="2"/>
      <c r="M5" s="2"/>
      <c r="N5" s="54"/>
      <c r="O5" s="54"/>
      <c r="P5" s="54"/>
      <c r="Q5" s="54"/>
      <c r="R5" s="58" t="s">
        <v>34</v>
      </c>
      <c r="S5" s="58" t="s">
        <v>35</v>
      </c>
      <c r="T5" s="58"/>
      <c r="U5" s="58" t="s">
        <v>36</v>
      </c>
      <c r="V5" s="58" t="s">
        <v>37</v>
      </c>
      <c r="W5" s="54"/>
      <c r="XFD5" s="54"/>
    </row>
    <row r="6" spans="1:23 16384:16384" x14ac:dyDescent="0.25">
      <c r="A6" s="319" t="s">
        <v>0</v>
      </c>
      <c r="B6" s="215" t="s">
        <v>57</v>
      </c>
      <c r="C6" s="49">
        <v>16.095295602892801</v>
      </c>
      <c r="D6" s="49">
        <v>15.229083265643499</v>
      </c>
      <c r="E6" s="49">
        <v>15.373363715468599</v>
      </c>
      <c r="F6" s="49">
        <f>4.99+2.38+859.38+0</f>
        <v>866.75</v>
      </c>
      <c r="G6" s="49"/>
      <c r="H6" s="49"/>
      <c r="I6" s="49">
        <v>17.539602026687099</v>
      </c>
      <c r="J6" s="54">
        <v>7.4996919010661998</v>
      </c>
      <c r="K6" s="54"/>
      <c r="L6" s="54"/>
      <c r="M6" s="54">
        <f>L6+P6</f>
        <v>977.38</v>
      </c>
      <c r="N6" s="54">
        <f>977.38-820.6</f>
        <v>156.77999999999997</v>
      </c>
      <c r="O6" s="54"/>
      <c r="P6" s="54">
        <v>977.38</v>
      </c>
      <c r="Q6" s="54"/>
      <c r="R6" s="54"/>
      <c r="S6" s="54"/>
      <c r="T6" s="54"/>
      <c r="U6" s="54"/>
      <c r="V6" s="54"/>
      <c r="W6" s="54"/>
      <c r="XFD6" s="54"/>
    </row>
    <row r="7" spans="1:23 16384:16384" ht="45" x14ac:dyDescent="0.25">
      <c r="A7" s="319"/>
      <c r="B7" s="215" t="s">
        <v>41</v>
      </c>
      <c r="C7" s="49">
        <v>0</v>
      </c>
      <c r="D7" s="49">
        <v>0</v>
      </c>
      <c r="E7" s="49">
        <v>0</v>
      </c>
      <c r="F7" s="49">
        <v>0</v>
      </c>
      <c r="G7" s="49"/>
      <c r="H7" s="49"/>
      <c r="I7" s="49">
        <v>0</v>
      </c>
      <c r="J7" s="54">
        <v>0</v>
      </c>
      <c r="K7" s="54"/>
      <c r="L7" s="54"/>
      <c r="M7" s="54"/>
      <c r="N7" s="54"/>
      <c r="O7" s="54"/>
      <c r="P7" s="54"/>
      <c r="Q7" s="54"/>
      <c r="R7" s="54"/>
      <c r="S7" s="54"/>
      <c r="T7" s="54"/>
      <c r="U7" s="54"/>
      <c r="V7" s="54"/>
      <c r="W7" s="54"/>
      <c r="XFD7" s="54"/>
    </row>
    <row r="8" spans="1:23 16384:16384" x14ac:dyDescent="0.25">
      <c r="A8" s="319"/>
      <c r="B8" s="215" t="s">
        <v>58</v>
      </c>
      <c r="C8" s="49">
        <v>1.28484859726541</v>
      </c>
      <c r="D8" s="49">
        <v>13.3254478574381</v>
      </c>
      <c r="E8" s="49">
        <v>13.451693251035</v>
      </c>
      <c r="F8" s="49">
        <v>-56.52</v>
      </c>
      <c r="G8" s="49"/>
      <c r="H8" s="49"/>
      <c r="I8" s="49">
        <v>1.4001440928200199</v>
      </c>
      <c r="J8" s="54">
        <v>-2.5704589177041401</v>
      </c>
      <c r="K8" s="54"/>
      <c r="L8" s="54"/>
      <c r="M8" s="54"/>
      <c r="N8" s="54"/>
      <c r="O8" s="54"/>
      <c r="P8" s="54"/>
      <c r="Q8" s="54"/>
      <c r="R8" s="54"/>
      <c r="S8" s="54"/>
      <c r="T8" s="54"/>
      <c r="U8" s="54"/>
      <c r="V8" s="54"/>
      <c r="W8" s="54"/>
      <c r="XFD8" s="54"/>
    </row>
    <row r="9" spans="1:23 16384:16384" x14ac:dyDescent="0.25">
      <c r="A9" s="319"/>
      <c r="B9" s="215" t="s">
        <v>59</v>
      </c>
      <c r="C9" s="49">
        <v>-19.980366955315201</v>
      </c>
      <c r="D9" s="49">
        <v>-15.9089530542883</v>
      </c>
      <c r="E9" s="49">
        <v>-15.7851502435615</v>
      </c>
      <c r="F9" s="49">
        <f>F10+F11+F12</f>
        <v>-685.52999999999986</v>
      </c>
      <c r="G9" s="49">
        <v>121.89</v>
      </c>
      <c r="H9" s="1" t="s">
        <v>60</v>
      </c>
      <c r="I9" s="49">
        <v>-21.7732990676115</v>
      </c>
      <c r="J9" s="54">
        <v>5.6096485792249204</v>
      </c>
      <c r="K9" s="49">
        <v>197.87</v>
      </c>
      <c r="L9" s="49">
        <v>137.19</v>
      </c>
      <c r="M9" s="54">
        <f>L9+P9</f>
        <v>-1284.06</v>
      </c>
      <c r="N9" s="54">
        <v>-1284.06</v>
      </c>
      <c r="O9" s="54"/>
      <c r="P9" s="49">
        <f>-1664.37+243.12</f>
        <v>-1421.25</v>
      </c>
      <c r="Q9" s="54"/>
      <c r="R9" s="54"/>
      <c r="S9" s="54"/>
      <c r="T9" s="54"/>
      <c r="U9" s="54"/>
      <c r="V9" s="54"/>
      <c r="W9" s="54">
        <f>SUM(W10:W12)</f>
        <v>123.57</v>
      </c>
      <c r="XFD9" s="54"/>
    </row>
    <row r="10" spans="1:23 16384:16384" x14ac:dyDescent="0.25">
      <c r="A10" s="319"/>
      <c r="B10" s="215" t="s">
        <v>46</v>
      </c>
      <c r="C10" s="49" t="s">
        <v>61</v>
      </c>
      <c r="D10" s="49" t="s">
        <v>61</v>
      </c>
      <c r="E10" s="49" t="s">
        <v>61</v>
      </c>
      <c r="F10" s="49">
        <v>-716.18</v>
      </c>
      <c r="G10" s="49">
        <v>37.880000000000003</v>
      </c>
      <c r="H10" s="1" t="s">
        <v>62</v>
      </c>
      <c r="I10" s="54"/>
      <c r="J10" s="54"/>
      <c r="K10" s="54">
        <v>11.37</v>
      </c>
      <c r="L10" s="54">
        <v>66.260000000000005</v>
      </c>
      <c r="M10" s="54">
        <f>L10+P10</f>
        <v>66.260000000000005</v>
      </c>
      <c r="N10" s="54">
        <v>66.260000000000005</v>
      </c>
      <c r="O10" s="54"/>
      <c r="P10" s="54">
        <v>0</v>
      </c>
      <c r="Q10" s="54"/>
      <c r="R10" s="54"/>
      <c r="S10" s="54"/>
      <c r="T10" s="54"/>
      <c r="U10" s="54"/>
      <c r="V10" s="54"/>
      <c r="W10" s="54">
        <v>61.16</v>
      </c>
      <c r="XFD10" s="54"/>
    </row>
    <row r="11" spans="1:23 16384:16384" x14ac:dyDescent="0.25">
      <c r="A11" s="319"/>
      <c r="B11" s="215" t="s">
        <v>47</v>
      </c>
      <c r="C11" s="49" t="s">
        <v>61</v>
      </c>
      <c r="D11" s="49" t="s">
        <v>61</v>
      </c>
      <c r="E11" s="49" t="s">
        <v>61</v>
      </c>
      <c r="F11" s="49">
        <v>27.45</v>
      </c>
      <c r="G11" s="49">
        <v>51.97</v>
      </c>
      <c r="H11" s="1" t="s">
        <v>63</v>
      </c>
      <c r="I11" s="54"/>
      <c r="J11" s="54"/>
      <c r="K11" s="54"/>
      <c r="L11" s="54">
        <v>23.79</v>
      </c>
      <c r="M11" s="54">
        <f>L11+P11</f>
        <v>23.79</v>
      </c>
      <c r="N11" s="54">
        <v>23.79</v>
      </c>
      <c r="O11" s="54"/>
      <c r="P11" s="54">
        <v>0</v>
      </c>
      <c r="Q11" s="54"/>
      <c r="R11" s="54"/>
      <c r="S11" s="54"/>
      <c r="T11" s="54"/>
      <c r="U11" s="54"/>
      <c r="V11" s="54"/>
      <c r="W11" s="54">
        <v>40.799999999999997</v>
      </c>
      <c r="XFD11" s="54"/>
    </row>
    <row r="12" spans="1:23 16384:16384" x14ac:dyDescent="0.25">
      <c r="A12" s="319"/>
      <c r="B12" s="215" t="s">
        <v>48</v>
      </c>
      <c r="C12" s="49" t="s">
        <v>61</v>
      </c>
      <c r="D12" s="49" t="s">
        <v>61</v>
      </c>
      <c r="E12" s="49" t="s">
        <v>61</v>
      </c>
      <c r="F12" s="49">
        <v>3.2</v>
      </c>
      <c r="G12" s="49">
        <v>32.04</v>
      </c>
      <c r="H12" s="1" t="s">
        <v>64</v>
      </c>
      <c r="I12" s="54"/>
      <c r="J12" s="54"/>
      <c r="K12" s="54">
        <v>186.59</v>
      </c>
      <c r="L12" s="54">
        <v>47.15</v>
      </c>
      <c r="M12" s="54">
        <f>L12+P12</f>
        <v>491.02</v>
      </c>
      <c r="N12" s="54">
        <v>491.02</v>
      </c>
      <c r="O12" s="54"/>
      <c r="P12" s="54">
        <f>405.65-0.01+38.23</f>
        <v>443.87</v>
      </c>
      <c r="Q12" s="54"/>
      <c r="R12" s="54"/>
      <c r="S12" s="54"/>
      <c r="T12" s="54"/>
      <c r="U12" s="54"/>
      <c r="V12" s="54"/>
      <c r="W12" s="54">
        <v>21.61</v>
      </c>
      <c r="XFD12" s="54"/>
    </row>
    <row r="13" spans="1:23 16384:16384" s="15" customFormat="1" x14ac:dyDescent="0.25">
      <c r="A13" s="319"/>
      <c r="B13" s="215" t="s">
        <v>65</v>
      </c>
      <c r="C13" s="49">
        <v>0.354551611622068</v>
      </c>
      <c r="D13" s="49">
        <v>0.34745153470565698</v>
      </c>
      <c r="E13" s="49">
        <v>0.35074329316841701</v>
      </c>
      <c r="F13" s="49">
        <v>47.82</v>
      </c>
      <c r="G13" s="49"/>
      <c r="H13" s="49"/>
      <c r="I13" s="11">
        <v>0.38636719195476699</v>
      </c>
      <c r="J13" s="54">
        <v>0.384244295295675</v>
      </c>
      <c r="K13" s="54"/>
      <c r="L13" s="54"/>
      <c r="M13" s="54"/>
      <c r="N13" s="54"/>
      <c r="O13" s="54"/>
      <c r="P13" s="54"/>
      <c r="Q13" s="54"/>
      <c r="R13" s="54"/>
      <c r="S13" s="54"/>
      <c r="T13" s="54"/>
      <c r="U13" s="54"/>
      <c r="V13" s="54"/>
      <c r="W13" s="54"/>
      <c r="XFD13" s="54"/>
    </row>
    <row r="14" spans="1:23 16384:16384" s="15" customFormat="1" ht="45" x14ac:dyDescent="0.25">
      <c r="A14" s="319"/>
      <c r="B14" s="215" t="s">
        <v>49</v>
      </c>
      <c r="C14" s="49"/>
      <c r="D14" s="49"/>
      <c r="E14" s="49"/>
      <c r="F14" s="49"/>
      <c r="G14" s="49"/>
      <c r="H14" s="49"/>
      <c r="I14" s="11"/>
      <c r="J14" s="11">
        <f>SUM(J6:J13)</f>
        <v>10.923125857882654</v>
      </c>
      <c r="K14" s="54">
        <v>964.28</v>
      </c>
      <c r="L14" s="54"/>
      <c r="M14" s="54"/>
      <c r="N14" s="54"/>
      <c r="O14" s="54"/>
      <c r="P14" s="54"/>
      <c r="Q14" s="54"/>
      <c r="R14" s="54"/>
      <c r="S14" s="54"/>
      <c r="T14" s="54"/>
      <c r="U14" s="54"/>
      <c r="V14" s="54"/>
      <c r="W14" s="54"/>
      <c r="XFD14" s="54"/>
    </row>
    <row r="15" spans="1:23 16384:16384" ht="30" x14ac:dyDescent="0.25">
      <c r="A15" s="319"/>
      <c r="B15" s="215" t="s">
        <v>50</v>
      </c>
      <c r="C15" s="54"/>
      <c r="D15" s="54"/>
      <c r="E15" s="54"/>
      <c r="F15" s="54"/>
      <c r="G15" s="54"/>
      <c r="H15" s="54"/>
      <c r="I15" s="54"/>
      <c r="J15" s="54"/>
      <c r="K15" s="54">
        <v>682.55</v>
      </c>
      <c r="L15" s="54"/>
      <c r="M15" s="54"/>
      <c r="N15" s="54"/>
      <c r="O15" s="54"/>
      <c r="P15" s="54"/>
      <c r="Q15" s="54"/>
      <c r="R15" s="54"/>
      <c r="S15" s="54"/>
      <c r="T15" s="54"/>
      <c r="U15" s="54"/>
      <c r="V15" s="54"/>
      <c r="W15" s="54"/>
      <c r="XFD15" s="54"/>
    </row>
    <row r="16" spans="1:23 16384:16384" x14ac:dyDescent="0.25">
      <c r="A16" s="319" t="s">
        <v>51</v>
      </c>
      <c r="B16" s="215"/>
      <c r="C16" s="54"/>
      <c r="D16" s="54"/>
      <c r="E16" s="54"/>
      <c r="F16" s="54"/>
      <c r="G16" s="54"/>
      <c r="H16" s="54"/>
      <c r="I16" s="54"/>
      <c r="J16" s="54"/>
      <c r="K16" s="54"/>
      <c r="L16" s="54"/>
      <c r="M16" s="54"/>
      <c r="N16" s="54"/>
      <c r="O16" s="54"/>
      <c r="P16" s="54"/>
      <c r="Q16" s="54"/>
      <c r="R16" s="54"/>
      <c r="S16" s="54"/>
      <c r="T16" s="54"/>
      <c r="U16" s="54"/>
      <c r="V16" s="54"/>
      <c r="W16" s="54"/>
      <c r="XFD16" s="54"/>
    </row>
    <row r="17" spans="1:18" x14ac:dyDescent="0.25">
      <c r="A17" s="319"/>
      <c r="B17" s="54"/>
      <c r="C17" s="54"/>
      <c r="D17" s="54"/>
      <c r="E17" s="54"/>
      <c r="F17" s="54"/>
      <c r="G17" s="54"/>
      <c r="H17" s="54"/>
      <c r="I17" s="54"/>
      <c r="J17" s="54"/>
      <c r="K17" s="54"/>
      <c r="L17" s="54"/>
      <c r="M17" s="54"/>
      <c r="N17" s="54"/>
      <c r="O17" s="54"/>
      <c r="P17" s="54"/>
      <c r="Q17" s="54"/>
      <c r="R17" s="54"/>
    </row>
    <row r="18" spans="1:18" x14ac:dyDescent="0.25">
      <c r="A18" s="319"/>
      <c r="B18" s="54"/>
      <c r="C18" s="54"/>
      <c r="D18" s="54"/>
      <c r="E18" s="54"/>
      <c r="F18" s="54"/>
      <c r="G18" s="54"/>
      <c r="H18" s="54"/>
      <c r="I18" s="54"/>
      <c r="J18" s="54"/>
      <c r="K18" s="54"/>
      <c r="L18" s="54"/>
      <c r="M18" s="54"/>
      <c r="N18" s="54"/>
      <c r="O18" s="54"/>
      <c r="P18" s="54"/>
      <c r="Q18" s="54"/>
      <c r="R18" s="57"/>
    </row>
    <row r="19" spans="1:18" x14ac:dyDescent="0.25">
      <c r="A19" s="319"/>
      <c r="B19" s="54"/>
      <c r="C19" s="54"/>
      <c r="D19" s="54"/>
      <c r="E19" s="54"/>
      <c r="F19" s="54"/>
      <c r="G19" s="54"/>
      <c r="H19" s="215"/>
      <c r="I19" s="54">
        <f>I9/I20</f>
        <v>-768.91670745903934</v>
      </c>
      <c r="J19" s="54">
        <f>J9/J20</f>
        <v>198.10284615785019</v>
      </c>
      <c r="K19" s="54">
        <f>I19-J19</f>
        <v>-967.01955361688954</v>
      </c>
      <c r="L19" s="54"/>
      <c r="M19" s="54"/>
      <c r="N19" s="54"/>
      <c r="O19" s="54"/>
      <c r="P19" s="54"/>
      <c r="Q19" s="54"/>
      <c r="R19" s="57"/>
    </row>
    <row r="20" spans="1:18" x14ac:dyDescent="0.25">
      <c r="A20" s="319"/>
      <c r="B20" s="54"/>
      <c r="C20" s="54"/>
      <c r="D20" s="54"/>
      <c r="E20" s="54"/>
      <c r="F20" s="54"/>
      <c r="G20" s="54"/>
      <c r="H20" s="215"/>
      <c r="I20" s="54">
        <v>2.8316850000000001E-2</v>
      </c>
      <c r="J20" s="54">
        <v>2.8316850000000001E-2</v>
      </c>
      <c r="K20" s="54"/>
      <c r="L20" s="54"/>
      <c r="M20" s="54"/>
      <c r="N20" s="54"/>
      <c r="O20" s="54"/>
      <c r="P20" s="54"/>
      <c r="Q20" s="54"/>
      <c r="R20" s="57"/>
    </row>
    <row r="21" spans="1:18" x14ac:dyDescent="0.25">
      <c r="A21" s="319"/>
      <c r="B21" s="54"/>
      <c r="C21" s="54"/>
      <c r="D21" s="54"/>
      <c r="E21" s="54"/>
      <c r="F21" s="54"/>
      <c r="G21" s="54"/>
      <c r="H21" s="215"/>
      <c r="I21" s="54"/>
      <c r="J21" s="54"/>
      <c r="K21" s="54"/>
      <c r="L21" s="54"/>
      <c r="M21" s="54"/>
      <c r="N21" s="54"/>
      <c r="O21" s="54"/>
      <c r="P21" s="54"/>
      <c r="Q21" s="54"/>
      <c r="R21" s="57"/>
    </row>
    <row r="22" spans="1:18" x14ac:dyDescent="0.25">
      <c r="A22" s="319" t="s">
        <v>51</v>
      </c>
      <c r="B22" s="54"/>
      <c r="C22" s="54"/>
      <c r="D22" s="54"/>
      <c r="E22" s="54"/>
      <c r="F22" s="54"/>
      <c r="G22" s="54"/>
      <c r="H22" s="215"/>
      <c r="I22" s="54"/>
      <c r="J22" s="54"/>
      <c r="K22" s="54"/>
      <c r="L22" s="54"/>
      <c r="M22" s="54"/>
      <c r="N22" s="54"/>
      <c r="O22" s="54"/>
      <c r="P22" s="54"/>
      <c r="Q22" s="54"/>
      <c r="R22" s="57"/>
    </row>
    <row r="23" spans="1:18" x14ac:dyDescent="0.25">
      <c r="A23" s="319"/>
      <c r="B23" s="54"/>
      <c r="C23" s="54"/>
      <c r="D23" s="54"/>
      <c r="E23" s="54"/>
      <c r="F23" s="54"/>
      <c r="G23" s="54"/>
      <c r="H23" s="215"/>
      <c r="I23" s="54"/>
      <c r="J23" s="54"/>
      <c r="K23" s="54"/>
      <c r="L23" s="54"/>
      <c r="M23" s="54"/>
      <c r="N23" s="54"/>
      <c r="O23" s="54"/>
      <c r="P23" s="54"/>
      <c r="Q23" s="54"/>
      <c r="R23" s="54"/>
    </row>
    <row r="24" spans="1:18" x14ac:dyDescent="0.25">
      <c r="A24" s="319"/>
      <c r="B24" s="54"/>
      <c r="C24" s="54"/>
      <c r="D24" s="54"/>
      <c r="E24" s="54"/>
      <c r="F24" s="54"/>
      <c r="G24" s="54"/>
      <c r="H24" s="215"/>
      <c r="I24" s="54"/>
      <c r="J24" s="54"/>
      <c r="K24" s="54"/>
      <c r="L24" s="54"/>
      <c r="M24" s="54"/>
      <c r="N24" s="54"/>
      <c r="O24" s="54"/>
      <c r="P24" s="54"/>
      <c r="Q24" s="54"/>
      <c r="R24" s="54"/>
    </row>
    <row r="25" spans="1:18" x14ac:dyDescent="0.25">
      <c r="A25" s="319"/>
      <c r="B25" s="54"/>
      <c r="C25" s="54"/>
      <c r="D25" s="54"/>
      <c r="E25" s="54"/>
      <c r="F25" s="54"/>
      <c r="G25" s="54"/>
      <c r="H25" s="215"/>
      <c r="I25" s="54"/>
      <c r="J25" s="54"/>
      <c r="K25" s="54"/>
      <c r="L25" s="54"/>
      <c r="M25" s="54"/>
      <c r="N25" s="54"/>
      <c r="O25" s="54"/>
      <c r="P25" s="54"/>
      <c r="Q25" s="54"/>
      <c r="R25" s="54"/>
    </row>
    <row r="26" spans="1:18" x14ac:dyDescent="0.25">
      <c r="A26" s="319"/>
      <c r="B26" s="54"/>
      <c r="C26" s="54"/>
      <c r="D26" s="54"/>
      <c r="E26" s="54"/>
      <c r="F26" s="54"/>
      <c r="G26" s="54"/>
      <c r="H26" s="215"/>
      <c r="I26" s="54"/>
      <c r="J26" s="54"/>
      <c r="K26" s="54"/>
      <c r="L26" s="54"/>
      <c r="M26" s="54"/>
      <c r="N26" s="54"/>
      <c r="O26" s="54"/>
      <c r="P26" s="54"/>
      <c r="Q26" s="54"/>
      <c r="R26" s="54"/>
    </row>
    <row r="27" spans="1:18" x14ac:dyDescent="0.25">
      <c r="A27" s="319"/>
      <c r="B27" s="54"/>
      <c r="C27" s="54"/>
      <c r="D27" s="54"/>
      <c r="E27" s="54"/>
      <c r="F27" s="54"/>
      <c r="G27" s="54"/>
      <c r="H27" s="215"/>
      <c r="I27" s="54"/>
      <c r="J27" s="54"/>
      <c r="K27" s="54"/>
      <c r="L27" s="54"/>
      <c r="M27" s="54"/>
      <c r="N27" s="54"/>
      <c r="O27" s="54"/>
      <c r="P27" s="54"/>
      <c r="Q27" s="54"/>
      <c r="R27" s="54"/>
    </row>
    <row r="28" spans="1:18" x14ac:dyDescent="0.25">
      <c r="A28" s="54"/>
      <c r="B28" s="54"/>
      <c r="C28" s="54"/>
      <c r="D28" s="54"/>
      <c r="E28" s="54"/>
      <c r="F28" s="54"/>
      <c r="G28" s="54"/>
      <c r="H28" s="215"/>
      <c r="I28" s="54"/>
      <c r="J28" s="54"/>
      <c r="K28" s="54"/>
      <c r="L28" s="54"/>
      <c r="M28" s="54"/>
      <c r="N28" s="54"/>
      <c r="O28" s="54"/>
      <c r="P28" s="54"/>
      <c r="Q28" s="54"/>
      <c r="R28" s="54"/>
    </row>
    <row r="29" spans="1:18" x14ac:dyDescent="0.25">
      <c r="A29" s="54"/>
      <c r="B29" s="54"/>
      <c r="C29" s="54"/>
      <c r="D29" s="54"/>
      <c r="E29" s="54"/>
      <c r="F29" s="54"/>
      <c r="G29" s="54"/>
      <c r="H29" s="54"/>
      <c r="I29" s="54"/>
      <c r="J29" s="54"/>
      <c r="K29" s="54"/>
      <c r="L29" s="54"/>
      <c r="M29" s="54"/>
      <c r="N29" s="54"/>
      <c r="O29" s="54"/>
      <c r="P29" s="54"/>
      <c r="Q29" s="54"/>
      <c r="R29" s="54"/>
    </row>
    <row r="30" spans="1:18" x14ac:dyDescent="0.25">
      <c r="A30" s="54"/>
      <c r="B30" s="54"/>
      <c r="C30" s="54"/>
      <c r="D30" s="54"/>
      <c r="E30" s="54"/>
      <c r="F30" s="54"/>
      <c r="G30" s="54"/>
      <c r="H30" s="54"/>
      <c r="I30" s="54"/>
      <c r="J30" s="54"/>
      <c r="K30" s="54"/>
      <c r="L30" s="54"/>
      <c r="M30" s="54"/>
      <c r="N30" s="54"/>
      <c r="O30" s="54"/>
      <c r="P30" s="54"/>
      <c r="Q30" s="54"/>
      <c r="R30" s="54"/>
    </row>
    <row r="32" spans="1:18" x14ac:dyDescent="0.25">
      <c r="A32" s="54" t="s">
        <v>52</v>
      </c>
      <c r="B32" s="54"/>
      <c r="C32" s="54"/>
      <c r="D32" s="54"/>
      <c r="E32" s="54"/>
      <c r="F32" s="54"/>
      <c r="G32" s="54"/>
      <c r="H32" s="54"/>
      <c r="I32" s="54"/>
      <c r="J32" s="54"/>
      <c r="K32" s="54"/>
      <c r="L32" s="54"/>
      <c r="M32" s="54"/>
      <c r="N32" s="54"/>
      <c r="O32" s="54"/>
      <c r="P32" s="54"/>
      <c r="Q32" s="54"/>
      <c r="R32" s="54"/>
    </row>
  </sheetData>
  <mergeCells count="3">
    <mergeCell ref="A6:A15"/>
    <mergeCell ref="A16:A21"/>
    <mergeCell ref="A22:A27"/>
  </mergeCells>
  <conditionalFormatting sqref="R18:R22">
    <cfRule type="dataBar" priority="1">
      <dataBar>
        <cfvo type="min"/>
        <cfvo type="max"/>
        <color rgb="FF638EC6"/>
      </dataBar>
      <extLst>
        <ext xmlns:x14="http://schemas.microsoft.com/office/spreadsheetml/2009/9/main" uri="{B025F937-C7B1-47D3-B67F-A62EFF666E3E}">
          <x14:id>{5F954E7B-6B96-41CC-91EA-79E05B27D482}</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5F954E7B-6B96-41CC-91EA-79E05B27D482}">
            <x14:dataBar minLength="0" maxLength="100">
              <x14:cfvo type="min"/>
              <x14:cfvo type="max"/>
              <x14:negativeFillColor rgb="FFFF0000"/>
              <x14:axisColor rgb="FF000000"/>
            </x14:dataBar>
          </x14:cfRule>
          <xm:sqref>R18:R22</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35397-8FC5-4DAC-A31A-944C27C64BE7}">
  <sheetPr>
    <tabColor theme="9"/>
  </sheetPr>
  <dimension ref="A1:AF26"/>
  <sheetViews>
    <sheetView workbookViewId="0"/>
  </sheetViews>
  <sheetFormatPr defaultRowHeight="15" x14ac:dyDescent="0.25"/>
  <cols>
    <col min="1" max="1" width="37.140625" customWidth="1"/>
    <col min="2" max="2" width="20.42578125" customWidth="1"/>
    <col min="3" max="3" width="20.28515625" style="21" customWidth="1"/>
    <col min="4" max="6" width="13.28515625" customWidth="1"/>
    <col min="7" max="7" width="20" customWidth="1"/>
    <col min="8" max="8" width="13.28515625" customWidth="1"/>
    <col min="9" max="9" width="13.28515625" style="15" customWidth="1"/>
    <col min="10" max="10" width="23.7109375" customWidth="1"/>
    <col min="11" max="11" width="24.85546875" customWidth="1"/>
    <col min="12" max="12" width="21.85546875" customWidth="1"/>
    <col min="13" max="13" width="13.28515625" customWidth="1"/>
    <col min="14" max="15" width="13.28515625" style="21" customWidth="1"/>
    <col min="16" max="17" width="21.28515625" style="21" customWidth="1"/>
    <col min="18" max="18" width="20" style="21" customWidth="1"/>
    <col min="19" max="23" width="21.28515625" style="21" customWidth="1"/>
    <col min="24" max="27" width="13.28515625" style="21" customWidth="1"/>
    <col min="28" max="32" width="13.28515625" customWidth="1"/>
  </cols>
  <sheetData>
    <row r="1" spans="1:32" s="26" customFormat="1" x14ac:dyDescent="0.25">
      <c r="A1" s="24" t="s">
        <v>16</v>
      </c>
      <c r="B1" s="24" t="s">
        <v>17</v>
      </c>
      <c r="C1" s="24" t="s">
        <v>17</v>
      </c>
      <c r="D1" s="24" t="s">
        <v>17</v>
      </c>
      <c r="E1" s="24" t="s">
        <v>17</v>
      </c>
      <c r="F1" s="24" t="s">
        <v>17</v>
      </c>
      <c r="G1" s="24" t="s">
        <v>17</v>
      </c>
      <c r="H1" s="24" t="s">
        <v>17</v>
      </c>
      <c r="I1" s="24" t="s">
        <v>17</v>
      </c>
      <c r="J1" s="24" t="s">
        <v>53</v>
      </c>
      <c r="K1" s="24" t="s">
        <v>53</v>
      </c>
      <c r="L1" s="24" t="s">
        <v>53</v>
      </c>
      <c r="M1" s="24" t="s">
        <v>53</v>
      </c>
      <c r="N1" s="24" t="s">
        <v>53</v>
      </c>
      <c r="O1" s="24" t="s">
        <v>53</v>
      </c>
      <c r="P1" s="24" t="s">
        <v>53</v>
      </c>
      <c r="Q1" s="24"/>
      <c r="R1" s="24" t="s">
        <v>53</v>
      </c>
      <c r="S1" s="24" t="s">
        <v>53</v>
      </c>
      <c r="T1" s="24" t="s">
        <v>53</v>
      </c>
      <c r="U1" s="24" t="s">
        <v>53</v>
      </c>
      <c r="V1" s="24" t="s">
        <v>53</v>
      </c>
      <c r="W1" s="24" t="s">
        <v>53</v>
      </c>
      <c r="X1" s="24" t="s">
        <v>66</v>
      </c>
      <c r="Y1" s="24" t="s">
        <v>67</v>
      </c>
      <c r="Z1" s="24" t="s">
        <v>53</v>
      </c>
      <c r="AA1" s="24" t="s">
        <v>68</v>
      </c>
      <c r="AB1" s="24" t="s">
        <v>24</v>
      </c>
      <c r="AC1" s="24" t="s">
        <v>25</v>
      </c>
      <c r="AD1" s="24" t="s">
        <v>26</v>
      </c>
      <c r="AE1" s="24" t="s">
        <v>27</v>
      </c>
      <c r="AF1" s="25" t="s">
        <v>28</v>
      </c>
    </row>
    <row r="2" spans="1:32" s="26" customFormat="1" x14ac:dyDescent="0.25">
      <c r="A2" s="27" t="s">
        <v>69</v>
      </c>
      <c r="B2" s="27" t="s">
        <v>70</v>
      </c>
      <c r="C2" s="27"/>
      <c r="D2" s="27" t="s">
        <v>71</v>
      </c>
      <c r="E2" s="27" t="s">
        <v>71</v>
      </c>
      <c r="F2" s="27" t="s">
        <v>71</v>
      </c>
      <c r="G2" s="27" t="s">
        <v>71</v>
      </c>
      <c r="H2" s="27" t="s">
        <v>71</v>
      </c>
      <c r="I2" s="27"/>
      <c r="J2" s="27" t="s">
        <v>72</v>
      </c>
      <c r="K2" s="27" t="s">
        <v>72</v>
      </c>
      <c r="L2" s="27" t="s">
        <v>72</v>
      </c>
      <c r="M2" s="27" t="s">
        <v>72</v>
      </c>
      <c r="N2" s="27" t="s">
        <v>72</v>
      </c>
      <c r="O2" s="27" t="s">
        <v>72</v>
      </c>
      <c r="P2" s="27" t="s">
        <v>72</v>
      </c>
      <c r="Q2" s="27" t="s">
        <v>73</v>
      </c>
      <c r="R2" s="27" t="s">
        <v>74</v>
      </c>
      <c r="S2" s="27" t="s">
        <v>74</v>
      </c>
      <c r="T2" s="27" t="s">
        <v>74</v>
      </c>
      <c r="U2" s="27" t="s">
        <v>75</v>
      </c>
      <c r="V2" s="27" t="s">
        <v>75</v>
      </c>
      <c r="W2" s="27" t="s">
        <v>75</v>
      </c>
      <c r="X2" s="27"/>
      <c r="Y2" s="27"/>
      <c r="Z2" s="27"/>
      <c r="AA2" s="27"/>
      <c r="AB2" s="27"/>
      <c r="AC2" s="27"/>
      <c r="AD2" s="27"/>
      <c r="AE2" s="27"/>
      <c r="AF2" s="28"/>
    </row>
    <row r="3" spans="1:32" s="26" customFormat="1" x14ac:dyDescent="0.25">
      <c r="A3" s="27" t="s">
        <v>76</v>
      </c>
      <c r="B3" s="27"/>
      <c r="C3" s="27"/>
      <c r="D3" s="27"/>
      <c r="E3" s="27"/>
      <c r="F3" s="27"/>
      <c r="G3" s="27"/>
      <c r="H3" s="27"/>
      <c r="I3" s="27"/>
      <c r="J3" s="29" t="s">
        <v>77</v>
      </c>
      <c r="K3" s="29" t="s">
        <v>77</v>
      </c>
      <c r="L3" s="29" t="s">
        <v>77</v>
      </c>
      <c r="M3" s="29" t="s">
        <v>13</v>
      </c>
      <c r="N3" s="29" t="s">
        <v>78</v>
      </c>
      <c r="O3" s="29" t="s">
        <v>78</v>
      </c>
      <c r="P3" s="29" t="s">
        <v>78</v>
      </c>
      <c r="Q3" s="27" t="s">
        <v>79</v>
      </c>
      <c r="R3" s="27" t="s">
        <v>80</v>
      </c>
      <c r="S3" s="27" t="s">
        <v>80</v>
      </c>
      <c r="T3" s="27" t="s">
        <v>80</v>
      </c>
      <c r="U3" s="27" t="s">
        <v>81</v>
      </c>
      <c r="V3" s="27" t="s">
        <v>81</v>
      </c>
      <c r="W3" s="27" t="s">
        <v>81</v>
      </c>
      <c r="X3" s="27"/>
      <c r="Y3" s="27"/>
      <c r="Z3" s="27"/>
      <c r="AA3" s="27"/>
      <c r="AB3" s="27"/>
      <c r="AC3" s="27"/>
      <c r="AD3" s="27"/>
      <c r="AE3" s="27"/>
      <c r="AF3" s="28"/>
    </row>
    <row r="4" spans="1:32" s="26" customFormat="1" x14ac:dyDescent="0.25">
      <c r="A4" s="27" t="s">
        <v>82</v>
      </c>
      <c r="B4" s="27"/>
      <c r="C4" s="27"/>
      <c r="D4" s="27"/>
      <c r="E4" s="27"/>
      <c r="F4" s="27"/>
      <c r="G4" s="27"/>
      <c r="H4" s="27"/>
      <c r="I4" s="27"/>
      <c r="J4" s="29" t="s">
        <v>83</v>
      </c>
      <c r="K4" s="29" t="s">
        <v>84</v>
      </c>
      <c r="L4" s="29" t="s">
        <v>85</v>
      </c>
      <c r="M4" s="29" t="s">
        <v>86</v>
      </c>
      <c r="N4" s="29" t="s">
        <v>87</v>
      </c>
      <c r="O4" s="29" t="s">
        <v>85</v>
      </c>
      <c r="P4" s="29" t="s">
        <v>86</v>
      </c>
      <c r="Q4" s="29" t="s">
        <v>85</v>
      </c>
      <c r="R4" s="27" t="s">
        <v>88</v>
      </c>
      <c r="S4" s="29" t="s">
        <v>85</v>
      </c>
      <c r="T4" s="29" t="s">
        <v>86</v>
      </c>
      <c r="U4" s="27" t="s">
        <v>88</v>
      </c>
      <c r="V4" s="29" t="s">
        <v>85</v>
      </c>
      <c r="W4" s="29" t="s">
        <v>86</v>
      </c>
      <c r="X4" s="27"/>
      <c r="Y4" s="27"/>
      <c r="Z4" s="27"/>
      <c r="AA4" s="27"/>
      <c r="AB4" s="27"/>
      <c r="AC4" s="27"/>
      <c r="AD4" s="27"/>
      <c r="AE4" s="27"/>
      <c r="AF4" s="28"/>
    </row>
    <row r="5" spans="1:32" s="26" customFormat="1" x14ac:dyDescent="0.25">
      <c r="A5" s="27" t="s">
        <v>89</v>
      </c>
      <c r="B5" s="27"/>
      <c r="C5" s="27"/>
      <c r="D5" s="27"/>
      <c r="E5" s="27"/>
      <c r="F5" s="27"/>
      <c r="G5" s="27"/>
      <c r="H5" s="27"/>
      <c r="I5" s="27"/>
      <c r="J5" s="29" t="s">
        <v>90</v>
      </c>
      <c r="K5" s="29" t="s">
        <v>90</v>
      </c>
      <c r="L5" s="29"/>
      <c r="M5" s="29"/>
      <c r="N5" s="29"/>
      <c r="O5" s="29"/>
      <c r="P5" s="29"/>
      <c r="Q5" s="29"/>
      <c r="R5" s="27"/>
      <c r="S5" s="27"/>
      <c r="T5" s="27"/>
      <c r="U5" s="27"/>
      <c r="V5" s="27"/>
      <c r="W5" s="27"/>
      <c r="X5" s="27"/>
      <c r="Y5" s="27"/>
      <c r="Z5" s="27"/>
      <c r="AA5" s="27"/>
      <c r="AB5" s="27"/>
      <c r="AC5" s="27"/>
      <c r="AD5" s="27"/>
      <c r="AE5" s="27"/>
      <c r="AF5" s="28"/>
    </row>
    <row r="6" spans="1:32" s="26" customFormat="1" x14ac:dyDescent="0.25">
      <c r="A6" s="27" t="s">
        <v>91</v>
      </c>
      <c r="B6" s="27"/>
      <c r="C6" s="27"/>
      <c r="D6" s="27"/>
      <c r="E6" s="27"/>
      <c r="F6" s="27"/>
      <c r="G6" s="27"/>
      <c r="H6" s="27"/>
      <c r="I6" s="27"/>
      <c r="J6" s="29" t="s">
        <v>83</v>
      </c>
      <c r="K6" s="29" t="s">
        <v>84</v>
      </c>
      <c r="L6" s="29"/>
      <c r="M6" s="29"/>
      <c r="N6" s="29"/>
      <c r="O6" s="29"/>
      <c r="P6" s="29"/>
      <c r="Q6" s="29"/>
      <c r="R6" s="27"/>
      <c r="S6" s="27"/>
      <c r="T6" s="27"/>
      <c r="U6" s="27"/>
      <c r="V6" s="27"/>
      <c r="W6" s="27"/>
      <c r="X6" s="27"/>
      <c r="Y6" s="27"/>
      <c r="Z6" s="27"/>
      <c r="AA6" s="27"/>
      <c r="AB6" s="27"/>
      <c r="AC6" s="27"/>
      <c r="AD6" s="27"/>
      <c r="AE6" s="27"/>
      <c r="AF6" s="28"/>
    </row>
    <row r="7" spans="1:32" x14ac:dyDescent="0.25">
      <c r="A7" s="19" t="s">
        <v>1</v>
      </c>
      <c r="B7" s="19" t="s">
        <v>2</v>
      </c>
      <c r="C7" s="19"/>
      <c r="D7" s="19" t="s">
        <v>2</v>
      </c>
      <c r="E7" s="19" t="s">
        <v>2</v>
      </c>
      <c r="F7" s="19" t="s">
        <v>3</v>
      </c>
      <c r="G7" s="19" t="s">
        <v>3</v>
      </c>
      <c r="H7" s="19" t="s">
        <v>3</v>
      </c>
      <c r="I7" s="19" t="s">
        <v>3</v>
      </c>
      <c r="J7" s="19" t="s">
        <v>2</v>
      </c>
      <c r="K7" s="19" t="s">
        <v>4</v>
      </c>
      <c r="L7" s="19" t="s">
        <v>3</v>
      </c>
      <c r="M7" s="19" t="s">
        <v>3</v>
      </c>
      <c r="N7" s="19" t="s">
        <v>3</v>
      </c>
      <c r="O7" s="19" t="s">
        <v>3</v>
      </c>
      <c r="P7" s="19" t="s">
        <v>3</v>
      </c>
      <c r="Q7" s="19"/>
      <c r="R7" s="19"/>
      <c r="S7" s="19"/>
      <c r="T7" s="19"/>
      <c r="U7" s="19"/>
      <c r="V7" s="19"/>
      <c r="W7" s="19"/>
      <c r="X7" s="19" t="s">
        <v>3</v>
      </c>
      <c r="Y7" s="19" t="s">
        <v>3</v>
      </c>
      <c r="Z7" s="19" t="s">
        <v>3</v>
      </c>
      <c r="AA7" s="19" t="s">
        <v>3</v>
      </c>
      <c r="AB7" s="19" t="s">
        <v>2</v>
      </c>
      <c r="AC7" s="19" t="s">
        <v>2</v>
      </c>
      <c r="AD7" s="19" t="s">
        <v>2</v>
      </c>
      <c r="AE7" s="19" t="s">
        <v>2</v>
      </c>
      <c r="AF7" s="18" t="s">
        <v>2</v>
      </c>
    </row>
    <row r="8" spans="1:32" ht="15.75" thickBot="1" x14ac:dyDescent="0.3">
      <c r="A8" s="19" t="s">
        <v>11</v>
      </c>
      <c r="B8" s="19" t="s">
        <v>92</v>
      </c>
      <c r="C8" s="19"/>
      <c r="D8" s="19" t="s">
        <v>18</v>
      </c>
      <c r="E8" s="19" t="s">
        <v>19</v>
      </c>
      <c r="F8" s="19" t="s">
        <v>20</v>
      </c>
      <c r="G8" s="19" t="s">
        <v>21</v>
      </c>
      <c r="H8" s="19" t="s">
        <v>22</v>
      </c>
      <c r="I8" s="19" t="s">
        <v>29</v>
      </c>
      <c r="J8" s="19" t="s">
        <v>13</v>
      </c>
      <c r="K8" s="19" t="s">
        <v>13</v>
      </c>
      <c r="L8" s="19" t="s">
        <v>14</v>
      </c>
      <c r="M8" s="19" t="s">
        <v>15</v>
      </c>
      <c r="N8" s="19" t="s">
        <v>12</v>
      </c>
      <c r="O8" s="19" t="s">
        <v>12</v>
      </c>
      <c r="P8" s="19" t="s">
        <v>12</v>
      </c>
      <c r="Q8" s="19"/>
      <c r="R8" s="19"/>
      <c r="S8" s="19"/>
      <c r="T8" s="19"/>
      <c r="U8" s="19"/>
      <c r="V8" s="19"/>
      <c r="W8" s="19"/>
      <c r="X8" s="19" t="s">
        <v>93</v>
      </c>
      <c r="Y8" s="19" t="s">
        <v>93</v>
      </c>
      <c r="Z8" s="19" t="s">
        <v>94</v>
      </c>
      <c r="AA8" s="19" t="s">
        <v>95</v>
      </c>
      <c r="AB8" s="19"/>
      <c r="AC8" s="19"/>
      <c r="AD8" s="19"/>
      <c r="AE8" s="19"/>
      <c r="AF8" s="18"/>
    </row>
    <row r="9" spans="1:32" x14ac:dyDescent="0.25">
      <c r="A9" s="13" t="s">
        <v>96</v>
      </c>
      <c r="B9" s="13"/>
      <c r="C9" s="13"/>
      <c r="D9" s="13"/>
      <c r="E9" s="13"/>
      <c r="F9" s="13"/>
      <c r="G9" s="13"/>
      <c r="H9" s="13"/>
      <c r="I9" s="13"/>
      <c r="J9" s="13">
        <v>1.93</v>
      </c>
      <c r="K9" s="13">
        <v>1.93</v>
      </c>
      <c r="L9" s="13">
        <v>1.93</v>
      </c>
      <c r="M9" s="13">
        <v>1.93</v>
      </c>
      <c r="N9" s="13">
        <v>1.93</v>
      </c>
      <c r="O9" s="13">
        <v>1.93</v>
      </c>
      <c r="P9" s="13">
        <v>1.93</v>
      </c>
      <c r="Q9" s="13"/>
      <c r="R9" s="13">
        <v>1.93</v>
      </c>
      <c r="S9" s="13">
        <v>1.93</v>
      </c>
      <c r="T9" s="13">
        <v>1.93</v>
      </c>
      <c r="U9" s="13">
        <v>2.02</v>
      </c>
      <c r="V9" s="13">
        <v>2.02</v>
      </c>
      <c r="W9" s="13">
        <v>2.02</v>
      </c>
      <c r="X9" s="13"/>
      <c r="Y9" s="13"/>
      <c r="Z9" s="13"/>
      <c r="AA9" s="13"/>
      <c r="AB9" s="13"/>
      <c r="AC9" s="13"/>
      <c r="AD9" s="13"/>
      <c r="AE9" s="13"/>
      <c r="AF9" s="14"/>
    </row>
    <row r="10" spans="1:32" x14ac:dyDescent="0.25">
      <c r="A10" s="8" t="s">
        <v>97</v>
      </c>
      <c r="B10" s="8"/>
      <c r="C10" s="54"/>
      <c r="D10" s="8"/>
      <c r="E10" s="8"/>
      <c r="F10" s="8"/>
      <c r="G10" s="8"/>
      <c r="H10" s="8"/>
      <c r="I10" s="8"/>
      <c r="J10" s="8">
        <v>355.4051255</v>
      </c>
      <c r="K10" s="8">
        <v>964</v>
      </c>
      <c r="L10" s="8">
        <v>964.28</v>
      </c>
      <c r="M10" s="8">
        <v>281.73</v>
      </c>
      <c r="N10" s="8"/>
      <c r="O10" s="8">
        <v>977.38</v>
      </c>
      <c r="P10" s="8">
        <v>156.77999999999997</v>
      </c>
      <c r="Q10" s="8"/>
      <c r="R10" s="8"/>
      <c r="S10" s="8">
        <v>933.06</v>
      </c>
      <c r="T10" s="8">
        <f>(T14/P14)*P10</f>
        <v>149.67069798849982</v>
      </c>
      <c r="U10" s="8"/>
      <c r="V10" s="8">
        <v>1006.73</v>
      </c>
      <c r="W10" s="8">
        <f>(W14/P14)*P10</f>
        <v>161.48798768135217</v>
      </c>
      <c r="X10" s="8"/>
      <c r="Y10" s="8"/>
      <c r="Z10" s="8"/>
      <c r="AA10" s="8"/>
      <c r="AB10" s="8"/>
      <c r="AC10" s="8"/>
      <c r="AD10" s="8"/>
      <c r="AE10" s="8"/>
      <c r="AF10" s="20"/>
    </row>
    <row r="11" spans="1:32" x14ac:dyDescent="0.25">
      <c r="A11" s="12" t="s">
        <v>98</v>
      </c>
      <c r="B11" s="8">
        <v>568.39993159171308</v>
      </c>
      <c r="C11" s="8"/>
      <c r="D11" s="8">
        <v>537.80993527329133</v>
      </c>
      <c r="E11" s="8">
        <v>542.90515066006981</v>
      </c>
      <c r="F11" s="8">
        <v>30608.98369698607</v>
      </c>
      <c r="G11" s="8">
        <v>0</v>
      </c>
      <c r="H11" s="8">
        <v>0</v>
      </c>
      <c r="I11" s="8"/>
      <c r="J11" s="8">
        <v>264</v>
      </c>
      <c r="K11" s="8">
        <v>264</v>
      </c>
      <c r="L11" s="8"/>
      <c r="M11" s="8"/>
      <c r="N11" s="8"/>
      <c r="O11" s="8"/>
      <c r="P11" s="8"/>
      <c r="Q11" s="8"/>
      <c r="R11" s="8"/>
      <c r="S11" s="8"/>
      <c r="T11" s="8"/>
      <c r="U11" s="8"/>
      <c r="V11" s="8"/>
      <c r="W11" s="8"/>
      <c r="X11" s="8">
        <v>61.8</v>
      </c>
      <c r="Y11" s="8">
        <v>58.2</v>
      </c>
      <c r="Z11" s="8">
        <v>0</v>
      </c>
      <c r="AA11" s="8"/>
      <c r="AB11" s="8">
        <v>17.621341436059499</v>
      </c>
      <c r="AC11" s="8">
        <v>17.7759146065513</v>
      </c>
      <c r="AD11" s="8">
        <v>20.515555355903999</v>
      </c>
      <c r="AE11" s="22">
        <v>16.3277769134131</v>
      </c>
      <c r="AF11" s="22">
        <v>13.382295342813901</v>
      </c>
    </row>
    <row r="12" spans="1:32" x14ac:dyDescent="0.25">
      <c r="A12" s="12" t="s">
        <v>99</v>
      </c>
      <c r="B12" s="8">
        <v>0</v>
      </c>
      <c r="C12" s="8"/>
      <c r="D12" s="8">
        <v>0</v>
      </c>
      <c r="E12" s="8">
        <v>0</v>
      </c>
      <c r="F12" s="8">
        <v>0</v>
      </c>
      <c r="G12" s="8">
        <v>0</v>
      </c>
      <c r="H12" s="8">
        <v>0</v>
      </c>
      <c r="I12" s="8"/>
      <c r="J12" s="8">
        <v>0</v>
      </c>
      <c r="K12" s="8">
        <v>0</v>
      </c>
      <c r="L12" s="8"/>
      <c r="M12" s="8"/>
      <c r="N12" s="8"/>
      <c r="O12" s="8"/>
      <c r="P12" s="8"/>
      <c r="Q12" s="8"/>
      <c r="R12" s="8"/>
      <c r="S12" s="8"/>
      <c r="T12" s="8"/>
      <c r="U12" s="8"/>
      <c r="V12" s="8"/>
      <c r="W12" s="8"/>
      <c r="X12" s="8"/>
      <c r="Y12" s="8"/>
      <c r="Z12" s="8">
        <v>0</v>
      </c>
      <c r="AA12" s="8"/>
      <c r="AB12" s="8">
        <v>0</v>
      </c>
      <c r="AC12" s="8">
        <v>0</v>
      </c>
      <c r="AD12" s="8">
        <v>0</v>
      </c>
      <c r="AE12" s="8">
        <v>0</v>
      </c>
      <c r="AF12" s="20">
        <v>0</v>
      </c>
    </row>
    <row r="13" spans="1:32" x14ac:dyDescent="0.25">
      <c r="A13" s="12" t="s">
        <v>42</v>
      </c>
      <c r="B13" s="8">
        <v>45.373994539131644</v>
      </c>
      <c r="C13" s="8"/>
      <c r="D13" s="8">
        <v>470.58369336413125</v>
      </c>
      <c r="E13" s="8">
        <v>475.04200682756021</v>
      </c>
      <c r="F13" s="8">
        <v>-1995.984722877015</v>
      </c>
      <c r="G13" s="8">
        <v>0</v>
      </c>
      <c r="H13" s="8">
        <v>0</v>
      </c>
      <c r="I13" s="8"/>
      <c r="J13" s="8">
        <v>49.445616049102206</v>
      </c>
      <c r="K13" s="8">
        <v>-90.774889075025655</v>
      </c>
      <c r="L13" s="8"/>
      <c r="M13" s="8"/>
      <c r="N13" s="8"/>
      <c r="O13" s="8"/>
      <c r="P13" s="8"/>
      <c r="Q13" s="8"/>
      <c r="R13" s="8"/>
      <c r="S13" s="8"/>
      <c r="T13" s="8"/>
      <c r="U13" s="8"/>
      <c r="V13" s="8"/>
      <c r="W13" s="8"/>
      <c r="X13" s="8" t="s">
        <v>100</v>
      </c>
      <c r="Y13" s="8" t="s">
        <v>101</v>
      </c>
      <c r="Z13" s="8">
        <v>0</v>
      </c>
      <c r="AA13" s="8"/>
      <c r="AB13" s="8">
        <v>1.26749999803235</v>
      </c>
      <c r="AC13" s="8">
        <v>1.3927042661306701</v>
      </c>
      <c r="AD13" s="8">
        <v>1.6073491631017001</v>
      </c>
      <c r="AE13" s="22">
        <v>1.7975534216601601</v>
      </c>
      <c r="AF13" s="22">
        <v>1.47328022122721</v>
      </c>
    </row>
    <row r="14" spans="1:32" x14ac:dyDescent="0.25">
      <c r="A14" s="8" t="s">
        <v>102</v>
      </c>
      <c r="B14" s="8"/>
      <c r="C14" s="8"/>
      <c r="D14" s="8"/>
      <c r="E14" s="8"/>
      <c r="F14" s="8"/>
      <c r="G14" s="8"/>
      <c r="H14" s="8"/>
      <c r="I14" s="8"/>
      <c r="J14" s="8">
        <v>-964.28</v>
      </c>
      <c r="K14" s="8">
        <v>-964</v>
      </c>
      <c r="L14" s="8">
        <v>-964.28</v>
      </c>
      <c r="M14" s="8">
        <v>-964.28</v>
      </c>
      <c r="N14" s="8"/>
      <c r="O14" s="8">
        <v>-977.38</v>
      </c>
      <c r="P14" s="8">
        <v>-977.38</v>
      </c>
      <c r="Q14" s="8"/>
      <c r="R14" s="8"/>
      <c r="S14" s="8">
        <v>-933.06</v>
      </c>
      <c r="T14" s="8">
        <v>-933.06</v>
      </c>
      <c r="U14" s="8"/>
      <c r="V14" s="8">
        <v>-1006.73</v>
      </c>
      <c r="W14" s="8">
        <v>-1006.73</v>
      </c>
      <c r="X14" s="8"/>
      <c r="Y14" s="8"/>
      <c r="Z14" s="8"/>
      <c r="AA14" s="8"/>
      <c r="AB14" s="8"/>
      <c r="AC14" s="8"/>
      <c r="AD14" s="8"/>
      <c r="AE14" s="8"/>
      <c r="AF14" s="20"/>
    </row>
    <row r="15" spans="1:32" x14ac:dyDescent="0.25">
      <c r="A15" s="12" t="s">
        <v>44</v>
      </c>
      <c r="B15" s="8">
        <v>12.520870493083375</v>
      </c>
      <c r="C15" s="8"/>
      <c r="D15" s="8">
        <v>12.27013367326016</v>
      </c>
      <c r="E15" s="8">
        <v>12.386381012309526</v>
      </c>
      <c r="F15" s="8">
        <v>1688.7471593768373</v>
      </c>
      <c r="G15" s="8">
        <v>0</v>
      </c>
      <c r="H15" s="8">
        <v>0</v>
      </c>
      <c r="I15" s="8"/>
      <c r="J15" s="8">
        <v>13.644426973860686</v>
      </c>
      <c r="K15" s="8">
        <v>13.569457594883435</v>
      </c>
      <c r="L15" s="8"/>
      <c r="M15" s="8"/>
      <c r="N15" s="8"/>
      <c r="O15" s="8"/>
      <c r="P15" s="8"/>
      <c r="Q15" s="8"/>
      <c r="R15" s="8"/>
      <c r="S15" s="54"/>
      <c r="T15" s="8"/>
      <c r="U15" s="8"/>
      <c r="V15" s="8"/>
      <c r="W15" s="8"/>
      <c r="X15" s="8"/>
      <c r="Y15" s="8"/>
      <c r="Z15" s="8"/>
      <c r="AA15" s="8"/>
      <c r="AB15" s="8">
        <v>0.39497773109416001</v>
      </c>
      <c r="AC15" s="8">
        <v>0.39497773109416001</v>
      </c>
      <c r="AD15" s="8">
        <v>0.45585207208551598</v>
      </c>
      <c r="AE15" s="22">
        <v>0.31325064702560801</v>
      </c>
      <c r="AF15" s="22">
        <v>0.25674117775215999</v>
      </c>
    </row>
    <row r="16" spans="1:32" x14ac:dyDescent="0.25">
      <c r="A16" s="12" t="s">
        <v>45</v>
      </c>
      <c r="B16" s="8">
        <v>-705.59991507936797</v>
      </c>
      <c r="C16" s="8"/>
      <c r="D16" s="8">
        <v>-561.81930738370613</v>
      </c>
      <c r="E16" s="8">
        <v>-557.44725290989288</v>
      </c>
      <c r="F16" s="8">
        <v>-24209.260563939839</v>
      </c>
      <c r="G16" s="8">
        <v>4304.5042086248995</v>
      </c>
      <c r="H16" s="8" t="e">
        <v>#VALUE!</v>
      </c>
      <c r="I16" s="8">
        <v>123.57</v>
      </c>
      <c r="J16" s="8">
        <v>198.10284619999999</v>
      </c>
      <c r="K16" s="8">
        <v>198.10284615785019</v>
      </c>
      <c r="L16" s="8">
        <v>197.87</v>
      </c>
      <c r="M16" s="8">
        <v>197.87</v>
      </c>
      <c r="N16" s="8">
        <v>137.19</v>
      </c>
      <c r="O16" s="8">
        <v>137.19</v>
      </c>
      <c r="P16" s="8">
        <v>137.19</v>
      </c>
      <c r="Q16" s="8"/>
      <c r="R16" s="8">
        <v>135.65</v>
      </c>
      <c r="S16" s="8">
        <v>135.65</v>
      </c>
      <c r="T16" s="8">
        <v>135.65</v>
      </c>
      <c r="U16" s="8">
        <v>135.06</v>
      </c>
      <c r="V16" s="8">
        <v>135.06</v>
      </c>
      <c r="W16" s="8">
        <v>135.06</v>
      </c>
      <c r="X16" s="8">
        <v>-612</v>
      </c>
      <c r="Y16" s="8">
        <v>-408</v>
      </c>
      <c r="Z16" s="8">
        <v>202</v>
      </c>
      <c r="AA16" s="23">
        <v>121.4</v>
      </c>
      <c r="AB16" s="22">
        <v>-20.712804845894599</v>
      </c>
      <c r="AC16" s="8">
        <v>-21.9493902098286</v>
      </c>
      <c r="AD16" s="8">
        <v>-25.332250961203201</v>
      </c>
      <c r="AE16" s="8">
        <v>-33.4045344191846</v>
      </c>
      <c r="AF16" s="20">
        <v>-20.503149745411999</v>
      </c>
    </row>
    <row r="17" spans="1:32" x14ac:dyDescent="0.25">
      <c r="A17" s="8" t="s">
        <v>46</v>
      </c>
      <c r="B17" s="8" t="e">
        <v>#VALUE!</v>
      </c>
      <c r="C17" s="8"/>
      <c r="D17" s="8" t="e">
        <v>#VALUE!</v>
      </c>
      <c r="E17" s="8" t="e">
        <v>#VALUE!</v>
      </c>
      <c r="F17" s="8">
        <v>-25291.654968684721</v>
      </c>
      <c r="G17" s="8">
        <v>1337.719414412267</v>
      </c>
      <c r="H17" s="8" t="e">
        <v>#VALUE!</v>
      </c>
      <c r="I17" s="8">
        <v>61.16</v>
      </c>
      <c r="J17" s="8">
        <v>0</v>
      </c>
      <c r="K17" s="8">
        <v>0</v>
      </c>
      <c r="L17" s="8">
        <v>11.37</v>
      </c>
      <c r="M17" s="8">
        <v>11.37</v>
      </c>
      <c r="N17" s="8">
        <v>66.260000000000005</v>
      </c>
      <c r="O17" s="8">
        <v>-1354.99</v>
      </c>
      <c r="P17" s="8">
        <v>-1354.99</v>
      </c>
      <c r="Q17" s="8"/>
      <c r="R17" s="8"/>
      <c r="S17" s="8"/>
      <c r="T17" s="8"/>
      <c r="U17" s="8"/>
      <c r="V17" s="8"/>
      <c r="W17" s="8"/>
      <c r="X17" s="8"/>
      <c r="Y17" s="8"/>
      <c r="Z17" s="8">
        <v>27</v>
      </c>
      <c r="AA17" s="8">
        <v>54.34</v>
      </c>
      <c r="AB17" s="8" t="e">
        <v>#VALUE!</v>
      </c>
      <c r="AC17" s="8" t="e">
        <v>#VALUE!</v>
      </c>
      <c r="AD17" s="8" t="e">
        <v>#VALUE!</v>
      </c>
      <c r="AE17" s="8" t="e">
        <v>#VALUE!</v>
      </c>
      <c r="AF17" s="8" t="e">
        <v>#VALUE!</v>
      </c>
    </row>
    <row r="18" spans="1:32" x14ac:dyDescent="0.25">
      <c r="A18" s="8" t="s">
        <v>47</v>
      </c>
      <c r="B18" s="8" t="e">
        <v>#VALUE!</v>
      </c>
      <c r="C18" s="8"/>
      <c r="D18" s="8" t="e">
        <v>#VALUE!</v>
      </c>
      <c r="E18" s="8" t="e">
        <v>#VALUE!</v>
      </c>
      <c r="F18" s="8">
        <v>969.3874848367667</v>
      </c>
      <c r="G18" s="8">
        <v>1835.3030086326692</v>
      </c>
      <c r="H18" s="8" t="e">
        <v>#VALUE!</v>
      </c>
      <c r="I18" s="8">
        <v>40.799999999999997</v>
      </c>
      <c r="J18" s="8">
        <v>0</v>
      </c>
      <c r="K18" s="8">
        <v>0</v>
      </c>
      <c r="L18" s="8"/>
      <c r="M18" s="8"/>
      <c r="N18" s="8">
        <v>23.79</v>
      </c>
      <c r="O18" s="8">
        <v>23.79</v>
      </c>
      <c r="P18" s="8">
        <v>23.79</v>
      </c>
      <c r="Q18" s="8"/>
      <c r="R18" s="8"/>
      <c r="S18" s="8"/>
      <c r="T18" s="8"/>
      <c r="U18" s="8"/>
      <c r="V18" s="8"/>
      <c r="W18" s="8"/>
      <c r="X18" s="8"/>
      <c r="Y18" s="8"/>
      <c r="Z18" s="8">
        <v>39</v>
      </c>
      <c r="AA18" s="8">
        <v>36.94</v>
      </c>
      <c r="AB18" s="8" t="e">
        <v>#VALUE!</v>
      </c>
      <c r="AC18" s="8" t="e">
        <v>#VALUE!</v>
      </c>
      <c r="AD18" s="8" t="e">
        <v>#VALUE!</v>
      </c>
      <c r="AE18" s="8" t="e">
        <v>#VALUE!</v>
      </c>
      <c r="AF18" s="8" t="e">
        <v>#VALUE!</v>
      </c>
    </row>
    <row r="19" spans="1:32" x14ac:dyDescent="0.25">
      <c r="A19" s="8" t="s">
        <v>48</v>
      </c>
      <c r="B19" s="8" t="e">
        <v>#VALUE!</v>
      </c>
      <c r="C19" s="8"/>
      <c r="D19" s="8" t="e">
        <v>#VALUE!</v>
      </c>
      <c r="E19" s="8" t="e">
        <v>#VALUE!</v>
      </c>
      <c r="F19" s="8">
        <v>113.00691990811126</v>
      </c>
      <c r="G19" s="8">
        <v>1131.4817855799638</v>
      </c>
      <c r="H19" s="8" t="e">
        <v>#VALUE!</v>
      </c>
      <c r="I19" s="8">
        <v>21.61</v>
      </c>
      <c r="J19" s="8">
        <v>0</v>
      </c>
      <c r="K19" s="8">
        <v>0</v>
      </c>
      <c r="L19" s="8">
        <v>186.59</v>
      </c>
      <c r="M19" s="8">
        <v>186.59</v>
      </c>
      <c r="N19" s="8">
        <v>47.15</v>
      </c>
      <c r="O19" s="8">
        <v>491.02</v>
      </c>
      <c r="P19" s="8">
        <v>491.02</v>
      </c>
      <c r="Q19" s="8"/>
      <c r="R19" s="8"/>
      <c r="S19" s="8"/>
      <c r="T19" s="8"/>
      <c r="U19" s="8"/>
      <c r="V19" s="8"/>
      <c r="W19" s="8"/>
      <c r="X19" s="8"/>
      <c r="Y19" s="8"/>
      <c r="Z19" s="8">
        <v>136</v>
      </c>
      <c r="AA19" s="8">
        <v>30.11</v>
      </c>
      <c r="AB19" s="8" t="e">
        <v>#VALUE!</v>
      </c>
      <c r="AC19" s="8" t="e">
        <v>#VALUE!</v>
      </c>
      <c r="AD19" s="8" t="e">
        <v>#VALUE!</v>
      </c>
      <c r="AE19" s="8" t="e">
        <v>#VALUE!</v>
      </c>
      <c r="AF19" s="8" t="e">
        <v>#VALUE!</v>
      </c>
    </row>
    <row r="20" spans="1:32" ht="15.75" thickBot="1" x14ac:dyDescent="0.3">
      <c r="A20" s="17" t="s">
        <v>103</v>
      </c>
      <c r="B20" s="17">
        <v>0</v>
      </c>
      <c r="C20" s="17"/>
      <c r="D20" s="17">
        <v>0</v>
      </c>
      <c r="E20" s="17">
        <v>0</v>
      </c>
      <c r="F20" s="17">
        <v>0</v>
      </c>
      <c r="G20" s="17">
        <v>0</v>
      </c>
      <c r="H20" s="17">
        <v>0</v>
      </c>
      <c r="I20" s="17"/>
      <c r="J20" s="17"/>
      <c r="K20" s="17"/>
      <c r="L20" s="17">
        <v>-682.55</v>
      </c>
      <c r="M20" s="17">
        <v>-682.55</v>
      </c>
      <c r="N20" s="17">
        <v>-820.6</v>
      </c>
      <c r="O20" s="17">
        <v>-820.6</v>
      </c>
      <c r="P20" s="17">
        <v>-820.6</v>
      </c>
      <c r="Q20" s="17"/>
      <c r="R20" s="17"/>
      <c r="S20" s="17"/>
      <c r="T20" s="17"/>
      <c r="U20" s="17"/>
      <c r="V20" s="17"/>
      <c r="W20" s="17"/>
      <c r="X20" s="17"/>
      <c r="Y20" s="17"/>
      <c r="Z20" s="17">
        <v>-978.36</v>
      </c>
      <c r="AA20" s="17">
        <v>-843.6</v>
      </c>
      <c r="AB20" s="17">
        <v>0</v>
      </c>
      <c r="AC20" s="17">
        <v>0</v>
      </c>
      <c r="AD20" s="17">
        <v>0</v>
      </c>
      <c r="AE20" s="17">
        <v>0</v>
      </c>
      <c r="AF20" s="17">
        <v>0</v>
      </c>
    </row>
    <row r="23" spans="1:32" x14ac:dyDescent="0.25">
      <c r="A23" s="54"/>
      <c r="B23" s="54">
        <f>B15/468</f>
        <v>2.6753996780092684E-2</v>
      </c>
      <c r="C23" s="54"/>
      <c r="D23" s="54"/>
      <c r="E23" s="54"/>
      <c r="F23" s="54"/>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row>
    <row r="25" spans="1:32" x14ac:dyDescent="0.25">
      <c r="A25" s="54"/>
      <c r="B25" s="54">
        <v>468</v>
      </c>
      <c r="C25" s="54">
        <f>-B15/B25</f>
        <v>-2.6753996780092684E-2</v>
      </c>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row>
    <row r="26" spans="1:32" x14ac:dyDescent="0.25">
      <c r="A26" s="54"/>
      <c r="B26" s="54"/>
      <c r="C26" s="54">
        <f>B15/B25</f>
        <v>2.6753996780092684E-2</v>
      </c>
      <c r="D26" s="54"/>
      <c r="E26" s="54"/>
      <c r="F26" s="54"/>
      <c r="G26" s="54"/>
      <c r="H26" s="54"/>
      <c r="I26" s="54"/>
      <c r="J26" s="54"/>
      <c r="K26" s="30" t="s">
        <v>104</v>
      </c>
      <c r="L26" s="54"/>
      <c r="M26" s="54"/>
      <c r="N26" s="54"/>
      <c r="O26" s="54"/>
      <c r="P26" s="54"/>
      <c r="Q26" s="54"/>
      <c r="R26" s="54"/>
      <c r="S26" s="54"/>
      <c r="T26" s="54"/>
      <c r="U26" s="54"/>
      <c r="V26" s="54"/>
      <c r="W26" s="54"/>
      <c r="X26" s="54"/>
      <c r="Y26" s="54"/>
      <c r="Z26" s="54"/>
      <c r="AA26" s="54"/>
      <c r="AB26" s="54"/>
      <c r="AC26" s="54"/>
      <c r="AD26" s="54"/>
      <c r="AE26" s="54"/>
      <c r="AF26" s="54"/>
    </row>
  </sheetData>
  <hyperlinks>
    <hyperlink ref="K26" r:id="rId1" location=":~:text=%20How%20to%20make%20dynamic%20drop%20down%20list,To%20get%20entries%20for%20the%20secondary...%20More%20" display="https://www.ablebits.com/office-addins-blog/2020/09/02/create-dynamic-dependent-drop-down-excel/ - :~:text=%20How%20to%20make%20dynamic%20drop%20down%20list,To%20get%20entries%20for%20the%20secondary...%20More%20" xr:uid="{03A16291-CE77-4059-802E-5F27CB20A50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90407-7744-4CFF-B895-52E45D162FD4}">
  <sheetPr>
    <tabColor theme="9" tint="0.59999389629810485"/>
    <pageSetUpPr autoPageBreaks="0"/>
  </sheetPr>
  <dimension ref="A1:M25"/>
  <sheetViews>
    <sheetView tabSelected="1" zoomScale="85" zoomScaleNormal="85" workbookViewId="0">
      <selection activeCell="L2" sqref="L2"/>
    </sheetView>
  </sheetViews>
  <sheetFormatPr defaultRowHeight="15" x14ac:dyDescent="0.25"/>
  <cols>
    <col min="1" max="1" width="3.140625" style="54" customWidth="1"/>
    <col min="2" max="7" width="9" style="54"/>
    <col min="9" max="9" width="25.7109375" style="54" customWidth="1"/>
    <col min="10" max="10" width="107" style="54" customWidth="1"/>
  </cols>
  <sheetData>
    <row r="1" spans="2:13" s="38" customFormat="1" x14ac:dyDescent="0.25">
      <c r="I1" s="205"/>
      <c r="J1" s="205"/>
    </row>
    <row r="2" spans="2:13" ht="172.5" customHeight="1" x14ac:dyDescent="0.25">
      <c r="B2" s="175"/>
      <c r="C2" s="176"/>
      <c r="D2" s="176"/>
      <c r="E2" s="176"/>
      <c r="F2" s="176"/>
      <c r="G2" s="176"/>
      <c r="H2" s="177"/>
      <c r="I2" s="8"/>
      <c r="J2" s="76" t="s">
        <v>105</v>
      </c>
      <c r="K2" s="54"/>
      <c r="L2" s="54"/>
      <c r="M2" s="54"/>
    </row>
    <row r="3" spans="2:13" x14ac:dyDescent="0.25">
      <c r="B3" s="178"/>
      <c r="C3" s="179"/>
      <c r="D3" s="179"/>
      <c r="E3" s="179"/>
      <c r="F3" s="179"/>
      <c r="G3" s="179"/>
      <c r="H3" s="180"/>
      <c r="I3" s="77"/>
      <c r="J3" s="78"/>
      <c r="K3" s="54"/>
      <c r="L3" s="54"/>
      <c r="M3" s="54"/>
    </row>
    <row r="4" spans="2:13" ht="51.75" customHeight="1" x14ac:dyDescent="0.25">
      <c r="B4" s="178"/>
      <c r="C4" s="179"/>
      <c r="D4" s="179"/>
      <c r="E4" s="179"/>
      <c r="F4" s="179"/>
      <c r="G4" s="179"/>
      <c r="H4" s="180"/>
      <c r="I4" s="8"/>
      <c r="J4" s="76" t="s">
        <v>106</v>
      </c>
      <c r="K4" s="54"/>
      <c r="L4" s="54"/>
      <c r="M4" s="54"/>
    </row>
    <row r="5" spans="2:13" s="54" customFormat="1" x14ac:dyDescent="0.25">
      <c r="B5" s="178"/>
      <c r="C5" s="179"/>
      <c r="D5" s="179"/>
      <c r="E5" s="179"/>
      <c r="F5" s="179"/>
      <c r="G5" s="179"/>
      <c r="H5" s="180"/>
      <c r="I5" s="37"/>
      <c r="J5" s="83"/>
    </row>
    <row r="6" spans="2:13" s="54" customFormat="1" ht="72.75" customHeight="1" x14ac:dyDescent="0.25">
      <c r="B6" s="178"/>
      <c r="C6" s="179"/>
      <c r="D6" s="179"/>
      <c r="E6" s="179"/>
      <c r="F6" s="179"/>
      <c r="G6" s="179"/>
      <c r="H6" s="180"/>
      <c r="I6" s="8"/>
      <c r="J6" s="76" t="s">
        <v>107</v>
      </c>
    </row>
    <row r="7" spans="2:13" s="54" customFormat="1" ht="15" customHeight="1" x14ac:dyDescent="0.25">
      <c r="B7" s="178"/>
      <c r="C7" s="179"/>
      <c r="D7" s="179"/>
      <c r="E7" s="179"/>
      <c r="F7" s="179"/>
      <c r="G7" s="179"/>
      <c r="H7" s="180"/>
      <c r="I7" s="37"/>
      <c r="J7" s="83"/>
    </row>
    <row r="8" spans="2:13" s="54" customFormat="1" ht="47.65" customHeight="1" x14ac:dyDescent="0.25">
      <c r="B8" s="181"/>
      <c r="C8" s="182"/>
      <c r="D8" s="182"/>
      <c r="E8" s="182"/>
      <c r="F8" s="182"/>
      <c r="G8" s="182"/>
      <c r="H8" s="183"/>
      <c r="I8" s="8"/>
      <c r="J8" s="76" t="s">
        <v>437</v>
      </c>
      <c r="M8" s="54" t="s">
        <v>108</v>
      </c>
    </row>
    <row r="9" spans="2:13" x14ac:dyDescent="0.25">
      <c r="H9" s="54"/>
      <c r="I9" s="38"/>
      <c r="J9" s="38"/>
      <c r="K9" s="54"/>
      <c r="L9" s="54"/>
      <c r="M9" s="54"/>
    </row>
    <row r="11" spans="2:13" ht="46.5" customHeight="1" x14ac:dyDescent="0.25">
      <c r="B11" s="320" t="s">
        <v>438</v>
      </c>
      <c r="C11" s="320"/>
      <c r="D11" s="320"/>
      <c r="E11" s="320"/>
      <c r="F11" s="320"/>
      <c r="G11" s="320"/>
      <c r="H11" s="320"/>
      <c r="I11" s="320"/>
      <c r="J11" s="320"/>
      <c r="K11" s="54"/>
      <c r="L11" s="54"/>
      <c r="M11" s="54"/>
    </row>
    <row r="12" spans="2:13" x14ac:dyDescent="0.25">
      <c r="B12" s="79"/>
      <c r="H12" s="54"/>
      <c r="K12" s="54"/>
      <c r="L12" s="54"/>
      <c r="M12" s="54"/>
    </row>
    <row r="13" spans="2:13" x14ac:dyDescent="0.25">
      <c r="B13" s="80" t="s">
        <v>109</v>
      </c>
      <c r="H13" s="54"/>
      <c r="K13" s="54"/>
      <c r="L13" s="54"/>
      <c r="M13" s="54"/>
    </row>
    <row r="14" spans="2:13" ht="15.75" x14ac:dyDescent="0.3">
      <c r="B14" s="81" t="s">
        <v>110</v>
      </c>
      <c r="H14" s="54"/>
      <c r="K14" s="54"/>
      <c r="L14" s="54"/>
      <c r="M14" s="54"/>
    </row>
    <row r="15" spans="2:13" ht="15.75" x14ac:dyDescent="0.3">
      <c r="B15" s="54" t="s">
        <v>111</v>
      </c>
      <c r="H15" s="54"/>
      <c r="I15" s="82"/>
      <c r="K15" s="54"/>
      <c r="L15" s="54"/>
      <c r="M15" s="54"/>
    </row>
    <row r="16" spans="2:13" ht="15.75" x14ac:dyDescent="0.3">
      <c r="H16" s="54"/>
      <c r="I16" s="82"/>
      <c r="K16" s="54"/>
      <c r="L16" s="54"/>
      <c r="M16" s="54"/>
    </row>
    <row r="17" spans="9:10" ht="15.75" x14ac:dyDescent="0.3">
      <c r="I17" s="81"/>
    </row>
    <row r="18" spans="9:10" ht="15.75" x14ac:dyDescent="0.3">
      <c r="I18" s="82"/>
    </row>
    <row r="19" spans="9:10" ht="15.75" x14ac:dyDescent="0.3">
      <c r="I19" s="82"/>
    </row>
    <row r="20" spans="9:10" ht="15.75" x14ac:dyDescent="0.3">
      <c r="I20" s="81"/>
    </row>
    <row r="21" spans="9:10" ht="15.75" x14ac:dyDescent="0.3">
      <c r="I21" s="82"/>
    </row>
    <row r="22" spans="9:10" ht="15.75" x14ac:dyDescent="0.3">
      <c r="I22" s="81"/>
      <c r="J22" s="81"/>
    </row>
    <row r="23" spans="9:10" ht="15.75" x14ac:dyDescent="0.3">
      <c r="I23" s="82"/>
      <c r="J23" s="81"/>
    </row>
    <row r="24" spans="9:10" ht="15.75" x14ac:dyDescent="0.3">
      <c r="I24" s="81"/>
      <c r="J24" s="81"/>
    </row>
    <row r="25" spans="9:10" ht="15.75" x14ac:dyDescent="0.3">
      <c r="I25" s="82"/>
      <c r="J25" s="81"/>
    </row>
  </sheetData>
  <mergeCells count="1">
    <mergeCell ref="B11:J11"/>
  </mergeCells>
  <pageMargins left="0.7" right="0.7" top="0.75" bottom="0.75" header="0.3" footer="0.3"/>
  <pageSetup orientation="portrait" horizontalDpi="360" verticalDpi="36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E4DA1-8AFF-4158-8288-5EF235680113}">
  <sheetPr>
    <tabColor theme="9" tint="0.59999389629810485"/>
  </sheetPr>
  <dimension ref="A1:I33"/>
  <sheetViews>
    <sheetView workbookViewId="0">
      <selection activeCell="D39" sqref="D39"/>
    </sheetView>
  </sheetViews>
  <sheetFormatPr defaultRowHeight="15" x14ac:dyDescent="0.25"/>
  <cols>
    <col min="1" max="1" width="4.85546875" style="7" customWidth="1"/>
    <col min="2" max="9" width="9" style="84"/>
  </cols>
  <sheetData>
    <row r="1" spans="2:9" x14ac:dyDescent="0.25">
      <c r="B1" s="322"/>
      <c r="C1" s="322"/>
      <c r="D1" s="322"/>
      <c r="E1" s="322"/>
      <c r="F1" s="322"/>
      <c r="G1" s="322"/>
      <c r="H1" s="322"/>
      <c r="I1" s="322"/>
    </row>
    <row r="2" spans="2:9" x14ac:dyDescent="0.25">
      <c r="B2" s="322"/>
      <c r="C2" s="322"/>
      <c r="D2" s="322"/>
      <c r="E2" s="322"/>
      <c r="F2" s="322"/>
      <c r="G2" s="322"/>
      <c r="H2" s="322"/>
      <c r="I2" s="322"/>
    </row>
    <row r="3" spans="2:9" x14ac:dyDescent="0.25">
      <c r="B3" s="322"/>
      <c r="C3" s="322"/>
      <c r="D3" s="322"/>
      <c r="E3" s="322"/>
      <c r="F3" s="322"/>
      <c r="G3" s="322"/>
      <c r="H3" s="322"/>
      <c r="I3" s="322"/>
    </row>
    <row r="4" spans="2:9" x14ac:dyDescent="0.25">
      <c r="B4" s="322"/>
      <c r="C4" s="322"/>
      <c r="D4" s="322"/>
      <c r="E4" s="322"/>
      <c r="F4" s="322"/>
      <c r="G4" s="322"/>
      <c r="H4" s="322"/>
      <c r="I4" s="322"/>
    </row>
    <row r="5" spans="2:9" x14ac:dyDescent="0.25">
      <c r="B5" s="322"/>
      <c r="C5" s="322"/>
      <c r="D5" s="322"/>
      <c r="E5" s="322"/>
      <c r="F5" s="322"/>
      <c r="G5" s="322"/>
      <c r="H5" s="322"/>
      <c r="I5" s="322"/>
    </row>
    <row r="6" spans="2:9" x14ac:dyDescent="0.25">
      <c r="B6" s="322"/>
      <c r="C6" s="322"/>
      <c r="D6" s="322"/>
      <c r="E6" s="322"/>
      <c r="F6" s="322"/>
      <c r="G6" s="322"/>
      <c r="H6" s="322"/>
      <c r="I6" s="322"/>
    </row>
    <row r="7" spans="2:9" x14ac:dyDescent="0.25">
      <c r="B7" s="322"/>
      <c r="C7" s="322"/>
      <c r="D7" s="322"/>
      <c r="E7" s="322"/>
      <c r="F7" s="322"/>
      <c r="G7" s="322"/>
      <c r="H7" s="322"/>
      <c r="I7" s="322"/>
    </row>
    <row r="8" spans="2:9" x14ac:dyDescent="0.25">
      <c r="B8" s="322"/>
      <c r="C8" s="322"/>
      <c r="D8" s="322"/>
      <c r="E8" s="322"/>
      <c r="F8" s="322"/>
      <c r="G8" s="322"/>
      <c r="H8" s="322"/>
      <c r="I8" s="322"/>
    </row>
    <row r="9" spans="2:9" x14ac:dyDescent="0.25">
      <c r="B9" s="322"/>
      <c r="C9" s="322"/>
      <c r="D9" s="322"/>
      <c r="E9" s="322"/>
      <c r="F9" s="322"/>
      <c r="G9" s="322"/>
      <c r="H9" s="322"/>
      <c r="I9" s="322"/>
    </row>
    <row r="10" spans="2:9" x14ac:dyDescent="0.25">
      <c r="B10" s="322"/>
      <c r="C10" s="322"/>
      <c r="D10" s="322"/>
      <c r="E10" s="322"/>
      <c r="F10" s="322"/>
      <c r="G10" s="322"/>
      <c r="H10" s="322"/>
      <c r="I10" s="322"/>
    </row>
    <row r="11" spans="2:9" x14ac:dyDescent="0.25">
      <c r="B11" s="322"/>
      <c r="C11" s="322"/>
      <c r="D11" s="322"/>
      <c r="E11" s="322"/>
      <c r="F11" s="322"/>
      <c r="G11" s="322"/>
      <c r="H11" s="322"/>
      <c r="I11" s="322"/>
    </row>
    <row r="12" spans="2:9" x14ac:dyDescent="0.25">
      <c r="B12" s="322"/>
      <c r="C12" s="322"/>
      <c r="D12" s="322"/>
      <c r="E12" s="322"/>
      <c r="F12" s="322"/>
      <c r="G12" s="322"/>
      <c r="H12" s="322"/>
      <c r="I12" s="322"/>
    </row>
    <row r="13" spans="2:9" x14ac:dyDescent="0.25">
      <c r="B13" s="322"/>
      <c r="C13" s="322"/>
      <c r="D13" s="322"/>
      <c r="E13" s="322"/>
      <c r="F13" s="322"/>
      <c r="G13" s="322"/>
      <c r="H13" s="322"/>
      <c r="I13" s="322"/>
    </row>
    <row r="14" spans="2:9" x14ac:dyDescent="0.25">
      <c r="B14" s="322"/>
      <c r="C14" s="322"/>
      <c r="D14" s="322"/>
      <c r="E14" s="322"/>
      <c r="F14" s="322"/>
      <c r="G14" s="322"/>
      <c r="H14" s="322"/>
      <c r="I14" s="322"/>
    </row>
    <row r="15" spans="2:9" x14ac:dyDescent="0.25">
      <c r="B15" s="322"/>
      <c r="C15" s="322"/>
      <c r="D15" s="322"/>
      <c r="E15" s="322"/>
      <c r="F15" s="322"/>
      <c r="G15" s="322"/>
      <c r="H15" s="322"/>
      <c r="I15" s="322"/>
    </row>
    <row r="16" spans="2:9" x14ac:dyDescent="0.25">
      <c r="B16" s="322"/>
      <c r="C16" s="322"/>
      <c r="D16" s="322"/>
      <c r="E16" s="322"/>
      <c r="F16" s="322"/>
      <c r="G16" s="322"/>
      <c r="H16" s="322"/>
      <c r="I16" s="322"/>
    </row>
    <row r="17" spans="1:9" x14ac:dyDescent="0.25">
      <c r="B17" s="322"/>
      <c r="C17" s="322"/>
      <c r="D17" s="322"/>
      <c r="E17" s="322"/>
      <c r="F17" s="322"/>
      <c r="G17" s="322"/>
      <c r="H17" s="322"/>
      <c r="I17" s="322"/>
    </row>
    <row r="18" spans="1:9" s="54" customFormat="1" x14ac:dyDescent="0.25">
      <c r="A18" s="7"/>
      <c r="B18" s="84"/>
      <c r="C18" s="84"/>
      <c r="D18" s="84"/>
      <c r="E18" s="84"/>
      <c r="F18" s="84"/>
      <c r="G18" s="84"/>
      <c r="H18" s="84"/>
      <c r="I18" s="84"/>
    </row>
    <row r="19" spans="1:9" ht="24.75" customHeight="1" x14ac:dyDescent="0.25">
      <c r="B19" s="324" t="s">
        <v>439</v>
      </c>
      <c r="C19" s="324"/>
      <c r="D19" s="324"/>
      <c r="E19" s="324"/>
      <c r="F19" s="324"/>
      <c r="G19" s="324"/>
      <c r="H19" s="324"/>
      <c r="I19" s="324"/>
    </row>
    <row r="20" spans="1:9" s="54" customFormat="1" x14ac:dyDescent="0.25">
      <c r="A20" s="7"/>
      <c r="B20" s="283"/>
      <c r="C20" s="84"/>
      <c r="D20" s="84"/>
      <c r="E20" s="84"/>
      <c r="F20" s="84"/>
      <c r="G20" s="84"/>
      <c r="H20" s="84"/>
      <c r="I20" s="84"/>
    </row>
    <row r="21" spans="1:9" ht="269.25" customHeight="1" x14ac:dyDescent="0.25">
      <c r="B21" s="321" t="s">
        <v>112</v>
      </c>
      <c r="C21" s="321"/>
      <c r="D21" s="321"/>
      <c r="E21" s="321"/>
      <c r="F21" s="321"/>
      <c r="G21" s="321"/>
      <c r="H21" s="321"/>
      <c r="I21" s="321"/>
    </row>
    <row r="22" spans="1:9" x14ac:dyDescent="0.25">
      <c r="A22" s="58"/>
      <c r="B22" s="282"/>
      <c r="C22" s="282"/>
      <c r="D22" s="282"/>
      <c r="E22" s="282"/>
      <c r="F22" s="282"/>
      <c r="G22" s="282"/>
      <c r="H22" s="282"/>
      <c r="I22" s="282"/>
    </row>
    <row r="23" spans="1:9" x14ac:dyDescent="0.25">
      <c r="A23" s="58"/>
      <c r="B23" s="84" t="s">
        <v>113</v>
      </c>
    </row>
    <row r="24" spans="1:9" x14ac:dyDescent="0.25">
      <c r="A24" s="58"/>
    </row>
    <row r="25" spans="1:9" x14ac:dyDescent="0.25">
      <c r="A25" s="58"/>
    </row>
    <row r="26" spans="1:9" x14ac:dyDescent="0.25">
      <c r="A26" s="58"/>
    </row>
    <row r="27" spans="1:9" x14ac:dyDescent="0.25">
      <c r="A27" s="58"/>
      <c r="B27" s="323"/>
      <c r="C27" s="323"/>
      <c r="D27" s="323"/>
      <c r="E27" s="323"/>
      <c r="F27" s="323"/>
      <c r="G27" s="323"/>
      <c r="H27" s="323"/>
      <c r="I27" s="323"/>
    </row>
    <row r="28" spans="1:9" x14ac:dyDescent="0.25">
      <c r="A28" s="58"/>
    </row>
    <row r="29" spans="1:9" x14ac:dyDescent="0.25">
      <c r="A29" s="58"/>
    </row>
    <row r="30" spans="1:9" x14ac:dyDescent="0.25">
      <c r="A30" s="58"/>
    </row>
    <row r="33" spans="2:9" ht="29.25" customHeight="1" x14ac:dyDescent="0.25">
      <c r="B33" s="324" t="s">
        <v>439</v>
      </c>
      <c r="C33" s="324"/>
      <c r="D33" s="324"/>
      <c r="E33" s="324"/>
      <c r="F33" s="324"/>
      <c r="G33" s="324"/>
      <c r="H33" s="324"/>
      <c r="I33" s="324"/>
    </row>
  </sheetData>
  <mergeCells count="5">
    <mergeCell ref="B21:I21"/>
    <mergeCell ref="B1:I17"/>
    <mergeCell ref="B27:I27"/>
    <mergeCell ref="B19:I19"/>
    <mergeCell ref="B33:I3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9F75B-0ED3-418A-8F3E-D9963FAAF5BB}">
  <sheetPr>
    <tabColor theme="9" tint="0.59999389629810485"/>
    <pageSetUpPr autoPageBreaks="0"/>
  </sheetPr>
  <dimension ref="A1:O115"/>
  <sheetViews>
    <sheetView zoomScale="70" zoomScaleNormal="70" workbookViewId="0">
      <selection activeCell="D3" sqref="D3"/>
    </sheetView>
  </sheetViews>
  <sheetFormatPr defaultRowHeight="15" x14ac:dyDescent="0.25"/>
  <cols>
    <col min="1" max="1" width="3.7109375" customWidth="1"/>
    <col min="2" max="2" width="25.5703125" customWidth="1"/>
    <col min="3" max="3" width="25.7109375" customWidth="1"/>
    <col min="4" max="4" width="25.7109375" style="54" customWidth="1"/>
    <col min="5" max="5" width="10.28515625" customWidth="1"/>
    <col min="6" max="6" width="7.7109375" customWidth="1"/>
    <col min="7" max="7" width="9.85546875" style="54" customWidth="1"/>
    <col min="8" max="8" width="11" customWidth="1"/>
    <col min="9" max="9" width="13" customWidth="1"/>
    <col min="10" max="10" width="15.85546875" customWidth="1"/>
    <col min="11" max="11" width="11.42578125" customWidth="1"/>
    <col min="12" max="12" width="13.85546875" customWidth="1"/>
    <col min="13" max="13" width="15.5703125" customWidth="1"/>
    <col min="14" max="14" width="17.140625" customWidth="1"/>
    <col min="15" max="15" width="12.28515625" customWidth="1"/>
  </cols>
  <sheetData>
    <row r="1" spans="1:15" s="54" customFormat="1" x14ac:dyDescent="0.25"/>
    <row r="2" spans="1:15" s="54" customFormat="1" x14ac:dyDescent="0.25"/>
    <row r="3" spans="1:15" s="54" customFormat="1" x14ac:dyDescent="0.25"/>
    <row r="4" spans="1:15" s="54" customFormat="1" x14ac:dyDescent="0.25">
      <c r="C4" s="65"/>
    </row>
    <row r="5" spans="1:15" s="54" customFormat="1" x14ac:dyDescent="0.25"/>
    <row r="6" spans="1:15" s="54" customFormat="1" x14ac:dyDescent="0.25"/>
    <row r="7" spans="1:15" ht="15.75" thickBot="1" x14ac:dyDescent="0.3">
      <c r="A7" s="54"/>
      <c r="B7" s="54"/>
      <c r="C7" s="54"/>
      <c r="E7" s="54"/>
      <c r="F7" s="54"/>
      <c r="H7" s="54"/>
      <c r="I7" s="54"/>
      <c r="J7" s="54"/>
      <c r="K7" s="54"/>
      <c r="L7" s="54"/>
      <c r="M7" s="54"/>
      <c r="N7" s="54"/>
      <c r="O7" s="54"/>
    </row>
    <row r="8" spans="1:15" ht="36.75" thickBot="1" x14ac:dyDescent="0.6">
      <c r="A8" s="54"/>
      <c r="B8" s="364" t="s">
        <v>114</v>
      </c>
      <c r="C8" s="365"/>
      <c r="D8" s="138"/>
      <c r="E8" s="59"/>
      <c r="F8" s="59"/>
      <c r="G8" s="74" t="s">
        <v>115</v>
      </c>
      <c r="H8" s="75"/>
      <c r="I8" s="54"/>
      <c r="J8" s="54"/>
      <c r="K8" s="54"/>
      <c r="L8" s="360" t="s">
        <v>116</v>
      </c>
      <c r="M8" s="361"/>
      <c r="N8" s="362">
        <f>O28</f>
        <v>0</v>
      </c>
      <c r="O8" s="363"/>
    </row>
    <row r="9" spans="1:15" s="54" customFormat="1" ht="14.65" customHeight="1" x14ac:dyDescent="0.55000000000000004">
      <c r="A9" s="38"/>
      <c r="B9" s="317" t="s">
        <v>117</v>
      </c>
      <c r="C9" s="318" t="s">
        <v>118</v>
      </c>
      <c r="D9" s="73"/>
      <c r="E9" s="69"/>
      <c r="F9" s="70"/>
      <c r="G9" s="63"/>
      <c r="H9" s="64"/>
      <c r="I9" s="65"/>
      <c r="J9" s="65"/>
      <c r="K9" s="65"/>
      <c r="L9" s="66"/>
      <c r="M9" s="66"/>
      <c r="N9" s="67"/>
      <c r="O9" s="68"/>
    </row>
    <row r="10" spans="1:15" ht="15.75" thickBot="1" x14ac:dyDescent="0.3">
      <c r="A10" s="54"/>
      <c r="B10" s="54"/>
      <c r="C10" s="54"/>
      <c r="E10" s="54"/>
      <c r="F10" s="54"/>
      <c r="H10" s="54"/>
      <c r="I10" s="54"/>
      <c r="J10" s="54"/>
      <c r="K10" s="54"/>
      <c r="L10" s="54"/>
      <c r="M10" s="54"/>
      <c r="N10" s="54"/>
      <c r="O10" s="54"/>
    </row>
    <row r="11" spans="1:15" ht="57" customHeight="1" x14ac:dyDescent="0.45">
      <c r="A11" s="54"/>
      <c r="B11" s="396" t="s">
        <v>119</v>
      </c>
      <c r="C11" s="397"/>
      <c r="D11" s="397"/>
      <c r="E11" s="398"/>
      <c r="F11" s="54"/>
      <c r="H11" s="54"/>
      <c r="I11" s="54"/>
      <c r="J11" s="54"/>
      <c r="K11" s="54"/>
      <c r="L11" s="54"/>
      <c r="M11" s="54"/>
      <c r="N11" s="54"/>
      <c r="O11" s="54"/>
    </row>
    <row r="12" spans="1:15" x14ac:dyDescent="0.25">
      <c r="A12" s="54"/>
      <c r="B12" s="375"/>
      <c r="C12" s="376"/>
      <c r="D12" s="376"/>
      <c r="E12" s="377"/>
      <c r="F12" s="54"/>
      <c r="H12" s="54"/>
      <c r="I12" s="54"/>
      <c r="J12" s="54"/>
      <c r="K12" s="54"/>
      <c r="L12" s="54"/>
      <c r="M12" s="54"/>
      <c r="N12" s="54"/>
      <c r="O12" s="54"/>
    </row>
    <row r="13" spans="1:15" ht="14.25" customHeight="1" x14ac:dyDescent="0.25">
      <c r="A13" s="54"/>
      <c r="B13" s="378" t="s">
        <v>120</v>
      </c>
      <c r="C13" s="379"/>
      <c r="D13" s="379"/>
      <c r="E13" s="380"/>
      <c r="F13" s="54"/>
      <c r="H13" s="54"/>
      <c r="I13" s="54"/>
      <c r="J13" s="54"/>
      <c r="K13" s="54"/>
      <c r="L13" s="54"/>
      <c r="M13" s="54"/>
      <c r="N13" s="54"/>
      <c r="O13" s="54"/>
    </row>
    <row r="14" spans="1:15" x14ac:dyDescent="0.25">
      <c r="A14" s="54"/>
      <c r="B14" s="357"/>
      <c r="C14" s="358"/>
      <c r="D14" s="358"/>
      <c r="E14" s="359"/>
      <c r="F14" s="54"/>
      <c r="H14" s="54"/>
      <c r="I14" s="54"/>
      <c r="J14" s="54"/>
      <c r="K14" s="54"/>
      <c r="L14" s="54"/>
      <c r="M14" s="54"/>
      <c r="N14" s="54"/>
      <c r="O14" s="54"/>
    </row>
    <row r="15" spans="1:15" x14ac:dyDescent="0.25">
      <c r="A15" s="54"/>
      <c r="B15" s="375"/>
      <c r="C15" s="376"/>
      <c r="D15" s="376"/>
      <c r="E15" s="377"/>
      <c r="F15" s="54"/>
      <c r="H15" s="54"/>
      <c r="I15" s="54"/>
      <c r="J15" s="54"/>
      <c r="K15" s="54"/>
      <c r="L15" s="54"/>
      <c r="M15" s="54"/>
      <c r="N15" s="54"/>
      <c r="O15" s="54"/>
    </row>
    <row r="16" spans="1:15" s="21" customFormat="1" ht="14.25" customHeight="1" x14ac:dyDescent="0.25">
      <c r="A16" s="54"/>
      <c r="B16" s="378" t="s">
        <v>121</v>
      </c>
      <c r="C16" s="379"/>
      <c r="D16" s="379"/>
      <c r="E16" s="380"/>
      <c r="F16" s="54"/>
      <c r="G16" s="54"/>
      <c r="H16" s="54"/>
      <c r="I16" s="54"/>
      <c r="J16" s="54"/>
      <c r="K16" s="54"/>
      <c r="L16" s="54"/>
      <c r="M16" s="54"/>
      <c r="N16" s="54"/>
      <c r="O16" s="54"/>
    </row>
    <row r="17" spans="2:15" s="54" customFormat="1" ht="15.75" x14ac:dyDescent="0.25">
      <c r="B17" s="378"/>
      <c r="C17" s="379"/>
      <c r="D17" s="379"/>
      <c r="E17" s="380"/>
    </row>
    <row r="18" spans="2:15" s="21" customFormat="1" x14ac:dyDescent="0.25">
      <c r="B18" s="375" t="s">
        <v>122</v>
      </c>
      <c r="C18" s="376"/>
      <c r="D18" s="376"/>
      <c r="E18" s="377"/>
      <c r="F18" s="54"/>
      <c r="G18" s="54"/>
      <c r="H18" s="54"/>
      <c r="I18" s="54"/>
      <c r="J18" s="54"/>
      <c r="K18" s="54"/>
      <c r="L18" s="54"/>
      <c r="M18" s="54"/>
      <c r="N18" s="54"/>
      <c r="O18" s="54"/>
    </row>
    <row r="19" spans="2:15" s="21" customFormat="1" x14ac:dyDescent="0.25">
      <c r="B19" s="357"/>
      <c r="C19" s="358"/>
      <c r="D19" s="358"/>
      <c r="E19" s="359"/>
      <c r="F19" s="54"/>
      <c r="G19" s="54"/>
      <c r="H19" s="54"/>
      <c r="I19" s="54"/>
      <c r="J19" s="54"/>
      <c r="K19" s="54"/>
      <c r="L19" s="54"/>
      <c r="M19" s="54"/>
      <c r="N19" s="54"/>
      <c r="O19" s="54"/>
    </row>
    <row r="20" spans="2:15" s="54" customFormat="1" x14ac:dyDescent="0.25">
      <c r="B20" s="375"/>
      <c r="C20" s="376"/>
      <c r="D20" s="376"/>
      <c r="E20" s="377"/>
    </row>
    <row r="21" spans="2:15" s="21" customFormat="1" x14ac:dyDescent="0.25">
      <c r="B21" s="375" t="s">
        <v>123</v>
      </c>
      <c r="C21" s="376"/>
      <c r="D21" s="376"/>
      <c r="E21" s="377"/>
      <c r="F21" s="54"/>
      <c r="G21" s="54"/>
      <c r="H21" s="54"/>
      <c r="I21" s="54"/>
      <c r="J21" s="54"/>
      <c r="K21" s="54"/>
      <c r="L21" s="54"/>
      <c r="M21" s="54"/>
      <c r="N21" s="54"/>
      <c r="O21" s="54"/>
    </row>
    <row r="22" spans="2:15" s="21" customFormat="1" x14ac:dyDescent="0.25">
      <c r="B22" s="357"/>
      <c r="C22" s="358"/>
      <c r="D22" s="358"/>
      <c r="E22" s="359"/>
      <c r="F22" s="54"/>
      <c r="G22" s="54"/>
      <c r="H22" s="54"/>
      <c r="I22" s="54"/>
      <c r="J22" s="54"/>
      <c r="K22" s="54"/>
      <c r="L22" s="54"/>
      <c r="M22" s="54"/>
      <c r="N22" s="54"/>
      <c r="O22" s="54"/>
    </row>
    <row r="23" spans="2:15" s="21" customFormat="1" x14ac:dyDescent="0.25">
      <c r="B23" s="375"/>
      <c r="C23" s="376"/>
      <c r="D23" s="376"/>
      <c r="E23" s="377"/>
      <c r="F23" s="54"/>
      <c r="G23" s="54"/>
      <c r="H23" s="54"/>
      <c r="I23" s="54"/>
      <c r="J23" s="54"/>
      <c r="K23" s="54"/>
      <c r="L23" s="54"/>
      <c r="M23" s="54"/>
      <c r="N23" s="54"/>
      <c r="O23" s="54"/>
    </row>
    <row r="24" spans="2:15" s="21" customFormat="1" x14ac:dyDescent="0.25">
      <c r="B24" s="375" t="s">
        <v>124</v>
      </c>
      <c r="C24" s="376"/>
      <c r="D24" s="376"/>
      <c r="E24" s="377"/>
      <c r="F24" s="54"/>
      <c r="G24" s="54"/>
      <c r="H24" s="54"/>
      <c r="I24" s="54"/>
      <c r="J24" s="54"/>
      <c r="K24" s="54"/>
      <c r="L24" s="54"/>
      <c r="M24" s="54"/>
      <c r="N24" s="54"/>
      <c r="O24" s="54"/>
    </row>
    <row r="25" spans="2:15" s="21" customFormat="1" ht="15.75" thickBot="1" x14ac:dyDescent="0.3">
      <c r="B25" s="387" t="str">
        <f>IF(B19="cubic yards",B22*0.76455486,IF(B19="cubic foot",B22*0.02831685,IF(B19="board feet",B22*0.00235974,IF(B19="meters cubed",B22,"NA"))))</f>
        <v>NA</v>
      </c>
      <c r="C25" s="388"/>
      <c r="D25" s="388"/>
      <c r="E25" s="389"/>
      <c r="F25" s="54"/>
      <c r="G25" s="54"/>
      <c r="H25" s="54"/>
      <c r="I25" s="54"/>
      <c r="J25" s="54"/>
      <c r="K25" s="54"/>
      <c r="L25" s="54"/>
      <c r="M25" s="54"/>
      <c r="N25" s="54"/>
      <c r="O25" s="54"/>
    </row>
    <row r="26" spans="2:15" s="21" customFormat="1" ht="10.9" customHeight="1" thickBot="1" x14ac:dyDescent="0.3">
      <c r="B26" s="55"/>
      <c r="C26" s="55"/>
      <c r="D26" s="55"/>
      <c r="E26" s="54"/>
      <c r="F26" s="54"/>
      <c r="G26" s="54"/>
      <c r="H26" s="54"/>
      <c r="I26" s="54"/>
      <c r="J26" s="54"/>
      <c r="K26" s="54"/>
      <c r="L26" s="54"/>
      <c r="M26" s="54"/>
      <c r="N26" s="54"/>
      <c r="O26" s="54"/>
    </row>
    <row r="27" spans="2:15" ht="54.75" customHeight="1" thickTop="1" x14ac:dyDescent="0.45">
      <c r="B27" s="353" t="s">
        <v>125</v>
      </c>
      <c r="C27" s="354"/>
      <c r="D27" s="354"/>
      <c r="E27" s="355"/>
      <c r="F27" s="54"/>
      <c r="G27" s="150" t="s">
        <v>126</v>
      </c>
      <c r="H27" s="151" t="s">
        <v>127</v>
      </c>
      <c r="I27" s="151" t="s">
        <v>128</v>
      </c>
      <c r="J27" s="151" t="s">
        <v>129</v>
      </c>
      <c r="K27" s="151" t="s">
        <v>130</v>
      </c>
      <c r="L27" s="151" t="s">
        <v>131</v>
      </c>
      <c r="M27" s="151" t="s">
        <v>132</v>
      </c>
      <c r="N27" s="151" t="s">
        <v>58</v>
      </c>
      <c r="O27" s="152" t="s">
        <v>133</v>
      </c>
    </row>
    <row r="28" spans="2:15" ht="30" x14ac:dyDescent="0.25">
      <c r="B28" s="331" t="s">
        <v>134</v>
      </c>
      <c r="C28" s="332"/>
      <c r="D28" s="332"/>
      <c r="E28" s="333"/>
      <c r="F28" s="54"/>
      <c r="G28" s="153" t="s">
        <v>135</v>
      </c>
      <c r="H28" s="217">
        <f>IF(B94="no",0,IF(B94="",0,'A0 Factors'!P6))</f>
        <v>0</v>
      </c>
      <c r="I28" s="258">
        <f>IF(B39="no",0,IF(B39="",0,IF(B107="yes",'Calculation Factors m3 trans'!C3*B25+'Calculation Factors m3 trans'!C3*B25*B111,'Calculation Factors m3 trans'!C3*B25)))</f>
        <v>0</v>
      </c>
      <c r="J28" s="258">
        <f>IF(B39="no",0,IF(B39="",0,B25*'Calculation Factors m3 trans'!E3))</f>
        <v>0</v>
      </c>
      <c r="K28" s="258">
        <f>IF(B53="",0,IF(B53="yes",'transportation factors'!F15,IF(B53="no",'transportation factors'!F13,"NA")))</f>
        <v>0</v>
      </c>
      <c r="L28" s="258">
        <f>IF(B67="no",0,IF(B67="",0,B25*'Calculation Factors m3 trans'!F3))</f>
        <v>0</v>
      </c>
      <c r="M28" s="258">
        <f>IF(B67="no",0,IF(B67="",0,B25*'Calculation Factors m3 trans'!J3))</f>
        <v>0</v>
      </c>
      <c r="N28" s="258">
        <f>IF(B88="no",0,IF(B88="",0,IF(B70="",0,B25*'Calculation Factors m3 trans'!K3)))</f>
        <v>0</v>
      </c>
      <c r="O28" s="259">
        <f>SUM(I28:N28)</f>
        <v>0</v>
      </c>
    </row>
    <row r="29" spans="2:15" s="54" customFormat="1" x14ac:dyDescent="0.25">
      <c r="B29" s="357"/>
      <c r="C29" s="358"/>
      <c r="D29" s="358"/>
      <c r="E29" s="359"/>
      <c r="G29" s="343" t="s">
        <v>1</v>
      </c>
      <c r="H29" s="345" t="str">
        <f>IF(H28=0,"NA",B97)</f>
        <v>NA</v>
      </c>
      <c r="I29" s="339" t="str">
        <f>IF(I28=0,"NA",B45)</f>
        <v>NA</v>
      </c>
      <c r="J29" s="339" t="str">
        <f>IF(J28=0,"NA",B45)</f>
        <v>NA</v>
      </c>
      <c r="K29" s="339" t="str">
        <f>IF(K28=0,"NA",IF(B57="yes","Tally default distance and LCIs","Custom distance, Tally LCIs"))</f>
        <v>NA</v>
      </c>
      <c r="L29" s="339" t="str">
        <f>IF(L28=0,"NA",B48&amp;"-"&amp;B70&amp;"-"&amp;B73)</f>
        <v>NA</v>
      </c>
      <c r="M29" s="339" t="str">
        <f>IF(M28=0,"NA",B70&amp;"-"&amp;B73)</f>
        <v>NA</v>
      </c>
      <c r="N29" s="339" t="str">
        <f>IF(N28=0,"NA",B70&amp;"-"&amp;B73)</f>
        <v>NA</v>
      </c>
      <c r="O29" s="334" t="s">
        <v>137</v>
      </c>
    </row>
    <row r="30" spans="2:15" s="54" customFormat="1" x14ac:dyDescent="0.25">
      <c r="B30" s="39"/>
      <c r="C30" s="38"/>
      <c r="D30" s="38"/>
      <c r="E30" s="40"/>
      <c r="G30" s="343"/>
      <c r="H30" s="345"/>
      <c r="I30" s="339"/>
      <c r="J30" s="339"/>
      <c r="K30" s="339"/>
      <c r="L30" s="339"/>
      <c r="M30" s="339"/>
      <c r="N30" s="339"/>
      <c r="O30" s="334"/>
    </row>
    <row r="31" spans="2:15" ht="15.75" customHeight="1" x14ac:dyDescent="0.25">
      <c r="B31" s="39" t="s">
        <v>138</v>
      </c>
      <c r="C31" s="38"/>
      <c r="D31" s="38"/>
      <c r="E31" s="40"/>
      <c r="F31" s="54"/>
      <c r="G31" s="343"/>
      <c r="H31" s="345"/>
      <c r="I31" s="339"/>
      <c r="J31" s="339"/>
      <c r="K31" s="339"/>
      <c r="L31" s="339"/>
      <c r="M31" s="339"/>
      <c r="N31" s="339"/>
      <c r="O31" s="334"/>
    </row>
    <row r="32" spans="2:15" x14ac:dyDescent="0.25">
      <c r="B32" s="357"/>
      <c r="C32" s="358"/>
      <c r="D32" s="358"/>
      <c r="E32" s="40" t="s">
        <v>139</v>
      </c>
      <c r="F32" s="54"/>
      <c r="G32" s="343"/>
      <c r="H32" s="345"/>
      <c r="I32" s="339"/>
      <c r="J32" s="339"/>
      <c r="K32" s="339"/>
      <c r="L32" s="339"/>
      <c r="M32" s="339"/>
      <c r="N32" s="339"/>
      <c r="O32" s="334"/>
    </row>
    <row r="33" spans="2:15" x14ac:dyDescent="0.25">
      <c r="B33" s="383"/>
      <c r="C33" s="384"/>
      <c r="D33" s="384"/>
      <c r="E33" s="385"/>
      <c r="F33" s="54"/>
      <c r="G33" s="343"/>
      <c r="H33" s="345"/>
      <c r="I33" s="339"/>
      <c r="J33" s="339"/>
      <c r="K33" s="339"/>
      <c r="L33" s="339"/>
      <c r="M33" s="339"/>
      <c r="N33" s="339"/>
      <c r="O33" s="334"/>
    </row>
    <row r="34" spans="2:15" x14ac:dyDescent="0.25">
      <c r="B34" s="381" t="s">
        <v>140</v>
      </c>
      <c r="C34" s="356"/>
      <c r="D34" s="356"/>
      <c r="E34" s="382"/>
      <c r="F34" s="54"/>
      <c r="G34" s="343"/>
      <c r="H34" s="345"/>
      <c r="I34" s="339"/>
      <c r="J34" s="339"/>
      <c r="K34" s="339"/>
      <c r="L34" s="339"/>
      <c r="M34" s="339"/>
      <c r="N34" s="339"/>
      <c r="O34" s="334"/>
    </row>
    <row r="35" spans="2:15" ht="37.9" customHeight="1" thickBot="1" x14ac:dyDescent="0.3">
      <c r="B35" s="402"/>
      <c r="C35" s="403"/>
      <c r="D35" s="403"/>
      <c r="E35" s="43" t="s">
        <v>139</v>
      </c>
      <c r="F35" s="54"/>
      <c r="G35" s="344"/>
      <c r="H35" s="346"/>
      <c r="I35" s="340"/>
      <c r="J35" s="340"/>
      <c r="K35" s="340"/>
      <c r="L35" s="340"/>
      <c r="M35" s="340"/>
      <c r="N35" s="340"/>
      <c r="O35" s="335"/>
    </row>
    <row r="36" spans="2:15" ht="15.75" thickBot="1" x14ac:dyDescent="0.3">
      <c r="B36" s="54"/>
      <c r="C36" s="54"/>
      <c r="E36" s="54"/>
      <c r="F36" s="54"/>
      <c r="G36" s="71"/>
      <c r="H36" s="72"/>
      <c r="I36" s="72"/>
      <c r="J36" s="72"/>
      <c r="K36" s="72"/>
      <c r="L36" s="72"/>
      <c r="M36" s="72"/>
      <c r="N36" s="72"/>
      <c r="O36" s="73"/>
    </row>
    <row r="37" spans="2:15" s="54" customFormat="1" ht="54.75" customHeight="1" x14ac:dyDescent="0.45">
      <c r="B37" s="353" t="s">
        <v>141</v>
      </c>
      <c r="C37" s="354"/>
      <c r="D37" s="354"/>
      <c r="E37" s="355"/>
      <c r="G37" s="71"/>
      <c r="H37" s="72"/>
      <c r="I37" s="72"/>
      <c r="J37" s="72"/>
      <c r="K37" s="72"/>
      <c r="L37" s="72"/>
      <c r="M37" s="72"/>
      <c r="N37" s="72"/>
      <c r="O37" s="73"/>
    </row>
    <row r="38" spans="2:15" s="54" customFormat="1" ht="30.4" customHeight="1" x14ac:dyDescent="0.25">
      <c r="B38" s="381" t="s">
        <v>142</v>
      </c>
      <c r="C38" s="356"/>
      <c r="D38" s="356"/>
      <c r="E38" s="382"/>
      <c r="G38" s="71"/>
      <c r="H38" s="72"/>
      <c r="I38" s="72"/>
      <c r="J38" s="72"/>
      <c r="K38" s="72"/>
      <c r="L38" s="72"/>
      <c r="M38" s="72"/>
      <c r="N38" s="72"/>
      <c r="O38" s="73"/>
    </row>
    <row r="39" spans="2:15" s="54" customFormat="1" x14ac:dyDescent="0.25">
      <c r="B39" s="357"/>
      <c r="C39" s="358"/>
      <c r="D39" s="358"/>
      <c r="E39" s="359"/>
      <c r="G39" s="71"/>
      <c r="H39" s="72"/>
      <c r="I39" s="72"/>
      <c r="J39" s="72"/>
      <c r="K39" s="72"/>
      <c r="L39" s="72"/>
      <c r="M39" s="72"/>
      <c r="N39" s="72"/>
      <c r="O39" s="73"/>
    </row>
    <row r="40" spans="2:15" s="54" customFormat="1" x14ac:dyDescent="0.25">
      <c r="B40" s="210"/>
      <c r="C40" s="211"/>
      <c r="D40" s="211"/>
      <c r="E40" s="212"/>
      <c r="G40" s="71"/>
      <c r="H40" s="72"/>
      <c r="I40" s="72"/>
      <c r="J40" s="72"/>
      <c r="K40" s="72"/>
      <c r="L40" s="72"/>
      <c r="M40" s="72"/>
      <c r="N40" s="72"/>
      <c r="O40" s="73"/>
    </row>
    <row r="41" spans="2:15" s="54" customFormat="1" ht="15.75" x14ac:dyDescent="0.25">
      <c r="B41" s="378" t="s">
        <v>143</v>
      </c>
      <c r="C41" s="379"/>
      <c r="D41" s="379"/>
      <c r="E41" s="380"/>
      <c r="G41" s="71"/>
      <c r="H41" s="72"/>
      <c r="I41" s="72"/>
      <c r="J41" s="72"/>
      <c r="K41" s="72"/>
      <c r="L41" s="72"/>
      <c r="M41" s="72"/>
      <c r="N41" s="72"/>
      <c r="O41" s="73"/>
    </row>
    <row r="42" spans="2:15" s="54" customFormat="1" x14ac:dyDescent="0.25">
      <c r="B42" s="357"/>
      <c r="C42" s="358"/>
      <c r="D42" s="358"/>
      <c r="E42" s="359"/>
      <c r="G42" s="71"/>
      <c r="H42" s="72"/>
      <c r="I42" s="72"/>
      <c r="J42" s="72"/>
      <c r="K42" s="72"/>
      <c r="L42" s="72"/>
      <c r="M42" s="72"/>
      <c r="N42" s="72"/>
      <c r="O42" s="73"/>
    </row>
    <row r="43" spans="2:15" ht="31.5" customHeight="1" x14ac:dyDescent="0.25">
      <c r="B43" s="375"/>
      <c r="C43" s="376"/>
      <c r="D43" s="376"/>
      <c r="E43" s="377"/>
      <c r="F43" s="54"/>
      <c r="G43" s="71"/>
      <c r="H43" s="72"/>
      <c r="I43" s="72"/>
      <c r="J43" s="72"/>
      <c r="K43" s="72"/>
      <c r="L43" s="72"/>
      <c r="M43" s="72"/>
      <c r="N43" s="72"/>
      <c r="O43" s="73"/>
    </row>
    <row r="44" spans="2:15" ht="15.75" x14ac:dyDescent="0.25">
      <c r="B44" s="378" t="s">
        <v>145</v>
      </c>
      <c r="C44" s="379"/>
      <c r="D44" s="379"/>
      <c r="E44" s="380"/>
      <c r="F44" s="54"/>
      <c r="H44" s="54"/>
      <c r="I44" s="54"/>
      <c r="J44" s="54"/>
      <c r="K44" s="54"/>
      <c r="L44" s="54"/>
      <c r="M44" s="54"/>
      <c r="N44" s="60"/>
      <c r="O44" s="54"/>
    </row>
    <row r="45" spans="2:15" s="54" customFormat="1" x14ac:dyDescent="0.25">
      <c r="B45" s="357"/>
      <c r="C45" s="358"/>
      <c r="D45" s="358"/>
      <c r="E45" s="359"/>
      <c r="N45" s="60"/>
    </row>
    <row r="46" spans="2:15" s="54" customFormat="1" x14ac:dyDescent="0.25">
      <c r="B46" s="375"/>
      <c r="C46" s="376"/>
      <c r="D46" s="376"/>
      <c r="E46" s="377"/>
      <c r="N46" s="60"/>
    </row>
    <row r="47" spans="2:15" s="54" customFormat="1" ht="28.9" customHeight="1" x14ac:dyDescent="0.25">
      <c r="B47" s="372" t="s">
        <v>146</v>
      </c>
      <c r="C47" s="373"/>
      <c r="D47" s="373"/>
      <c r="E47" s="374"/>
      <c r="N47" s="60"/>
    </row>
    <row r="48" spans="2:15" s="54" customFormat="1" x14ac:dyDescent="0.25">
      <c r="B48" s="357"/>
      <c r="C48" s="358"/>
      <c r="D48" s="358"/>
      <c r="E48" s="359"/>
      <c r="N48" s="60"/>
    </row>
    <row r="49" spans="2:15" s="54" customFormat="1" ht="15.75" thickBot="1" x14ac:dyDescent="0.3">
      <c r="B49" s="328" t="str">
        <f>IF(B48="yes","it's highly recommended to define an end of life scenario in Step 5"," ")</f>
        <v xml:space="preserve"> </v>
      </c>
      <c r="C49" s="329"/>
      <c r="D49" s="329"/>
      <c r="E49" s="330"/>
      <c r="N49" s="60"/>
    </row>
    <row r="50" spans="2:15" ht="21.4" customHeight="1" thickBot="1" x14ac:dyDescent="0.3">
      <c r="B50" s="54"/>
      <c r="C50" s="54"/>
      <c r="E50" s="54"/>
      <c r="F50" s="54"/>
      <c r="H50" s="54"/>
      <c r="I50" s="54"/>
      <c r="J50" s="54"/>
      <c r="K50" s="54"/>
      <c r="L50" s="54"/>
      <c r="M50" s="54"/>
      <c r="N50" s="60"/>
      <c r="O50" s="54"/>
    </row>
    <row r="51" spans="2:15" ht="54" customHeight="1" x14ac:dyDescent="0.45">
      <c r="B51" s="353" t="s">
        <v>147</v>
      </c>
      <c r="C51" s="354"/>
      <c r="D51" s="354"/>
      <c r="E51" s="355"/>
      <c r="F51" s="54"/>
      <c r="G51" s="134" t="s">
        <v>126</v>
      </c>
      <c r="H51" s="135"/>
      <c r="I51" s="136" t="s">
        <v>148</v>
      </c>
      <c r="J51" s="136" t="s">
        <v>149</v>
      </c>
      <c r="K51" s="137" t="s">
        <v>133</v>
      </c>
      <c r="L51" s="54"/>
      <c r="M51" s="54"/>
      <c r="N51" s="54"/>
      <c r="O51" s="54"/>
    </row>
    <row r="52" spans="2:15" ht="33.75" customHeight="1" x14ac:dyDescent="0.25">
      <c r="B52" s="331" t="s">
        <v>150</v>
      </c>
      <c r="C52" s="332"/>
      <c r="D52" s="332"/>
      <c r="E52" s="333"/>
      <c r="F52" s="54"/>
      <c r="G52" s="341" t="s">
        <v>151</v>
      </c>
      <c r="H52" s="342"/>
      <c r="I52" s="260">
        <f>IF(B29="",0,IF(B29="no",0,B32))</f>
        <v>0</v>
      </c>
      <c r="J52" s="260">
        <f>O28</f>
        <v>0</v>
      </c>
      <c r="K52" s="261"/>
      <c r="L52" s="54"/>
      <c r="M52" s="38"/>
      <c r="N52" s="54"/>
      <c r="O52" s="54"/>
    </row>
    <row r="53" spans="2:15" s="54" customFormat="1" ht="15" customHeight="1" x14ac:dyDescent="0.25">
      <c r="B53" s="357"/>
      <c r="C53" s="358"/>
      <c r="D53" s="358"/>
      <c r="E53" s="359"/>
      <c r="G53" s="405" t="s">
        <v>152</v>
      </c>
      <c r="H53" s="406"/>
      <c r="I53" s="262" t="s">
        <v>61</v>
      </c>
      <c r="J53" s="260">
        <f>B35</f>
        <v>0</v>
      </c>
      <c r="K53" s="261"/>
      <c r="M53" s="38"/>
    </row>
    <row r="54" spans="2:15" s="54" customFormat="1" x14ac:dyDescent="0.25">
      <c r="B54" s="366"/>
      <c r="C54" s="367"/>
      <c r="D54" s="367"/>
      <c r="E54" s="368"/>
      <c r="G54" s="199" t="s">
        <v>153</v>
      </c>
      <c r="H54" s="200"/>
      <c r="I54" s="262"/>
      <c r="J54" s="262"/>
      <c r="K54" s="261">
        <f>J52+J53</f>
        <v>0</v>
      </c>
    </row>
    <row r="55" spans="2:15" s="54" customFormat="1" x14ac:dyDescent="0.25">
      <c r="B55" s="204"/>
      <c r="C55" s="205"/>
      <c r="D55" s="205"/>
      <c r="E55" s="206"/>
      <c r="G55" s="199" t="s">
        <v>154</v>
      </c>
      <c r="H55" s="200"/>
      <c r="I55" s="262" t="s">
        <v>137</v>
      </c>
      <c r="J55" s="260">
        <f>ABS(I52-SUM(J52:J53))</f>
        <v>0</v>
      </c>
      <c r="K55" s="261"/>
    </row>
    <row r="56" spans="2:15" s="53" customFormat="1" ht="37.5" customHeight="1" thickBot="1" x14ac:dyDescent="0.3">
      <c r="B56" s="347" t="s">
        <v>155</v>
      </c>
      <c r="C56" s="348"/>
      <c r="D56" s="348"/>
      <c r="E56" s="349"/>
      <c r="F56" s="54"/>
      <c r="G56" s="407" t="s">
        <v>156</v>
      </c>
      <c r="H56" s="408"/>
      <c r="I56" s="263" t="s">
        <v>137</v>
      </c>
      <c r="J56" s="264" t="e">
        <f>J55/I52</f>
        <v>#DIV/0!</v>
      </c>
      <c r="K56" s="265"/>
      <c r="L56" s="54"/>
      <c r="M56" s="54"/>
      <c r="N56" s="54"/>
      <c r="O56" s="54"/>
    </row>
    <row r="57" spans="2:15" s="54" customFormat="1" x14ac:dyDescent="0.25">
      <c r="B57" s="357"/>
      <c r="C57" s="358"/>
      <c r="D57" s="358"/>
      <c r="E57" s="359"/>
    </row>
    <row r="58" spans="2:15" s="54" customFormat="1" ht="29.25" customHeight="1" x14ac:dyDescent="0.25">
      <c r="B58" s="350"/>
      <c r="C58" s="351"/>
      <c r="D58" s="351"/>
      <c r="E58" s="352"/>
      <c r="L58" s="44"/>
    </row>
    <row r="59" spans="2:15" s="53" customFormat="1" ht="33.75" customHeight="1" x14ac:dyDescent="0.25">
      <c r="B59" s="347" t="s">
        <v>158</v>
      </c>
      <c r="C59" s="348"/>
      <c r="D59" s="348"/>
      <c r="E59" s="349"/>
      <c r="F59" s="54"/>
      <c r="G59" s="54"/>
      <c r="H59" s="54"/>
      <c r="I59" s="54"/>
      <c r="J59" s="54"/>
      <c r="K59" s="62"/>
      <c r="L59" s="62"/>
      <c r="M59" s="62"/>
      <c r="N59" s="62"/>
      <c r="O59" s="62"/>
    </row>
    <row r="60" spans="2:15" s="48" customFormat="1" x14ac:dyDescent="0.25">
      <c r="B60" s="201" t="s">
        <v>159</v>
      </c>
      <c r="C60" s="400"/>
      <c r="D60" s="400"/>
      <c r="E60" s="203" t="s">
        <v>160</v>
      </c>
      <c r="F60" s="54"/>
      <c r="G60" s="54"/>
      <c r="H60" s="54"/>
      <c r="I60" s="54"/>
      <c r="J60" s="54"/>
      <c r="K60" s="61"/>
      <c r="L60" s="61"/>
      <c r="M60" s="61"/>
      <c r="N60" s="61"/>
      <c r="O60" s="61"/>
    </row>
    <row r="61" spans="2:15" s="48" customFormat="1" x14ac:dyDescent="0.25">
      <c r="B61" s="201" t="s">
        <v>161</v>
      </c>
      <c r="C61" s="400"/>
      <c r="D61" s="400"/>
      <c r="E61" s="203" t="s">
        <v>160</v>
      </c>
      <c r="F61" s="54"/>
      <c r="G61" s="54"/>
      <c r="H61" s="54"/>
      <c r="I61" s="54"/>
      <c r="J61" s="54"/>
      <c r="K61" s="61"/>
      <c r="L61" s="61"/>
      <c r="M61" s="61"/>
      <c r="N61" s="61"/>
      <c r="O61" s="61"/>
    </row>
    <row r="62" spans="2:15" s="48" customFormat="1" x14ac:dyDescent="0.25">
      <c r="B62" s="201" t="s">
        <v>162</v>
      </c>
      <c r="C62" s="400"/>
      <c r="D62" s="400"/>
      <c r="E62" s="203" t="s">
        <v>160</v>
      </c>
      <c r="F62" s="54"/>
      <c r="G62" s="54"/>
      <c r="H62" s="54"/>
      <c r="I62" s="54"/>
      <c r="J62" s="54"/>
      <c r="K62" s="61"/>
      <c r="L62" s="61"/>
      <c r="M62" s="61"/>
      <c r="N62" s="61"/>
      <c r="O62" s="61"/>
    </row>
    <row r="63" spans="2:15" s="52" customFormat="1" ht="15.75" thickBot="1" x14ac:dyDescent="0.3">
      <c r="B63" s="207" t="s">
        <v>163</v>
      </c>
      <c r="C63" s="404"/>
      <c r="D63" s="404"/>
      <c r="E63" s="209" t="s">
        <v>160</v>
      </c>
      <c r="F63" s="54"/>
      <c r="G63" s="54"/>
      <c r="H63" s="54"/>
      <c r="I63" s="54"/>
      <c r="J63" s="54"/>
      <c r="K63" s="54"/>
      <c r="L63" s="54"/>
      <c r="M63" s="54"/>
      <c r="N63" s="54"/>
      <c r="O63" s="54"/>
    </row>
    <row r="64" spans="2:15" ht="15.75" thickBot="1" x14ac:dyDescent="0.3">
      <c r="B64" s="54"/>
      <c r="C64" s="54"/>
      <c r="E64" s="54"/>
      <c r="F64" s="54"/>
      <c r="H64" s="54"/>
      <c r="I64" s="54"/>
      <c r="J64" s="54"/>
      <c r="K64" s="54"/>
      <c r="L64" s="54"/>
      <c r="M64" s="54"/>
      <c r="N64" s="54"/>
      <c r="O64" s="54"/>
    </row>
    <row r="65" spans="2:5" ht="61.5" customHeight="1" x14ac:dyDescent="0.45">
      <c r="B65" s="353" t="s">
        <v>164</v>
      </c>
      <c r="C65" s="354"/>
      <c r="D65" s="354"/>
      <c r="E65" s="355"/>
    </row>
    <row r="66" spans="2:5" ht="30.75" customHeight="1" x14ac:dyDescent="0.25">
      <c r="B66" s="390" t="s">
        <v>165</v>
      </c>
      <c r="C66" s="391"/>
      <c r="D66" s="391"/>
      <c r="E66" s="392"/>
    </row>
    <row r="67" spans="2:5" s="54" customFormat="1" x14ac:dyDescent="0.25">
      <c r="B67" s="357"/>
      <c r="C67" s="358"/>
      <c r="D67" s="358"/>
      <c r="E67" s="359"/>
    </row>
    <row r="68" spans="2:5" s="54" customFormat="1" x14ac:dyDescent="0.25">
      <c r="B68" s="350"/>
      <c r="C68" s="351"/>
      <c r="D68" s="351"/>
      <c r="E68" s="352"/>
    </row>
    <row r="69" spans="2:5" x14ac:dyDescent="0.25">
      <c r="B69" s="350" t="s">
        <v>166</v>
      </c>
      <c r="C69" s="351"/>
      <c r="D69" s="351"/>
      <c r="E69" s="352"/>
    </row>
    <row r="70" spans="2:5" ht="16.350000000000001" customHeight="1" x14ac:dyDescent="0.25">
      <c r="B70" s="357"/>
      <c r="C70" s="358"/>
      <c r="D70" s="358"/>
      <c r="E70" s="359"/>
    </row>
    <row r="71" spans="2:5" s="54" customFormat="1" ht="15.75" customHeight="1" x14ac:dyDescent="0.25">
      <c r="B71" s="210"/>
      <c r="C71" s="211"/>
      <c r="D71" s="211"/>
      <c r="E71" s="212"/>
    </row>
    <row r="72" spans="2:5" s="54" customFormat="1" ht="16.899999999999999" customHeight="1" x14ac:dyDescent="0.25">
      <c r="B72" s="210" t="s">
        <v>167</v>
      </c>
      <c r="C72" s="211"/>
      <c r="D72" s="211"/>
      <c r="E72" s="212"/>
    </row>
    <row r="73" spans="2:5" s="54" customFormat="1" ht="16.899999999999999" customHeight="1" x14ac:dyDescent="0.25">
      <c r="B73" s="357"/>
      <c r="C73" s="358"/>
      <c r="D73" s="358"/>
      <c r="E73" s="359"/>
    </row>
    <row r="74" spans="2:5" s="54" customFormat="1" ht="16.899999999999999" customHeight="1" x14ac:dyDescent="0.25">
      <c r="B74" s="210"/>
      <c r="C74" s="211"/>
      <c r="D74" s="211"/>
      <c r="E74" s="212"/>
    </row>
    <row r="75" spans="2:5" s="54" customFormat="1" ht="16.899999999999999" customHeight="1" x14ac:dyDescent="0.25">
      <c r="B75" s="144" t="s">
        <v>168</v>
      </c>
      <c r="C75" s="211"/>
      <c r="D75" s="211"/>
      <c r="E75" s="212"/>
    </row>
    <row r="76" spans="2:5" s="54" customFormat="1" ht="16.899999999999999" customHeight="1" x14ac:dyDescent="0.25">
      <c r="B76" s="144" t="s">
        <v>169</v>
      </c>
      <c r="C76" s="145" t="s">
        <v>170</v>
      </c>
      <c r="D76" s="145" t="s">
        <v>171</v>
      </c>
      <c r="E76" s="212"/>
    </row>
    <row r="77" spans="2:5" s="54" customFormat="1" ht="16.899999999999999" customHeight="1" x14ac:dyDescent="0.25">
      <c r="B77" s="210" t="str">
        <f>IF(B73="Tally","Landfill Blend", "Landfill")</f>
        <v>Landfill</v>
      </c>
      <c r="C77" s="266"/>
      <c r="D77" s="316" t="e">
        <f>C77*$B$25</f>
        <v>#VALUE!</v>
      </c>
      <c r="E77" s="212"/>
    </row>
    <row r="78" spans="2:5" s="54" customFormat="1" ht="29.25" customHeight="1" x14ac:dyDescent="0.25">
      <c r="B78" s="213" t="s">
        <v>172</v>
      </c>
      <c r="C78" s="266"/>
      <c r="D78" s="316" t="e">
        <f t="shared" ref="D78:D81" si="0">C78*$B$25</f>
        <v>#VALUE!</v>
      </c>
      <c r="E78" s="212"/>
    </row>
    <row r="79" spans="2:5" s="54" customFormat="1" ht="13.5" customHeight="1" x14ac:dyDescent="0.25">
      <c r="B79" s="210" t="s">
        <v>173</v>
      </c>
      <c r="C79" s="266"/>
      <c r="D79" s="316" t="e">
        <f t="shared" si="0"/>
        <v>#VALUE!</v>
      </c>
      <c r="E79" s="212"/>
    </row>
    <row r="80" spans="2:5" s="54" customFormat="1" ht="13.5" customHeight="1" x14ac:dyDescent="0.25">
      <c r="B80" s="210" t="s">
        <v>174</v>
      </c>
      <c r="C80" s="266"/>
      <c r="D80" s="316" t="e">
        <f t="shared" si="0"/>
        <v>#VALUE!</v>
      </c>
      <c r="E80" s="212"/>
    </row>
    <row r="81" spans="1:13" s="54" customFormat="1" ht="13.5" customHeight="1" x14ac:dyDescent="0.25">
      <c r="B81" s="210" t="s">
        <v>175</v>
      </c>
      <c r="C81" s="266"/>
      <c r="D81" s="316" t="e">
        <f t="shared" si="0"/>
        <v>#VALUE!</v>
      </c>
      <c r="E81" s="212"/>
    </row>
    <row r="82" spans="1:13" x14ac:dyDescent="0.25">
      <c r="A82" s="54"/>
      <c r="B82" s="350"/>
      <c r="C82" s="351"/>
      <c r="D82" s="351"/>
      <c r="E82" s="352"/>
      <c r="F82" s="54"/>
      <c r="H82" s="54"/>
      <c r="I82" s="54"/>
      <c r="J82" s="54"/>
      <c r="K82" s="54"/>
      <c r="L82" s="54"/>
      <c r="M82" s="54"/>
    </row>
    <row r="83" spans="1:13" ht="15.75" thickBot="1" x14ac:dyDescent="0.3">
      <c r="A83" s="54"/>
      <c r="B83" s="393"/>
      <c r="C83" s="394"/>
      <c r="D83" s="394"/>
      <c r="E83" s="395"/>
      <c r="F83" s="54"/>
      <c r="G83" s="401"/>
      <c r="H83" s="401"/>
      <c r="I83" s="401"/>
      <c r="J83" s="401"/>
      <c r="K83" s="401"/>
      <c r="L83" s="401"/>
      <c r="M83" s="61"/>
    </row>
    <row r="84" spans="1:13" ht="12.4" customHeight="1" x14ac:dyDescent="0.25">
      <c r="A84" s="38"/>
      <c r="B84" s="367"/>
      <c r="C84" s="367"/>
      <c r="D84" s="367"/>
      <c r="E84" s="367"/>
      <c r="F84" s="54"/>
      <c r="G84" s="232"/>
      <c r="H84" s="232"/>
      <c r="I84" s="232"/>
      <c r="J84" s="232"/>
      <c r="K84" s="232"/>
      <c r="L84" s="232"/>
      <c r="M84" s="61"/>
    </row>
    <row r="85" spans="1:13" s="54" customFormat="1" ht="15.75" thickBot="1" x14ac:dyDescent="0.3">
      <c r="B85" s="38"/>
      <c r="C85" s="38"/>
      <c r="D85" s="38"/>
      <c r="G85" s="61"/>
      <c r="H85" s="61"/>
      <c r="I85" s="61"/>
      <c r="J85" s="233"/>
      <c r="K85" s="61"/>
      <c r="L85" s="61"/>
      <c r="M85" s="61"/>
    </row>
    <row r="86" spans="1:13" ht="61.5" customHeight="1" x14ac:dyDescent="0.45">
      <c r="A86" s="54"/>
      <c r="B86" s="353" t="s">
        <v>176</v>
      </c>
      <c r="C86" s="354"/>
      <c r="D86" s="354"/>
      <c r="E86" s="355"/>
      <c r="F86" s="54"/>
      <c r="G86" s="61"/>
      <c r="H86" s="61"/>
      <c r="I86" s="61"/>
      <c r="J86" s="233"/>
      <c r="K86" s="61"/>
      <c r="L86" s="61"/>
      <c r="M86" s="61"/>
    </row>
    <row r="87" spans="1:13" ht="30.75" customHeight="1" x14ac:dyDescent="0.25">
      <c r="A87" s="54"/>
      <c r="B87" s="390" t="s">
        <v>177</v>
      </c>
      <c r="C87" s="391"/>
      <c r="D87" s="391"/>
      <c r="E87" s="392"/>
      <c r="F87" s="54"/>
      <c r="G87" s="61"/>
      <c r="H87" s="61"/>
      <c r="I87" s="61"/>
      <c r="J87" s="233"/>
      <c r="K87" s="61"/>
      <c r="L87" s="61"/>
      <c r="M87" s="61"/>
    </row>
    <row r="88" spans="1:13" s="54" customFormat="1" x14ac:dyDescent="0.25">
      <c r="B88" s="357"/>
      <c r="C88" s="358"/>
      <c r="D88" s="358"/>
      <c r="E88" s="359"/>
      <c r="G88" s="61"/>
      <c r="H88" s="61"/>
      <c r="I88" s="61"/>
      <c r="J88" s="233"/>
      <c r="K88" s="61"/>
      <c r="L88" s="61"/>
      <c r="M88" s="61"/>
    </row>
    <row r="89" spans="1:13" s="54" customFormat="1" ht="15.75" thickBot="1" x14ac:dyDescent="0.3">
      <c r="B89" s="207"/>
      <c r="C89" s="208"/>
      <c r="D89" s="208"/>
      <c r="E89" s="209"/>
      <c r="G89" s="61"/>
      <c r="H89" s="61"/>
      <c r="I89" s="61"/>
      <c r="J89" s="233"/>
      <c r="K89" s="61"/>
      <c r="L89" s="61"/>
      <c r="M89" s="61"/>
    </row>
    <row r="91" spans="1:13" ht="15.75" thickBot="1" x14ac:dyDescent="0.3">
      <c r="A91" s="54"/>
      <c r="B91" s="54"/>
      <c r="C91" s="54"/>
      <c r="E91" s="54"/>
      <c r="F91" s="54"/>
      <c r="H91" s="54"/>
      <c r="I91" s="54"/>
      <c r="J91" s="54"/>
      <c r="K91" s="54"/>
      <c r="L91" s="54"/>
      <c r="M91" s="54"/>
    </row>
    <row r="92" spans="1:13" ht="62.25" customHeight="1" x14ac:dyDescent="0.45">
      <c r="A92" s="54"/>
      <c r="B92" s="353" t="s">
        <v>178</v>
      </c>
      <c r="C92" s="354"/>
      <c r="D92" s="354"/>
      <c r="E92" s="355"/>
      <c r="F92" s="54"/>
      <c r="H92" s="54"/>
      <c r="I92" s="54"/>
      <c r="J92" s="54"/>
      <c r="K92" s="54"/>
      <c r="L92" s="54"/>
      <c r="M92" s="54"/>
    </row>
    <row r="93" spans="1:13" ht="42" customHeight="1" x14ac:dyDescent="0.25">
      <c r="A93" s="54"/>
      <c r="B93" s="331" t="s">
        <v>179</v>
      </c>
      <c r="C93" s="332"/>
      <c r="D93" s="332"/>
      <c r="E93" s="333"/>
      <c r="F93" s="54"/>
      <c r="H93" s="54"/>
      <c r="I93" s="54"/>
      <c r="J93" s="54"/>
      <c r="K93" s="54"/>
      <c r="L93" s="54"/>
      <c r="M93" s="54"/>
    </row>
    <row r="94" spans="1:13" s="54" customFormat="1" x14ac:dyDescent="0.25">
      <c r="B94" s="357"/>
      <c r="C94" s="358"/>
      <c r="D94" s="358"/>
      <c r="E94" s="359"/>
    </row>
    <row r="95" spans="1:13" s="54" customFormat="1" x14ac:dyDescent="0.25">
      <c r="B95" s="366"/>
      <c r="C95" s="367"/>
      <c r="D95" s="367"/>
      <c r="E95" s="368"/>
    </row>
    <row r="96" spans="1:13" x14ac:dyDescent="0.25">
      <c r="A96" s="54"/>
      <c r="B96" s="350" t="s">
        <v>180</v>
      </c>
      <c r="C96" s="351"/>
      <c r="D96" s="351"/>
      <c r="E96" s="352"/>
      <c r="F96" s="54"/>
      <c r="H96" s="54"/>
      <c r="I96" s="54"/>
      <c r="J96" s="54"/>
      <c r="K96" s="54"/>
      <c r="L96" s="54"/>
      <c r="M96" s="54"/>
    </row>
    <row r="97" spans="2:5" x14ac:dyDescent="0.25">
      <c r="B97" s="357"/>
      <c r="C97" s="358"/>
      <c r="D97" s="358"/>
      <c r="E97" s="359"/>
    </row>
    <row r="98" spans="2:5" s="54" customFormat="1" x14ac:dyDescent="0.25">
      <c r="B98" s="210"/>
      <c r="C98" s="211"/>
      <c r="D98" s="211"/>
      <c r="E98" s="212"/>
    </row>
    <row r="99" spans="2:5" s="54" customFormat="1" x14ac:dyDescent="0.25">
      <c r="B99" s="350" t="s">
        <v>182</v>
      </c>
      <c r="C99" s="351"/>
      <c r="D99" s="351"/>
      <c r="E99" s="352"/>
    </row>
    <row r="100" spans="2:5" s="54" customFormat="1" x14ac:dyDescent="0.25">
      <c r="B100" s="399"/>
      <c r="C100" s="400"/>
      <c r="D100" s="400"/>
      <c r="E100" s="197" t="s">
        <v>183</v>
      </c>
    </row>
    <row r="101" spans="2:5" s="54" customFormat="1" ht="15.75" thickBot="1" x14ac:dyDescent="0.3">
      <c r="B101" s="229"/>
      <c r="C101" s="230"/>
      <c r="D101" s="230"/>
      <c r="E101" s="231"/>
    </row>
    <row r="102" spans="2:5" x14ac:dyDescent="0.25">
      <c r="B102" s="38"/>
      <c r="C102" s="38"/>
      <c r="D102" s="38"/>
      <c r="E102" s="38"/>
    </row>
    <row r="103" spans="2:5" ht="64.5" customHeight="1" x14ac:dyDescent="0.45">
      <c r="B103" s="369" t="s">
        <v>184</v>
      </c>
      <c r="C103" s="370"/>
      <c r="D103" s="370"/>
      <c r="E103" s="371"/>
    </row>
    <row r="104" spans="2:5" ht="80.25" customHeight="1" x14ac:dyDescent="0.25">
      <c r="B104" s="372" t="s">
        <v>185</v>
      </c>
      <c r="C104" s="373"/>
      <c r="D104" s="373"/>
      <c r="E104" s="374"/>
    </row>
    <row r="105" spans="2:5" x14ac:dyDescent="0.25">
      <c r="B105" s="366"/>
      <c r="C105" s="367"/>
      <c r="D105" s="367"/>
      <c r="E105" s="368"/>
    </row>
    <row r="106" spans="2:5" s="54" customFormat="1" x14ac:dyDescent="0.25">
      <c r="B106" s="350" t="s">
        <v>186</v>
      </c>
      <c r="C106" s="351"/>
      <c r="D106" s="351"/>
      <c r="E106" s="352"/>
    </row>
    <row r="107" spans="2:5" s="54" customFormat="1" x14ac:dyDescent="0.25">
      <c r="B107" s="357"/>
      <c r="C107" s="358"/>
      <c r="D107" s="358"/>
      <c r="E107" s="359"/>
    </row>
    <row r="108" spans="2:5" s="54" customFormat="1" x14ac:dyDescent="0.25">
      <c r="B108" s="201"/>
      <c r="C108" s="202"/>
      <c r="D108" s="202"/>
      <c r="E108" s="203"/>
    </row>
    <row r="109" spans="2:5" x14ac:dyDescent="0.25">
      <c r="B109" s="39" t="s">
        <v>187</v>
      </c>
      <c r="C109" s="38"/>
      <c r="D109" s="38"/>
      <c r="E109" s="40"/>
    </row>
    <row r="110" spans="2:5" s="54" customFormat="1" ht="30" customHeight="1" x14ac:dyDescent="0.25">
      <c r="B110" s="325" t="s">
        <v>188</v>
      </c>
      <c r="C110" s="326"/>
      <c r="D110" s="326"/>
      <c r="E110" s="327"/>
    </row>
    <row r="111" spans="2:5" ht="15.75" thickBot="1" x14ac:dyDescent="0.3">
      <c r="B111" s="336"/>
      <c r="C111" s="337"/>
      <c r="D111" s="337"/>
      <c r="E111" s="338"/>
    </row>
    <row r="112" spans="2:5" ht="18.75" customHeight="1" x14ac:dyDescent="0.25">
      <c r="B112" s="54"/>
      <c r="C112" s="54"/>
      <c r="E112" s="54"/>
    </row>
    <row r="113" spans="1:5" ht="58.5" customHeight="1" x14ac:dyDescent="0.45">
      <c r="A113" s="61"/>
      <c r="B113" s="386"/>
      <c r="C113" s="386"/>
      <c r="D113" s="386"/>
      <c r="E113" s="386"/>
    </row>
    <row r="114" spans="1:5" ht="45.75" customHeight="1" x14ac:dyDescent="0.25">
      <c r="A114" s="61"/>
      <c r="B114" s="356"/>
      <c r="C114" s="356"/>
      <c r="D114" s="356"/>
      <c r="E114" s="356"/>
    </row>
    <row r="115" spans="1:5" x14ac:dyDescent="0.25">
      <c r="A115" s="61"/>
      <c r="B115" s="61"/>
      <c r="C115" s="61"/>
      <c r="D115" s="61"/>
      <c r="E115" s="61"/>
    </row>
  </sheetData>
  <mergeCells count="92">
    <mergeCell ref="G83:L83"/>
    <mergeCell ref="B32:D32"/>
    <mergeCell ref="B35:D35"/>
    <mergeCell ref="C60:D60"/>
    <mergeCell ref="C61:D61"/>
    <mergeCell ref="C62:D62"/>
    <mergeCell ref="C63:D63"/>
    <mergeCell ref="B44:E44"/>
    <mergeCell ref="G53:H53"/>
    <mergeCell ref="G56:H56"/>
    <mergeCell ref="J29:J35"/>
    <mergeCell ref="K29:K35"/>
    <mergeCell ref="L29:L35"/>
    <mergeCell ref="B100:D100"/>
    <mergeCell ref="B48:E48"/>
    <mergeCell ref="B47:E47"/>
    <mergeCell ref="B46:E46"/>
    <mergeCell ref="B45:E45"/>
    <mergeCell ref="B73:E73"/>
    <mergeCell ref="B95:E95"/>
    <mergeCell ref="B96:E96"/>
    <mergeCell ref="B70:E70"/>
    <mergeCell ref="B69:E69"/>
    <mergeCell ref="B66:E66"/>
    <mergeCell ref="B65:E65"/>
    <mergeCell ref="B97:E97"/>
    <mergeCell ref="B15:E15"/>
    <mergeCell ref="B14:E14"/>
    <mergeCell ref="B13:E13"/>
    <mergeCell ref="B12:E12"/>
    <mergeCell ref="B11:E11"/>
    <mergeCell ref="B20:E20"/>
    <mergeCell ref="B19:E19"/>
    <mergeCell ref="B18:E18"/>
    <mergeCell ref="B17:E17"/>
    <mergeCell ref="B16:E16"/>
    <mergeCell ref="B113:E113"/>
    <mergeCell ref="B25:E25"/>
    <mergeCell ref="B24:E24"/>
    <mergeCell ref="B23:E23"/>
    <mergeCell ref="B22:E22"/>
    <mergeCell ref="B57:E57"/>
    <mergeCell ref="B56:E56"/>
    <mergeCell ref="B52:E52"/>
    <mergeCell ref="B51:E51"/>
    <mergeCell ref="B87:E87"/>
    <mergeCell ref="B86:E86"/>
    <mergeCell ref="B84:E84"/>
    <mergeCell ref="B83:E83"/>
    <mergeCell ref="B107:E107"/>
    <mergeCell ref="B105:E105"/>
    <mergeCell ref="B106:E106"/>
    <mergeCell ref="B21:E21"/>
    <mergeCell ref="B43:E43"/>
    <mergeCell ref="B42:E42"/>
    <mergeCell ref="B41:E41"/>
    <mergeCell ref="B38:E38"/>
    <mergeCell ref="B37:E37"/>
    <mergeCell ref="B34:E34"/>
    <mergeCell ref="B33:E33"/>
    <mergeCell ref="B114:E114"/>
    <mergeCell ref="B39:E39"/>
    <mergeCell ref="B88:E88"/>
    <mergeCell ref="L8:M8"/>
    <mergeCell ref="N8:O8"/>
    <mergeCell ref="B8:C8"/>
    <mergeCell ref="B27:E27"/>
    <mergeCell ref="B28:E28"/>
    <mergeCell ref="B29:E29"/>
    <mergeCell ref="B53:E53"/>
    <mergeCell ref="B67:E67"/>
    <mergeCell ref="B68:E68"/>
    <mergeCell ref="B54:E54"/>
    <mergeCell ref="B94:E94"/>
    <mergeCell ref="B103:E103"/>
    <mergeCell ref="B104:E104"/>
    <mergeCell ref="B110:E110"/>
    <mergeCell ref="B49:E49"/>
    <mergeCell ref="B93:E93"/>
    <mergeCell ref="O29:O35"/>
    <mergeCell ref="B111:E111"/>
    <mergeCell ref="M29:M35"/>
    <mergeCell ref="N29:N35"/>
    <mergeCell ref="G52:H52"/>
    <mergeCell ref="G29:G35"/>
    <mergeCell ref="H29:H35"/>
    <mergeCell ref="I29:I35"/>
    <mergeCell ref="B59:E59"/>
    <mergeCell ref="B58:E58"/>
    <mergeCell ref="B92:E92"/>
    <mergeCell ref="B99:E99"/>
    <mergeCell ref="B82:E82"/>
  </mergeCells>
  <phoneticPr fontId="31" type="noConversion"/>
  <conditionalFormatting sqref="B109:E109 B110:B111">
    <cfRule type="expression" dxfId="21" priority="32">
      <formula>$B$107&lt;&gt;"yes"</formula>
    </cfRule>
  </conditionalFormatting>
  <conditionalFormatting sqref="B31:E31 B33:B35 E32">
    <cfRule type="expression" dxfId="20" priority="31">
      <formula>$B$29&lt;&gt;"yes"</formula>
    </cfRule>
  </conditionalFormatting>
  <conditionalFormatting sqref="B51:E53 B56:E58 B54:B55">
    <cfRule type="expression" dxfId="19" priority="30">
      <formula>$B$53="no"</formula>
    </cfRule>
  </conditionalFormatting>
  <conditionalFormatting sqref="B65:E72 B74:E83">
    <cfRule type="expression" dxfId="18" priority="27">
      <formula>$B$67="no"</formula>
    </cfRule>
  </conditionalFormatting>
  <conditionalFormatting sqref="B59:E59 B60:C63 E60:E63">
    <cfRule type="expression" dxfId="17" priority="26">
      <formula>$B$57&lt;&gt;"no"</formula>
    </cfRule>
  </conditionalFormatting>
  <conditionalFormatting sqref="B41:E49">
    <cfRule type="expression" dxfId="16" priority="24">
      <formula>$B$39=""</formula>
    </cfRule>
  </conditionalFormatting>
  <conditionalFormatting sqref="B92:E99 B100 E100 B101:E101">
    <cfRule type="expression" dxfId="15" priority="20">
      <formula>$B$94="no"</formula>
    </cfRule>
  </conditionalFormatting>
  <conditionalFormatting sqref="B37:E49">
    <cfRule type="expression" dxfId="14" priority="18">
      <formula>$B$39="no"</formula>
    </cfRule>
  </conditionalFormatting>
  <conditionalFormatting sqref="B86:E89">
    <cfRule type="expression" dxfId="13" priority="16">
      <formula>$B$88="no"</formula>
    </cfRule>
  </conditionalFormatting>
  <conditionalFormatting sqref="B103:E111">
    <cfRule type="expression" dxfId="12" priority="15">
      <formula>$B$107="no"</formula>
    </cfRule>
  </conditionalFormatting>
  <conditionalFormatting sqref="E35">
    <cfRule type="expression" dxfId="11" priority="13">
      <formula>$B$29&lt;&gt;"yes"</formula>
    </cfRule>
  </conditionalFormatting>
  <conditionalFormatting sqref="B32">
    <cfRule type="expression" dxfId="10" priority="12">
      <formula>$B$29&lt;&gt;"yes"</formula>
    </cfRule>
  </conditionalFormatting>
  <conditionalFormatting sqref="B56:E59 B60:C63 E60:E63">
    <cfRule type="expression" dxfId="9" priority="11">
      <formula>$B$53=""</formula>
    </cfRule>
  </conditionalFormatting>
  <conditionalFormatting sqref="B68:E72 B74:E83">
    <cfRule type="expression" dxfId="8" priority="10">
      <formula>$B$67=""</formula>
    </cfRule>
  </conditionalFormatting>
  <conditionalFormatting sqref="B96:E99 B100 E100 B101:E101">
    <cfRule type="expression" dxfId="7" priority="9">
      <formula>$B$94=""</formula>
    </cfRule>
  </conditionalFormatting>
  <conditionalFormatting sqref="B99:E99 B100 E100">
    <cfRule type="expression" dxfId="6" priority="7">
      <formula>$B$97&lt;&gt;"Custom"</formula>
    </cfRule>
  </conditionalFormatting>
  <conditionalFormatting sqref="B73:E73">
    <cfRule type="expression" dxfId="5" priority="4">
      <formula>$B$67="no"</formula>
    </cfRule>
  </conditionalFormatting>
  <conditionalFormatting sqref="B73:E73">
    <cfRule type="expression" dxfId="4" priority="3">
      <formula>$B$67=""</formula>
    </cfRule>
  </conditionalFormatting>
  <conditionalFormatting sqref="B78:D79">
    <cfRule type="expression" dxfId="3" priority="2">
      <formula>$B$73="Tally"</formula>
    </cfRule>
  </conditionalFormatting>
  <conditionalFormatting sqref="B72:E81">
    <cfRule type="expression" dxfId="2" priority="1">
      <formula>$B$70&lt;&gt;"custom"</formula>
    </cfRule>
  </conditionalFormatting>
  <conditionalFormatting sqref="G83:L89">
    <cfRule type="expression" dxfId="1" priority="38">
      <formula>#REF!&lt;&gt;"Observational Satellite Biomass Data"</formula>
    </cfRule>
  </conditionalFormatting>
  <dataValidations count="3">
    <dataValidation type="list" allowBlank="1" showInputMessage="1" showErrorMessage="1" sqref="B57 B107:E107 B29:E29 B53:E53 B67:E67 B94:E94 B39:E39 B88:E88 B48:E48" xr:uid="{E5593E75-7C0E-48F0-9FAE-32C6D25B1142}">
      <formula1>"yes, no"</formula1>
    </dataValidation>
    <dataValidation type="list" allowBlank="1" showInputMessage="1" showErrorMessage="1" sqref="B73:E73" xr:uid="{C7D80D64-CBBF-44A1-AD27-47C9734158C4}">
      <formula1>"Tally, EPA Warm"</formula1>
    </dataValidation>
    <dataValidation type="list" allowBlank="1" showInputMessage="1" showErrorMessage="1" sqref="B19:E19" xr:uid="{59DDF1ED-3F4D-49A7-86E2-A2291C8A59F5}">
      <formula1>"cubic foot,cubic yards,board feet,meters cubed"</formula1>
    </dataValidation>
  </dataValidation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xr:uid="{F0983085-FC75-4209-ACFD-F25BBFDDD762}">
          <x14:formula1>
            <xm:f>_xlfn.ANCHORARRAY('Sorting Tables'!$B$9)</xm:f>
          </x14:formula1>
          <xm:sqref>B14</xm:sqref>
        </x14:dataValidation>
        <x14:dataValidation type="list" allowBlank="1" showInputMessage="1" showErrorMessage="1" xr:uid="{1A31CAA4-5F46-44C6-A544-97CB55B7EFCD}">
          <x14:formula1>
            <xm:f>_xlfn.ANCHORARRAY('Sorting Tables'!$D$9)</xm:f>
          </x14:formula1>
          <xm:sqref>B42</xm:sqref>
        </x14:dataValidation>
        <x14:dataValidation type="list" allowBlank="1" showInputMessage="1" showErrorMessage="1" xr:uid="{BDD474C1-0F48-4E66-99C9-421EE3836322}">
          <x14:formula1>
            <xm:f>_xlfn.ANCHORARRAY('Sorting Tables'!$F$9)</xm:f>
          </x14:formula1>
          <xm:sqref>B45</xm:sqref>
        </x14:dataValidation>
        <x14:dataValidation type="list" allowBlank="1" showInputMessage="1" showErrorMessage="1" xr:uid="{DDDB3A83-6A2C-4861-B1F3-B92C206C9028}">
          <x14:formula1>
            <xm:f>_xlfn.ANCHORARRAY('Sorting Tables'!$L$9)</xm:f>
          </x14:formula1>
          <xm:sqref>B97</xm:sqref>
        </x14:dataValidation>
        <x14:dataValidation type="list" allowBlank="1" showInputMessage="1" showErrorMessage="1" xr:uid="{CC4836CC-0C7B-41E3-8210-DDED8BDDD51D}">
          <x14:formula1>
            <xm:f>_xlfn.ANCHORARRAY('Sorting Tables'!$H$9)</xm:f>
          </x14:formula1>
          <xm:sqref>B70:E70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41B78-6731-439B-AF4C-EB96756EC5A7}">
  <sheetPr>
    <tabColor theme="9" tint="0.59999389629810485"/>
  </sheetPr>
  <dimension ref="A1:F21"/>
  <sheetViews>
    <sheetView workbookViewId="0"/>
  </sheetViews>
  <sheetFormatPr defaultRowHeight="15" x14ac:dyDescent="0.25"/>
  <cols>
    <col min="2" max="2" width="13.140625" customWidth="1"/>
    <col min="3" max="3" width="19.5703125" bestFit="1" customWidth="1"/>
    <col min="4" max="4" width="67.28515625" bestFit="1" customWidth="1"/>
    <col min="5" max="5" width="101.140625" bestFit="1" customWidth="1"/>
  </cols>
  <sheetData>
    <row r="1" spans="1:6" ht="29.65" customHeight="1" thickBot="1" x14ac:dyDescent="0.3">
      <c r="A1" s="54"/>
    </row>
    <row r="2" spans="1:6" x14ac:dyDescent="0.25">
      <c r="B2" s="293" t="s">
        <v>396</v>
      </c>
      <c r="C2" s="294" t="s">
        <v>192</v>
      </c>
      <c r="D2" s="294" t="s">
        <v>397</v>
      </c>
      <c r="E2" s="295" t="s">
        <v>398</v>
      </c>
      <c r="F2" s="5"/>
    </row>
    <row r="3" spans="1:6" x14ac:dyDescent="0.25">
      <c r="B3" s="284" t="s">
        <v>17</v>
      </c>
      <c r="C3" s="143" t="s">
        <v>399</v>
      </c>
      <c r="D3" s="143" t="s">
        <v>400</v>
      </c>
      <c r="E3" s="290" t="s">
        <v>401</v>
      </c>
      <c r="F3" s="5"/>
    </row>
    <row r="4" spans="1:6" x14ac:dyDescent="0.25">
      <c r="B4" s="285"/>
      <c r="C4" s="143" t="s">
        <v>71</v>
      </c>
      <c r="D4" s="143" t="s">
        <v>402</v>
      </c>
      <c r="E4" s="290" t="s">
        <v>403</v>
      </c>
      <c r="F4" s="5"/>
    </row>
    <row r="5" spans="1:6" x14ac:dyDescent="0.25">
      <c r="B5" s="285"/>
      <c r="C5" s="143" t="s">
        <v>71</v>
      </c>
      <c r="D5" s="143" t="s">
        <v>404</v>
      </c>
      <c r="E5" s="290" t="s">
        <v>405</v>
      </c>
      <c r="F5" s="5"/>
    </row>
    <row r="6" spans="1:6" x14ac:dyDescent="0.25">
      <c r="B6" s="286"/>
      <c r="C6" s="143" t="s">
        <v>71</v>
      </c>
      <c r="D6" s="143" t="s">
        <v>406</v>
      </c>
      <c r="E6" s="290" t="s">
        <v>407</v>
      </c>
      <c r="F6" s="5"/>
    </row>
    <row r="7" spans="1:6" x14ac:dyDescent="0.25">
      <c r="B7" s="284" t="s">
        <v>53</v>
      </c>
      <c r="C7" s="143" t="s">
        <v>399</v>
      </c>
      <c r="D7" s="143" t="s">
        <v>408</v>
      </c>
      <c r="E7" s="290" t="s">
        <v>409</v>
      </c>
      <c r="F7" s="5"/>
    </row>
    <row r="8" spans="1:6" x14ac:dyDescent="0.25">
      <c r="B8" s="285"/>
      <c r="C8" s="143" t="s">
        <v>399</v>
      </c>
      <c r="D8" s="143" t="s">
        <v>410</v>
      </c>
      <c r="E8" s="290" t="s">
        <v>411</v>
      </c>
      <c r="F8" s="5"/>
    </row>
    <row r="9" spans="1:6" x14ac:dyDescent="0.25">
      <c r="B9" s="285"/>
      <c r="C9" s="143" t="s">
        <v>399</v>
      </c>
      <c r="D9" s="143" t="s">
        <v>412</v>
      </c>
      <c r="E9" s="290" t="s">
        <v>409</v>
      </c>
      <c r="F9" s="5"/>
    </row>
    <row r="10" spans="1:6" x14ac:dyDescent="0.25">
      <c r="B10" s="285"/>
      <c r="C10" s="143" t="s">
        <v>413</v>
      </c>
      <c r="D10" s="143" t="s">
        <v>414</v>
      </c>
      <c r="E10" s="290" t="s">
        <v>415</v>
      </c>
      <c r="F10" s="5"/>
    </row>
    <row r="11" spans="1:6" x14ac:dyDescent="0.25">
      <c r="B11" s="285"/>
      <c r="C11" s="143" t="s">
        <v>416</v>
      </c>
      <c r="D11" s="143" t="s">
        <v>417</v>
      </c>
      <c r="E11" s="291" t="s">
        <v>418</v>
      </c>
      <c r="F11" s="5"/>
    </row>
    <row r="12" spans="1:6" x14ac:dyDescent="0.25">
      <c r="B12" s="286"/>
      <c r="C12" s="143" t="s">
        <v>419</v>
      </c>
      <c r="D12" s="143" t="s">
        <v>420</v>
      </c>
      <c r="E12" s="290" t="s">
        <v>421</v>
      </c>
      <c r="F12" s="5"/>
    </row>
    <row r="13" spans="1:6" x14ac:dyDescent="0.25">
      <c r="B13" s="163" t="s">
        <v>24</v>
      </c>
      <c r="C13" s="143" t="s">
        <v>399</v>
      </c>
      <c r="D13" s="143" t="s">
        <v>422</v>
      </c>
      <c r="E13" s="287"/>
      <c r="F13" s="5"/>
    </row>
    <row r="14" spans="1:6" x14ac:dyDescent="0.25">
      <c r="B14" s="284" t="s">
        <v>25</v>
      </c>
      <c r="C14" s="143" t="s">
        <v>399</v>
      </c>
      <c r="D14" s="143" t="s">
        <v>235</v>
      </c>
      <c r="E14" s="290" t="s">
        <v>423</v>
      </c>
      <c r="F14" s="5"/>
    </row>
    <row r="15" spans="1:6" x14ac:dyDescent="0.25">
      <c r="B15" s="286"/>
      <c r="C15" s="143" t="s">
        <v>399</v>
      </c>
      <c r="D15" s="143" t="s">
        <v>424</v>
      </c>
      <c r="E15" s="290" t="s">
        <v>425</v>
      </c>
      <c r="F15" s="5"/>
    </row>
    <row r="16" spans="1:6" x14ac:dyDescent="0.25">
      <c r="B16" s="288" t="s">
        <v>26</v>
      </c>
      <c r="C16" s="143" t="s">
        <v>399</v>
      </c>
      <c r="D16" s="143" t="s">
        <v>426</v>
      </c>
      <c r="E16" s="290" t="s">
        <v>425</v>
      </c>
      <c r="F16" s="5"/>
    </row>
    <row r="17" spans="2:6" x14ac:dyDescent="0.25">
      <c r="B17" s="284" t="s">
        <v>427</v>
      </c>
      <c r="C17" s="143" t="s">
        <v>399</v>
      </c>
      <c r="D17" s="143" t="s">
        <v>428</v>
      </c>
      <c r="E17" s="290" t="s">
        <v>429</v>
      </c>
      <c r="F17" s="5"/>
    </row>
    <row r="18" spans="2:6" x14ac:dyDescent="0.25">
      <c r="B18" s="286"/>
      <c r="C18" s="143" t="s">
        <v>399</v>
      </c>
      <c r="D18" s="143" t="s">
        <v>430</v>
      </c>
      <c r="E18" s="290" t="s">
        <v>431</v>
      </c>
      <c r="F18" s="5"/>
    </row>
    <row r="19" spans="2:6" x14ac:dyDescent="0.25">
      <c r="B19" s="284" t="s">
        <v>432</v>
      </c>
      <c r="C19" s="143" t="s">
        <v>399</v>
      </c>
      <c r="D19" s="143" t="s">
        <v>433</v>
      </c>
      <c r="E19" s="290" t="s">
        <v>434</v>
      </c>
      <c r="F19" s="5"/>
    </row>
    <row r="20" spans="2:6" ht="15.75" thickBot="1" x14ac:dyDescent="0.3">
      <c r="B20" s="289"/>
      <c r="C20" s="166" t="s">
        <v>399</v>
      </c>
      <c r="D20" s="166" t="s">
        <v>435</v>
      </c>
      <c r="E20" s="292" t="s">
        <v>409</v>
      </c>
      <c r="F20" s="5"/>
    </row>
    <row r="21" spans="2:6" x14ac:dyDescent="0.25">
      <c r="B21" s="5"/>
      <c r="C21" s="5"/>
      <c r="D21" s="5"/>
      <c r="E21" s="5"/>
      <c r="F21" s="5"/>
    </row>
  </sheetData>
  <hyperlinks>
    <hyperlink ref="E3" r:id="rId1" xr:uid="{AE47A83A-C09E-4494-BB54-091469CDDA69}"/>
    <hyperlink ref="E4" r:id="rId2" xr:uid="{97ECF24C-F689-4B95-8E85-F929EDC1E01F}"/>
    <hyperlink ref="E5" r:id="rId3" display="https://www.structurlam.com/wp-content/uploads/2021/02/Structurlam-Environmental-Product-Declaration-Glulam.pdf" xr:uid="{B3D68A44-C90A-4876-8600-7AA10D88471C}"/>
    <hyperlink ref="E6" r:id="rId4" xr:uid="{5F698E80-219C-4AEB-843C-F1E7D6100DB9}"/>
    <hyperlink ref="E7" r:id="rId5" display="https://www.awc.org/pdf/greenbuilding/epd/AWC-EPD-Glulam-1307.pdf" xr:uid="{A0F1DAE9-F498-49FC-A7DE-97CF34912789}"/>
    <hyperlink ref="E8" r:id="rId6" display="https://www.awc.org/pdf/greenbuilding/epd/AWC_EPD_NorthAmericanGluedLaminatedTimber_20200605.pdf" xr:uid="{E21695DC-1855-43A9-9456-817C7E4EAEE8}"/>
    <hyperlink ref="E9" r:id="rId7" display="https://www.awc.org/pdf/greenbuilding/epd/AWC-EPD-Glulam-1307.pdf" xr:uid="{0F8CFDA9-BA1C-4973-8193-C486C5898417}"/>
    <hyperlink ref="E10" r:id="rId8" xr:uid="{B39A39D0-AEAC-49E6-B7BD-DB61328EAE52}"/>
    <hyperlink ref="E11" r:id="rId9" display="https://corrim.org/wp-content/uploads/Module-G2-SE-Glulam.pdf" xr:uid="{85DE002C-06A0-411D-ABC2-CA7602CC61DD}"/>
    <hyperlink ref="E12" r:id="rId10" xr:uid="{29E8D2A0-F9D7-4B37-99BD-97CA33F1844C}"/>
    <hyperlink ref="E14" r:id="rId11" display="https://www.awc.org/pdf/greenbuilding/epd/AWC_EPD_NorthAmericanLaminatedVeneerLumber_20200605.pdf" xr:uid="{D29F0F3A-DE47-4053-AC37-4E3690903CEF}"/>
    <hyperlink ref="E15" r:id="rId12" xr:uid="{238F84CD-C834-4EB4-9191-CB2C3FCB38AE}"/>
    <hyperlink ref="E16" r:id="rId13" xr:uid="{53036430-0E53-47A5-919A-F7E509F39BEF}"/>
    <hyperlink ref="E17" r:id="rId14" xr:uid="{3FCE4DE6-65FA-43E6-908A-205EBCE93C15}"/>
    <hyperlink ref="E18" r:id="rId15" xr:uid="{94E07773-0FCE-4160-B0F7-B873BE869C83}"/>
    <hyperlink ref="E19" r:id="rId16" display="https://www.awc.org/pdf/greenbuilding/epd/AWC_EPD_NorthAmericanSoftwoodLumber_20200605.pdf" xr:uid="{5D2A8F80-80F5-4CBB-B7C3-6A4A39435822}"/>
    <hyperlink ref="E20" r:id="rId17" display="https://www.awc.org/pdf/greenbuilding/epd/AWC-EPD-SoftwoodLumber-1307.pdf" xr:uid="{9C48E3EC-7D3C-4A48-B631-F0376766729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4A25F-6CFF-4446-9F5A-06A6B77E8E5F}">
  <dimension ref="B6:O39"/>
  <sheetViews>
    <sheetView workbookViewId="0"/>
  </sheetViews>
  <sheetFormatPr defaultRowHeight="15" x14ac:dyDescent="0.25"/>
  <cols>
    <col min="2" max="2" width="31.5703125" customWidth="1"/>
    <col min="3" max="3" width="23.28515625" style="16" customWidth="1"/>
    <col min="4" max="4" width="26.140625" style="16" customWidth="1"/>
    <col min="5" max="5" width="30.5703125" style="16" customWidth="1"/>
    <col min="6" max="6" width="31.140625" style="16" customWidth="1"/>
    <col min="7" max="7" width="22.7109375" style="16" customWidth="1"/>
    <col min="8" max="8" width="17.140625" style="16" customWidth="1"/>
    <col min="9" max="9" width="24" customWidth="1"/>
  </cols>
  <sheetData>
    <row r="6" spans="2:15" ht="15.75" thickBot="1" x14ac:dyDescent="0.3">
      <c r="B6" s="54"/>
      <c r="C6" s="56"/>
      <c r="D6" s="56"/>
      <c r="E6" s="56"/>
      <c r="F6" s="56"/>
      <c r="G6" s="56"/>
      <c r="H6" s="56"/>
      <c r="I6" s="54"/>
      <c r="J6" s="54"/>
      <c r="K6" s="54"/>
      <c r="L6" s="54"/>
      <c r="M6" s="54"/>
      <c r="N6" s="54"/>
      <c r="O6" s="54"/>
    </row>
    <row r="7" spans="2:15" ht="15.75" thickBot="1" x14ac:dyDescent="0.3">
      <c r="B7" s="409" t="s">
        <v>189</v>
      </c>
      <c r="C7" s="410"/>
      <c r="D7" s="410"/>
      <c r="E7" s="410"/>
      <c r="F7" s="410"/>
      <c r="G7" s="410"/>
      <c r="H7" s="410"/>
      <c r="I7" s="410"/>
      <c r="J7" s="411"/>
      <c r="K7" s="54"/>
      <c r="L7" s="409" t="s">
        <v>190</v>
      </c>
      <c r="M7" s="410"/>
      <c r="N7" s="411"/>
      <c r="O7" s="54"/>
    </row>
    <row r="8" spans="2:15" ht="60" x14ac:dyDescent="0.25">
      <c r="B8" s="58" t="s">
        <v>191</v>
      </c>
      <c r="C8" s="2" t="s">
        <v>192</v>
      </c>
      <c r="D8" s="2" t="s">
        <v>193</v>
      </c>
      <c r="E8" s="2" t="s">
        <v>194</v>
      </c>
      <c r="F8" s="2" t="s">
        <v>195</v>
      </c>
      <c r="G8" s="2" t="s">
        <v>82</v>
      </c>
      <c r="H8" s="2" t="s">
        <v>196</v>
      </c>
      <c r="I8" s="2" t="s">
        <v>89</v>
      </c>
      <c r="J8" s="2" t="s">
        <v>197</v>
      </c>
      <c r="K8" s="54"/>
      <c r="L8" s="2" t="s">
        <v>69</v>
      </c>
      <c r="M8" s="2" t="s">
        <v>198</v>
      </c>
      <c r="N8" s="2" t="s">
        <v>199</v>
      </c>
      <c r="O8" s="54"/>
    </row>
    <row r="9" spans="2:15" x14ac:dyDescent="0.25">
      <c r="B9" s="54" t="str" cm="1">
        <f t="array" ref="B9:B16">_xlfn.UNIQUE('Calculation Factors m3 trans'!A8:A196)</f>
        <v>CLT</v>
      </c>
      <c r="C9" s="56" cm="1">
        <f t="array" ref="C9:C10">_xlfn._xlws.FILTER('Calculation Factors m3 trans'!B8:B64,'Calculation Factors m3 trans'!A8:A64='Scenario 1 - Calc Sheet'!B14)</f>
        <v>0</v>
      </c>
      <c r="D9" s="56" cm="1">
        <f t="array" ref="D9:D10">_xlfn.UNIQUE(C9:C100)</f>
        <v>0</v>
      </c>
      <c r="E9" s="56" cm="1">
        <f t="array" ref="E9:E10">_xlfn._xlws.FILTER('Calculation Factors m3 trans'!C8:C64,'Calculation Factors m3 trans'!B8:B64='Scenario 1 - Calc Sheet'!B42)</f>
        <v>0</v>
      </c>
      <c r="F9" s="56" cm="1">
        <f t="array" ref="F9:F10">_xlfn.UNIQUE(E9:E100)</f>
        <v>0</v>
      </c>
      <c r="G9" s="56" t="e" cm="1" vm="1">
        <f t="array" ref="G9">_xlfn._xlws.FILTER('Calculation Factors m3 trans'!H8:H64,'Calculation Factors m3 trans'!E8:E64='Calculation Factors m3 trans'!H3)</f>
        <v>#VALUE!</v>
      </c>
      <c r="H9" s="56" t="e" cm="1" vm="2">
        <f t="array" ref="H9:H11">_xlfn.UNIQUE(G9:G100)</f>
        <v>#VALUE!</v>
      </c>
      <c r="I9" s="54" cm="1">
        <f t="array" ref="I9:I10">_xlfn._xlws.FILTER('Calculation Factors m3 trans'!H8:H64,'Calculation Factors m3 trans'!C8:C64='Scenario 1 - Calc Sheet'!B45)</f>
        <v>0</v>
      </c>
      <c r="J9" s="54" cm="1">
        <f t="array" ref="J9:J10">_xlfn.UNIQUE(I9:I100)</f>
        <v>0</v>
      </c>
      <c r="K9" s="54"/>
      <c r="L9" s="54" cm="1">
        <f t="array" ref="L9:L10">_xlfn.UNIQUE('A0 Factors'!B6:B37)</f>
        <v>0</v>
      </c>
      <c r="M9" s="54" t="str" cm="1">
        <f t="array" ref="M9:M39">_xlfn._xlws.FILTER('A0 Factors'!C6:C37,'A0 Factors'!B6:B37='Scenario 1 - Calc Sheet'!B97)</f>
        <v>coming soon!</v>
      </c>
      <c r="N9" s="54" t="str" cm="1">
        <f t="array" ref="N9:N11">_xlfn.UNIQUE(M9:M100)</f>
        <v>coming soon!</v>
      </c>
      <c r="O9" s="54"/>
    </row>
    <row r="10" spans="2:15" x14ac:dyDescent="0.25">
      <c r="B10" s="54" t="str">
        <v>Glulam</v>
      </c>
      <c r="C10" s="56">
        <v>0</v>
      </c>
      <c r="D10" s="56">
        <v>0</v>
      </c>
      <c r="E10" s="56">
        <v>0</v>
      </c>
      <c r="F10" s="56">
        <v>0</v>
      </c>
      <c r="G10" s="56"/>
      <c r="H10" s="56">
        <v>0</v>
      </c>
      <c r="I10" s="54">
        <v>0</v>
      </c>
      <c r="J10" s="54">
        <v>0</v>
      </c>
      <c r="K10" s="54"/>
      <c r="L10" s="54" t="str">
        <v>Custom</v>
      </c>
      <c r="M10" s="54">
        <v>0</v>
      </c>
      <c r="N10" s="54">
        <v>0</v>
      </c>
      <c r="O10" s="54"/>
    </row>
    <row r="11" spans="2:15" x14ac:dyDescent="0.25">
      <c r="B11" s="54" t="str">
        <v>LSL/OSL</v>
      </c>
      <c r="C11" s="56"/>
      <c r="D11" s="56"/>
      <c r="E11" s="56"/>
      <c r="F11" s="56"/>
      <c r="G11" s="56"/>
      <c r="H11" s="56">
        <v>0</v>
      </c>
      <c r="I11" s="54"/>
      <c r="J11" s="54"/>
      <c r="K11" s="54"/>
      <c r="L11" s="54"/>
      <c r="M11" s="54">
        <v>0</v>
      </c>
      <c r="N11" s="54">
        <v>0</v>
      </c>
      <c r="O11" s="54"/>
    </row>
    <row r="12" spans="2:15" x14ac:dyDescent="0.25">
      <c r="B12" s="54" t="str">
        <v>LVL</v>
      </c>
      <c r="C12" s="56"/>
      <c r="D12" s="56"/>
      <c r="E12" s="56"/>
      <c r="F12" s="56"/>
      <c r="G12" s="56"/>
      <c r="H12" s="56"/>
      <c r="I12" s="54"/>
      <c r="J12" s="54"/>
      <c r="K12" s="54"/>
      <c r="L12" s="54"/>
      <c r="M12" s="54">
        <v>0</v>
      </c>
      <c r="N12" s="54"/>
      <c r="O12" s="54"/>
    </row>
    <row r="13" spans="2:15" x14ac:dyDescent="0.25">
      <c r="B13" s="54" t="str">
        <v>PSL</v>
      </c>
      <c r="C13" s="56"/>
      <c r="D13" s="56"/>
      <c r="E13" s="56"/>
      <c r="F13" s="56"/>
      <c r="G13" s="56"/>
      <c r="H13" s="56"/>
      <c r="I13" s="54"/>
      <c r="J13" s="54"/>
      <c r="K13" s="54"/>
      <c r="L13" s="54"/>
      <c r="M13" s="54">
        <v>0</v>
      </c>
      <c r="N13" s="54"/>
      <c r="O13" s="54"/>
    </row>
    <row r="14" spans="2:15" x14ac:dyDescent="0.25">
      <c r="B14" s="54" t="str">
        <v>heavy timber</v>
      </c>
      <c r="C14" s="56"/>
      <c r="D14" s="56"/>
      <c r="E14" s="56"/>
      <c r="F14" s="56"/>
      <c r="G14" s="56"/>
      <c r="H14" s="56"/>
      <c r="I14" s="54"/>
      <c r="J14" s="54"/>
      <c r="K14" s="54"/>
      <c r="L14" s="54"/>
      <c r="M14" s="54">
        <v>0</v>
      </c>
      <c r="N14" s="54"/>
      <c r="O14" s="54"/>
    </row>
    <row r="15" spans="2:15" x14ac:dyDescent="0.25">
      <c r="B15" s="54" t="str">
        <v>wood framing</v>
      </c>
      <c r="C15" s="56"/>
      <c r="D15" s="56"/>
      <c r="E15" s="56"/>
      <c r="F15" s="56"/>
      <c r="G15" s="56"/>
      <c r="H15" s="56"/>
      <c r="I15" s="54"/>
      <c r="J15" s="54"/>
      <c r="K15" s="54"/>
      <c r="L15" s="54"/>
      <c r="M15" s="54">
        <v>0</v>
      </c>
      <c r="N15" s="54"/>
      <c r="O15" s="54"/>
    </row>
    <row r="16" spans="2:15" x14ac:dyDescent="0.25">
      <c r="B16" s="54">
        <v>0</v>
      </c>
      <c r="C16" s="56"/>
      <c r="D16" s="56"/>
      <c r="E16" s="56"/>
      <c r="F16" s="56"/>
      <c r="G16" s="56"/>
      <c r="H16" s="56"/>
      <c r="I16" s="54"/>
      <c r="J16" s="54"/>
      <c r="K16" s="54"/>
      <c r="L16" s="54"/>
      <c r="M16" s="54">
        <v>0</v>
      </c>
      <c r="N16" s="54"/>
      <c r="O16" s="54"/>
    </row>
    <row r="17" spans="3:15" x14ac:dyDescent="0.25">
      <c r="C17" s="56"/>
      <c r="D17" s="56"/>
      <c r="E17" s="56"/>
      <c r="F17" s="56"/>
      <c r="G17" s="56"/>
      <c r="H17" s="56"/>
      <c r="I17" s="54"/>
      <c r="J17" s="54"/>
      <c r="K17" s="54"/>
      <c r="L17" s="54"/>
      <c r="M17" s="54">
        <v>0</v>
      </c>
      <c r="N17" s="54"/>
      <c r="O17" s="54"/>
    </row>
    <row r="18" spans="3:15" x14ac:dyDescent="0.25">
      <c r="C18" s="56"/>
      <c r="D18" s="56"/>
      <c r="E18" s="56"/>
      <c r="F18" s="56"/>
      <c r="G18" s="56"/>
      <c r="H18" s="56"/>
      <c r="I18" s="54"/>
      <c r="J18" s="54"/>
      <c r="K18" s="54"/>
      <c r="L18" s="54"/>
      <c r="M18" s="54">
        <v>0</v>
      </c>
      <c r="N18" s="54"/>
      <c r="O18" s="54"/>
    </row>
    <row r="19" spans="3:15" x14ac:dyDescent="0.25">
      <c r="C19" s="56"/>
      <c r="D19" s="56"/>
      <c r="E19" s="56"/>
      <c r="F19" s="56"/>
      <c r="G19" s="56"/>
      <c r="H19" s="56"/>
      <c r="I19" s="54"/>
      <c r="J19" s="54"/>
      <c r="K19" s="54"/>
      <c r="L19" s="54"/>
      <c r="M19" s="54" t="str">
        <v>coming soon!</v>
      </c>
      <c r="N19" s="54"/>
      <c r="O19" s="54"/>
    </row>
    <row r="20" spans="3:15" x14ac:dyDescent="0.25">
      <c r="C20" s="56"/>
      <c r="D20" s="56"/>
      <c r="E20" s="56"/>
      <c r="F20" s="56"/>
      <c r="G20" s="56"/>
      <c r="H20" s="56"/>
      <c r="I20" s="54"/>
      <c r="J20" s="54"/>
      <c r="K20" s="54"/>
      <c r="L20" s="54"/>
      <c r="M20" s="54">
        <v>0</v>
      </c>
      <c r="N20" s="54"/>
      <c r="O20" s="54"/>
    </row>
    <row r="21" spans="3:15" x14ac:dyDescent="0.25">
      <c r="C21" s="56"/>
      <c r="D21" s="56"/>
      <c r="E21" s="56"/>
      <c r="F21" s="56"/>
      <c r="G21" s="56"/>
      <c r="H21" s="56"/>
      <c r="I21" s="54"/>
      <c r="J21" s="54"/>
      <c r="K21" s="54"/>
      <c r="L21" s="54"/>
      <c r="M21" s="54">
        <v>0</v>
      </c>
      <c r="N21" s="54"/>
      <c r="O21" s="54"/>
    </row>
    <row r="22" spans="3:15" x14ac:dyDescent="0.25">
      <c r="C22" s="56"/>
      <c r="D22" s="56"/>
      <c r="E22" s="56"/>
      <c r="F22" s="56"/>
      <c r="G22" s="56"/>
      <c r="H22" s="56"/>
      <c r="I22" s="54"/>
      <c r="J22" s="54"/>
      <c r="K22" s="54"/>
      <c r="L22" s="54"/>
      <c r="M22" s="54">
        <v>0</v>
      </c>
      <c r="N22" s="54"/>
      <c r="O22" s="54"/>
    </row>
    <row r="23" spans="3:15" x14ac:dyDescent="0.25">
      <c r="C23" s="56"/>
      <c r="D23" s="56"/>
      <c r="E23" s="56"/>
      <c r="F23" s="56"/>
      <c r="G23" s="56">
        <f>IF('Scenario 1 - Calc Sheet'!B48="yes","custom",0)</f>
        <v>0</v>
      </c>
      <c r="H23" s="56"/>
      <c r="I23" s="54"/>
      <c r="J23" s="54"/>
      <c r="K23" s="54"/>
      <c r="L23" s="54"/>
      <c r="M23" s="54">
        <v>0</v>
      </c>
      <c r="N23" s="54"/>
      <c r="O23" s="54"/>
    </row>
    <row r="24" spans="3:15" x14ac:dyDescent="0.25">
      <c r="C24" s="56"/>
      <c r="D24" s="56"/>
      <c r="E24" s="56"/>
      <c r="F24" s="56"/>
      <c r="G24" s="56"/>
      <c r="H24" s="56"/>
      <c r="I24" s="54"/>
      <c r="J24" s="54"/>
      <c r="K24" s="54"/>
      <c r="L24" s="54"/>
      <c r="M24" s="54">
        <v>0</v>
      </c>
      <c r="N24" s="54"/>
      <c r="O24" s="54"/>
    </row>
    <row r="25" spans="3:15" x14ac:dyDescent="0.25">
      <c r="C25" s="56"/>
      <c r="D25" s="56"/>
      <c r="E25" s="56"/>
      <c r="F25" s="56"/>
      <c r="G25" s="56"/>
      <c r="H25" s="56"/>
      <c r="I25" s="54"/>
      <c r="J25" s="54"/>
      <c r="K25" s="54"/>
      <c r="L25" s="54"/>
      <c r="M25" s="54">
        <v>0</v>
      </c>
      <c r="N25" s="54"/>
      <c r="O25" s="54"/>
    </row>
    <row r="26" spans="3:15" x14ac:dyDescent="0.25">
      <c r="C26" s="56"/>
      <c r="D26" s="56"/>
      <c r="E26" s="56"/>
      <c r="F26" s="56"/>
      <c r="G26" s="56"/>
      <c r="H26" s="56"/>
      <c r="I26" s="54"/>
      <c r="J26" s="54"/>
      <c r="K26" s="54"/>
      <c r="L26" s="54"/>
      <c r="M26" s="54">
        <v>0</v>
      </c>
      <c r="N26" s="54"/>
      <c r="O26" s="54"/>
    </row>
    <row r="27" spans="3:15" x14ac:dyDescent="0.25">
      <c r="C27" s="56"/>
      <c r="D27" s="56"/>
      <c r="E27" s="56"/>
      <c r="F27" s="56"/>
      <c r="G27" s="56"/>
      <c r="H27" s="56"/>
      <c r="I27" s="54"/>
      <c r="J27" s="54"/>
      <c r="K27" s="54"/>
      <c r="L27" s="54"/>
      <c r="M27" s="54">
        <v>0</v>
      </c>
      <c r="N27" s="54"/>
      <c r="O27" s="54"/>
    </row>
    <row r="28" spans="3:15" x14ac:dyDescent="0.25">
      <c r="C28" s="56"/>
      <c r="D28" s="56"/>
      <c r="E28" s="56"/>
      <c r="F28" s="56"/>
      <c r="G28" s="56"/>
      <c r="H28" s="56"/>
      <c r="I28" s="54"/>
      <c r="J28" s="54"/>
      <c r="K28" s="54"/>
      <c r="L28" s="54"/>
      <c r="M28" s="54">
        <v>0</v>
      </c>
      <c r="N28" s="54"/>
      <c r="O28" s="54"/>
    </row>
    <row r="29" spans="3:15" x14ac:dyDescent="0.25">
      <c r="C29" s="56"/>
      <c r="D29" s="56"/>
      <c r="E29" s="56"/>
      <c r="F29" s="56"/>
      <c r="G29" s="56"/>
      <c r="H29" s="56"/>
      <c r="I29" s="54"/>
      <c r="J29" s="54"/>
      <c r="K29" s="54"/>
      <c r="L29" s="54"/>
      <c r="M29" s="54" t="str">
        <v>coming soon!</v>
      </c>
      <c r="N29" s="54"/>
      <c r="O29" s="54"/>
    </row>
    <row r="30" spans="3:15" x14ac:dyDescent="0.25">
      <c r="C30" s="56"/>
      <c r="D30" s="56"/>
      <c r="E30" s="56"/>
      <c r="F30" s="56"/>
      <c r="G30" s="56"/>
      <c r="H30" s="56"/>
      <c r="I30" s="54"/>
      <c r="J30" s="54"/>
      <c r="K30" s="54"/>
      <c r="L30" s="54"/>
      <c r="M30" s="54">
        <v>0</v>
      </c>
      <c r="N30" s="54"/>
      <c r="O30" s="54"/>
    </row>
    <row r="31" spans="3:15" x14ac:dyDescent="0.25">
      <c r="C31" s="56"/>
      <c r="D31" s="56"/>
      <c r="E31" s="56"/>
      <c r="F31" s="56"/>
      <c r="G31" s="56"/>
      <c r="H31" s="56"/>
      <c r="I31" s="54"/>
      <c r="J31" s="54"/>
      <c r="K31" s="54"/>
      <c r="L31" s="54"/>
      <c r="M31" s="54">
        <v>0</v>
      </c>
      <c r="N31" s="54"/>
      <c r="O31" s="54"/>
    </row>
    <row r="32" spans="3:15" x14ac:dyDescent="0.25">
      <c r="C32" s="56"/>
      <c r="D32" s="56"/>
      <c r="E32" s="56"/>
      <c r="F32" s="56"/>
      <c r="G32" s="56"/>
      <c r="H32" s="56"/>
      <c r="I32" s="54"/>
      <c r="J32" s="54"/>
      <c r="K32" s="54"/>
      <c r="L32" s="54"/>
      <c r="M32" s="54">
        <v>0</v>
      </c>
      <c r="N32" s="54"/>
      <c r="O32" s="54"/>
    </row>
    <row r="33" spans="13:13" x14ac:dyDescent="0.25">
      <c r="M33" s="54">
        <v>0</v>
      </c>
    </row>
    <row r="34" spans="13:13" x14ac:dyDescent="0.25">
      <c r="M34" s="54">
        <v>0</v>
      </c>
    </row>
    <row r="35" spans="13:13" x14ac:dyDescent="0.25">
      <c r="M35">
        <v>0</v>
      </c>
    </row>
    <row r="36" spans="13:13" x14ac:dyDescent="0.25">
      <c r="M36">
        <v>0</v>
      </c>
    </row>
    <row r="37" spans="13:13" x14ac:dyDescent="0.25">
      <c r="M37">
        <v>0</v>
      </c>
    </row>
    <row r="38" spans="13:13" x14ac:dyDescent="0.25">
      <c r="M38">
        <v>0</v>
      </c>
    </row>
    <row r="39" spans="13:13" x14ac:dyDescent="0.25">
      <c r="M39">
        <v>0</v>
      </c>
    </row>
  </sheetData>
  <mergeCells count="2">
    <mergeCell ref="L7:N7"/>
    <mergeCell ref="B7:J7"/>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8EED0-F588-4A5D-AE75-298306A8BE52}">
  <dimension ref="A1:AB74"/>
  <sheetViews>
    <sheetView workbookViewId="0"/>
  </sheetViews>
  <sheetFormatPr defaultRowHeight="15" x14ac:dyDescent="0.25"/>
  <cols>
    <col min="1" max="1" width="14.7109375" customWidth="1"/>
    <col min="2" max="2" width="21" style="16" customWidth="1"/>
    <col min="3" max="3" width="26.140625" style="16" customWidth="1"/>
    <col min="4" max="4" width="26.140625" style="56" customWidth="1"/>
    <col min="5" max="5" width="31" style="16" customWidth="1"/>
    <col min="6" max="6" width="29.85546875" style="16" customWidth="1"/>
    <col min="7" max="7" width="29.85546875" style="56" customWidth="1"/>
    <col min="8" max="9" width="23" style="16" customWidth="1"/>
    <col min="10" max="10" width="26" style="16" customWidth="1"/>
    <col min="11" max="11" width="9.42578125" customWidth="1"/>
    <col min="12" max="12" width="21.28515625" customWidth="1"/>
    <col min="13" max="13" width="13" style="16" customWidth="1"/>
    <col min="14" max="14" width="12.7109375" style="16" customWidth="1"/>
    <col min="15" max="15" width="13.28515625" style="16" bestFit="1" customWidth="1"/>
    <col min="16" max="16" width="10.85546875" style="16" bestFit="1" customWidth="1"/>
    <col min="17" max="17" width="9.28515625" style="16" customWidth="1"/>
    <col min="18" max="18" width="12.28515625" style="16" bestFit="1" customWidth="1"/>
    <col min="19" max="20" width="12.85546875" style="16" bestFit="1" customWidth="1"/>
    <col min="21" max="21" width="9" style="16"/>
    <col min="22" max="22" width="13.85546875" style="16" bestFit="1" customWidth="1"/>
    <col min="23" max="23" width="9" style="16"/>
    <col min="24" max="24" width="11.85546875" style="16" bestFit="1" customWidth="1"/>
    <col min="25" max="25" width="13.28515625" bestFit="1" customWidth="1"/>
  </cols>
  <sheetData>
    <row r="1" spans="1:27" s="21" customFormat="1" ht="15.75" thickBot="1" x14ac:dyDescent="0.3">
      <c r="A1" s="54"/>
      <c r="B1" s="56"/>
      <c r="C1" s="56"/>
      <c r="D1" s="56"/>
      <c r="E1" s="56"/>
      <c r="F1" s="56"/>
      <c r="G1" s="56"/>
      <c r="H1" s="56"/>
      <c r="I1" s="56"/>
      <c r="J1" s="56"/>
      <c r="K1" s="54"/>
      <c r="L1" s="54"/>
      <c r="M1" s="56"/>
      <c r="N1" s="56"/>
      <c r="O1" s="56"/>
      <c r="P1" s="56"/>
      <c r="Q1" s="56"/>
      <c r="R1" s="56"/>
      <c r="S1" s="56"/>
      <c r="T1" s="56"/>
      <c r="U1" s="56"/>
      <c r="V1" s="56"/>
      <c r="W1" s="56"/>
      <c r="X1" s="56"/>
      <c r="Y1" s="54"/>
      <c r="Z1" s="54"/>
      <c r="AA1" s="54"/>
    </row>
    <row r="2" spans="1:27" s="21" customFormat="1" ht="30" x14ac:dyDescent="0.25">
      <c r="A2" s="54"/>
      <c r="B2" s="296" t="s">
        <v>200</v>
      </c>
      <c r="C2" s="297" t="str">
        <f>T7</f>
        <v>A1-3 - Product total</v>
      </c>
      <c r="D2" s="297" t="s">
        <v>201</v>
      </c>
      <c r="E2" s="297" t="s">
        <v>102</v>
      </c>
      <c r="F2" s="297" t="s">
        <v>202</v>
      </c>
      <c r="G2" s="297" t="s">
        <v>96</v>
      </c>
      <c r="H2" s="297" t="s">
        <v>203</v>
      </c>
      <c r="I2" s="297" t="s">
        <v>204</v>
      </c>
      <c r="J2" s="297" t="s">
        <v>205</v>
      </c>
      <c r="K2" s="297" t="s">
        <v>58</v>
      </c>
      <c r="L2" s="298" t="s">
        <v>206</v>
      </c>
      <c r="M2" s="56"/>
      <c r="N2" s="56"/>
      <c r="O2" s="56"/>
      <c r="P2" s="56"/>
      <c r="Q2" s="56"/>
      <c r="R2" s="56"/>
      <c r="S2" s="56"/>
      <c r="T2" s="56"/>
      <c r="U2" s="56"/>
      <c r="V2" s="56"/>
      <c r="W2" s="56"/>
      <c r="X2" s="56"/>
      <c r="Y2" s="54"/>
      <c r="Z2" s="54"/>
      <c r="AA2" s="54"/>
    </row>
    <row r="3" spans="1:27" s="21" customFormat="1" ht="100.5" customHeight="1" thickBot="1" x14ac:dyDescent="0.3">
      <c r="A3" s="54"/>
      <c r="B3" s="34" t="str">
        <f>'Scenario 1 - Calc Sheet'!B14&amp;" "&amp;'Scenario 1 - Calc Sheet'!B42&amp;" "&amp;'Scenario 1 - Calc Sheet'!B45</f>
        <v xml:space="preserve">  </v>
      </c>
      <c r="C3" s="299" t="str">
        <f>_xlfn.XLOOKUP(B3,F8:F64,T8:T64,"NA",0)</f>
        <v>NA</v>
      </c>
      <c r="D3" s="299" t="str">
        <f>'Scenario 1 - Calc Sheet'!B14&amp;" "&amp;'Scenario 1 - Calc Sheet'!B42&amp;" "&amp;'Scenario 1 - Calc Sheet'!B45&amp;" "&amp;'Scenario 1 - Calc Sheet'!B48</f>
        <v xml:space="preserve">   </v>
      </c>
      <c r="E3" s="299">
        <f>IF('Scenario 1 - Calc Sheet'!B48="yes",_xlfn.XLOOKUP(D3,G8:G64,R8:R64,"NA",0),0)</f>
        <v>0</v>
      </c>
      <c r="F3" s="299" t="str">
        <f>IF('Scenario 1 - Calc Sheet'!B70="custom",'EOL Factors'!H7/'Scenario 1 - Calc Sheet'!B25,_xlfn.XLOOKUP(I3,I8:I64,N8:N64,"NA",0))</f>
        <v>NA</v>
      </c>
      <c r="G3" s="315">
        <f>_xlfn.XLOOKUP(B3,F8:F64,M8:M64,0)</f>
        <v>0</v>
      </c>
      <c r="H3" s="299" t="str">
        <f>'Scenario 1 - Calc Sheet'!B45&amp;" "&amp;'Scenario 1 - Calc Sheet'!B48</f>
        <v xml:space="preserve"> </v>
      </c>
      <c r="I3" s="299" t="str">
        <f>'Scenario 1 - Calc Sheet'!B45&amp;" "&amp;'Scenario 1 - Calc Sheet'!B70</f>
        <v xml:space="preserve"> </v>
      </c>
      <c r="J3" s="313" t="str">
        <f>IF('Scenario 1 - Calc Sheet'!B70="custom",'EOL Factors'!H6/'Scenario 1 - Calc Sheet'!B25,_xlfn.XLOOKUP(I3,I8:I64,O8:O64,"NA",0))</f>
        <v>NA</v>
      </c>
      <c r="K3" s="313" t="str">
        <f>IF('Scenario 1 - Calc Sheet'!B70="custom",'EOL Factors'!H8/'Scenario 1 - Calc Sheet'!B25,_xlfn.XLOOKUP(I3,J8:J64,Q8:Q64,"NA",0))</f>
        <v>NA</v>
      </c>
      <c r="L3" s="314" t="str">
        <f>_xlfn.XLOOKUP(B3,F8:F64,Y8:Y64,"NA",0)</f>
        <v>NA</v>
      </c>
      <c r="M3" s="56" t="s">
        <v>126</v>
      </c>
      <c r="N3" s="56"/>
      <c r="O3" s="56"/>
      <c r="P3" s="56"/>
      <c r="Q3" s="56"/>
      <c r="R3" s="56"/>
      <c r="S3" s="56"/>
      <c r="T3" s="49"/>
      <c r="U3" s="56"/>
      <c r="V3" s="56"/>
      <c r="W3" s="56"/>
      <c r="X3" s="56"/>
      <c r="Y3" s="54"/>
      <c r="Z3" s="54"/>
      <c r="AA3" s="54"/>
    </row>
    <row r="4" spans="1:27" s="21" customFormat="1" x14ac:dyDescent="0.25">
      <c r="A4" s="54"/>
      <c r="B4" s="56"/>
      <c r="C4" s="56"/>
      <c r="D4" s="56"/>
      <c r="E4" s="56"/>
      <c r="F4" s="56"/>
      <c r="G4" s="56"/>
      <c r="H4" s="56"/>
      <c r="I4" s="56"/>
      <c r="J4" s="56"/>
      <c r="K4" s="54"/>
      <c r="L4" s="54"/>
      <c r="M4" s="56"/>
      <c r="N4" s="56"/>
      <c r="O4" s="56"/>
      <c r="P4" s="56"/>
      <c r="Q4" s="56"/>
      <c r="R4" s="56"/>
      <c r="S4" s="56"/>
      <c r="T4" s="56"/>
      <c r="U4" s="56"/>
      <c r="V4" s="56"/>
      <c r="W4" s="56"/>
      <c r="X4" s="56"/>
      <c r="Y4" s="54"/>
      <c r="Z4" s="54"/>
      <c r="AA4" s="54"/>
    </row>
    <row r="5" spans="1:27" s="21" customFormat="1" x14ac:dyDescent="0.25">
      <c r="A5" s="54"/>
      <c r="B5" s="56"/>
      <c r="C5" s="56"/>
      <c r="D5" s="56"/>
      <c r="E5" s="56"/>
      <c r="F5" s="56"/>
      <c r="G5" s="56"/>
      <c r="H5" s="56"/>
      <c r="I5" s="56"/>
      <c r="J5" s="56"/>
      <c r="K5" s="54"/>
      <c r="L5" s="54"/>
      <c r="M5" s="56"/>
      <c r="N5" s="56"/>
      <c r="O5" s="56"/>
      <c r="P5" s="56"/>
      <c r="Q5" s="56"/>
      <c r="R5" s="56"/>
      <c r="S5" s="56"/>
      <c r="T5" s="56"/>
      <c r="U5" s="56"/>
      <c r="V5" s="56"/>
      <c r="W5" s="56"/>
      <c r="X5" s="56"/>
      <c r="Y5" s="54"/>
      <c r="Z5" s="54"/>
      <c r="AA5" s="54"/>
    </row>
    <row r="6" spans="1:27" s="21" customFormat="1" x14ac:dyDescent="0.25">
      <c r="A6" s="54"/>
      <c r="B6" s="56"/>
      <c r="C6" s="56"/>
      <c r="D6" s="56"/>
      <c r="E6" s="56"/>
      <c r="F6" s="56"/>
      <c r="G6" s="56"/>
      <c r="H6" s="56"/>
      <c r="I6" s="56"/>
      <c r="J6" s="56"/>
      <c r="K6" s="54"/>
      <c r="L6" s="54"/>
      <c r="M6" s="56"/>
      <c r="N6" s="56"/>
      <c r="O6" s="56"/>
      <c r="P6" s="56"/>
      <c r="Q6" s="56"/>
      <c r="R6" s="56"/>
      <c r="S6" s="56"/>
      <c r="T6" s="56"/>
      <c r="U6" s="56"/>
      <c r="V6" s="56"/>
      <c r="W6" s="56"/>
      <c r="X6" s="56"/>
      <c r="Y6" s="54"/>
      <c r="Z6" s="54"/>
      <c r="AA6" s="54"/>
    </row>
    <row r="7" spans="1:27" s="58" customFormat="1" ht="75" x14ac:dyDescent="0.25">
      <c r="A7" s="300" t="s">
        <v>16</v>
      </c>
      <c r="B7" s="109" t="s">
        <v>192</v>
      </c>
      <c r="C7" s="109" t="s">
        <v>76</v>
      </c>
      <c r="D7" s="110" t="s">
        <v>207</v>
      </c>
      <c r="E7" s="110" t="s">
        <v>208</v>
      </c>
      <c r="F7" s="107" t="s">
        <v>209</v>
      </c>
      <c r="G7" s="107" t="s">
        <v>210</v>
      </c>
      <c r="H7" s="107" t="s">
        <v>211</v>
      </c>
      <c r="I7" s="107" t="s">
        <v>212</v>
      </c>
      <c r="J7" s="107" t="s">
        <v>213</v>
      </c>
      <c r="K7" s="108" t="s">
        <v>1</v>
      </c>
      <c r="L7" s="108" t="s">
        <v>11</v>
      </c>
      <c r="M7" s="36" t="s">
        <v>96</v>
      </c>
      <c r="N7" s="36" t="s">
        <v>214</v>
      </c>
      <c r="O7" s="111" t="s">
        <v>215</v>
      </c>
      <c r="P7" s="111" t="s">
        <v>99</v>
      </c>
      <c r="Q7" s="111" t="s">
        <v>42</v>
      </c>
      <c r="R7" s="36" t="s">
        <v>216</v>
      </c>
      <c r="S7" s="111" t="s">
        <v>44</v>
      </c>
      <c r="T7" s="111" t="s">
        <v>45</v>
      </c>
      <c r="U7" s="36" t="s">
        <v>46</v>
      </c>
      <c r="V7" s="36" t="s">
        <v>47</v>
      </c>
      <c r="W7" s="36" t="s">
        <v>48</v>
      </c>
      <c r="X7" s="36" t="s">
        <v>103</v>
      </c>
      <c r="Y7" s="111" t="s">
        <v>206</v>
      </c>
    </row>
    <row r="8" spans="1:27" ht="90" x14ac:dyDescent="0.25">
      <c r="A8" s="29" t="s">
        <v>17</v>
      </c>
      <c r="B8" s="31" t="s">
        <v>217</v>
      </c>
      <c r="C8" s="31" t="s">
        <v>218</v>
      </c>
      <c r="D8" s="45" t="s">
        <v>136</v>
      </c>
      <c r="E8" s="46" t="str">
        <f>C8&amp;" "&amp;D8</f>
        <v>Tally's Glulam Proxy (AWC/CWC North American Glued Laminated Timbers 2013) yes</v>
      </c>
      <c r="F8" s="32" t="str">
        <f>A8&amp;" "&amp;B8&amp;" "&amp;C8</f>
        <v>CLT CLT Industry-Wide EPD Tally's Glulam Proxy (AWC/CWC North American Glued Laminated Timbers 2013)</v>
      </c>
      <c r="G8" s="32" t="str">
        <f>A8&amp;" "&amp;B8&amp;" "&amp;C8&amp;" "&amp;D8</f>
        <v>CLT CLT Industry-Wide EPD Tally's Glulam Proxy (AWC/CWC North American Glued Laminated Timbers 2013) yes</v>
      </c>
      <c r="H8" s="46" t="s">
        <v>83</v>
      </c>
      <c r="I8" s="32" t="str">
        <f>C8&amp;" "&amp;H8</f>
        <v>Tally's Glulam Proxy (AWC/CWC North American Glued Laminated Timbers 2013) Tally w/Biogenic Carbon</v>
      </c>
      <c r="J8" s="32" t="str">
        <f t="shared" ref="J8:J39" si="0">I8</f>
        <v>Tally's Glulam Proxy (AWC/CWC North American Glued Laminated Timbers 2013) Tally w/Biogenic Carbon</v>
      </c>
      <c r="K8" s="19" t="s">
        <v>2</v>
      </c>
      <c r="L8" s="19" t="s">
        <v>92</v>
      </c>
      <c r="M8" s="33">
        <v>1.83</v>
      </c>
      <c r="N8" s="33">
        <v>293.31996468155182</v>
      </c>
      <c r="O8" s="33">
        <f>7.789398161/0.02831685</f>
        <v>275.07996691016126</v>
      </c>
      <c r="P8" s="33">
        <v>0</v>
      </c>
      <c r="Q8" s="33">
        <v>45.373994539131644</v>
      </c>
      <c r="R8" s="33">
        <v>-1091.3464200000001</v>
      </c>
      <c r="S8" s="33">
        <v>12.520870493083375</v>
      </c>
      <c r="T8" s="33">
        <f>10.9231258578827/0.02831685</f>
        <v>385.7465028024904</v>
      </c>
      <c r="U8" s="33" t="e">
        <v>#VALUE!</v>
      </c>
      <c r="V8" s="33" t="e">
        <v>#VALUE!</v>
      </c>
      <c r="W8" s="33" t="e">
        <v>#VALUE!</v>
      </c>
      <c r="X8" s="33">
        <v>0</v>
      </c>
      <c r="Y8" s="90">
        <v>545.964747182</v>
      </c>
      <c r="Z8" s="54"/>
      <c r="AA8" s="54"/>
    </row>
    <row r="9" spans="1:27" s="21" customFormat="1" ht="90" x14ac:dyDescent="0.25">
      <c r="A9" s="29" t="s">
        <v>17</v>
      </c>
      <c r="B9" s="31" t="s">
        <v>217</v>
      </c>
      <c r="C9" s="31" t="s">
        <v>218</v>
      </c>
      <c r="D9" s="45" t="s">
        <v>157</v>
      </c>
      <c r="E9" s="46" t="str">
        <f t="shared" ref="E9:E62" si="1">C9&amp;" "&amp;D9</f>
        <v>Tally's Glulam Proxy (AWC/CWC North American Glued Laminated Timbers 2013) no</v>
      </c>
      <c r="F9" s="32" t="str">
        <f t="shared" ref="F9:F62" si="2">A9&amp;" "&amp;B9&amp;" "&amp;C9</f>
        <v>CLT CLT Industry-Wide EPD Tally's Glulam Proxy (AWC/CWC North American Glued Laminated Timbers 2013)</v>
      </c>
      <c r="G9" s="32" t="str">
        <f t="shared" ref="G9:G62" si="3">A9&amp;" "&amp;B9&amp;" "&amp;C9&amp;" "&amp;D9</f>
        <v>CLT CLT Industry-Wide EPD Tally's Glulam Proxy (AWC/CWC North American Glued Laminated Timbers 2013) no</v>
      </c>
      <c r="H9" s="46" t="s">
        <v>84</v>
      </c>
      <c r="I9" s="32" t="str">
        <f>C9&amp;" "&amp;H9</f>
        <v>Tally's Glulam Proxy (AWC/CWC North American Glued Laminated Timbers 2013) Tally w/o Biogenic Carbon</v>
      </c>
      <c r="J9" s="32" t="str">
        <f t="shared" si="0"/>
        <v>Tally's Glulam Proxy (AWC/CWC North American Glued Laminated Timbers 2013) Tally w/o Biogenic Carbon</v>
      </c>
      <c r="K9" s="19"/>
      <c r="L9" s="19"/>
      <c r="M9" s="33">
        <v>1.83</v>
      </c>
      <c r="N9" s="33">
        <v>0</v>
      </c>
      <c r="O9" s="33">
        <f>7.789398161/0.02831685</f>
        <v>275.07996691016126</v>
      </c>
      <c r="P9" s="33">
        <v>0</v>
      </c>
      <c r="Q9" s="33">
        <f>-2.358793321/0.02831685</f>
        <v>-83.299989970635849</v>
      </c>
      <c r="R9" s="33">
        <v>0</v>
      </c>
      <c r="S9" s="33">
        <v>0</v>
      </c>
      <c r="T9" s="33">
        <f>10.9231258578827/0.02831685</f>
        <v>385.7465028024904</v>
      </c>
      <c r="U9" s="91"/>
      <c r="V9" s="33"/>
      <c r="W9" s="33"/>
      <c r="X9" s="33"/>
      <c r="Y9" s="90">
        <v>546</v>
      </c>
      <c r="Z9" s="54"/>
      <c r="AA9" s="54"/>
    </row>
    <row r="10" spans="1:27" s="54" customFormat="1" ht="90" x14ac:dyDescent="0.25">
      <c r="A10" s="29" t="s">
        <v>17</v>
      </c>
      <c r="B10" s="31" t="s">
        <v>217</v>
      </c>
      <c r="C10" s="31" t="s">
        <v>218</v>
      </c>
      <c r="D10" s="45" t="s">
        <v>136</v>
      </c>
      <c r="E10" s="46" t="str">
        <f t="shared" si="1"/>
        <v>Tally's Glulam Proxy (AWC/CWC North American Glued Laminated Timbers 2013) yes</v>
      </c>
      <c r="F10" s="32" t="str">
        <f t="shared" si="2"/>
        <v>CLT CLT Industry-Wide EPD Tally's Glulam Proxy (AWC/CWC North American Glued Laminated Timbers 2013)</v>
      </c>
      <c r="G10" s="32" t="str">
        <f t="shared" si="3"/>
        <v>CLT CLT Industry-Wide EPD Tally's Glulam Proxy (AWC/CWC North American Glued Laminated Timbers 2013) yes</v>
      </c>
      <c r="H10" s="46" t="s">
        <v>85</v>
      </c>
      <c r="I10" s="32" t="str">
        <f t="shared" ref="I10:I11" si="4">C10&amp;" "&amp;H10</f>
        <v>Tally's Glulam Proxy (AWC/CWC North American Glued Laminated Timbers 2013) EPD v1 - Biogenic Carbon Net Neutral</v>
      </c>
      <c r="J10" s="32" t="str">
        <f t="shared" si="0"/>
        <v>Tally's Glulam Proxy (AWC/CWC North American Glued Laminated Timbers 2013) EPD v1 - Biogenic Carbon Net Neutral</v>
      </c>
      <c r="K10" s="19"/>
      <c r="L10" s="19"/>
      <c r="M10" s="33">
        <v>1.83</v>
      </c>
      <c r="N10" s="33">
        <f>R10*-1</f>
        <v>1091.3464200000001</v>
      </c>
      <c r="O10" s="33">
        <v>0</v>
      </c>
      <c r="P10" s="33">
        <v>0</v>
      </c>
      <c r="Q10" s="33">
        <v>0</v>
      </c>
      <c r="R10" s="33">
        <v>-1091.3464200000001</v>
      </c>
      <c r="S10" s="33">
        <v>0</v>
      </c>
      <c r="T10" s="33">
        <f>10.9231258578827/0.02831685</f>
        <v>385.7465028024904</v>
      </c>
      <c r="U10" s="33" t="e">
        <v>#VALUE!</v>
      </c>
      <c r="V10" s="33" t="e">
        <v>#VALUE!</v>
      </c>
      <c r="W10" s="33" t="e">
        <v>#VALUE!</v>
      </c>
      <c r="X10" s="33">
        <v>0</v>
      </c>
      <c r="Y10" s="90">
        <v>545.964747182</v>
      </c>
    </row>
    <row r="11" spans="1:27" s="54" customFormat="1" ht="105" x14ac:dyDescent="0.25">
      <c r="A11" s="29" t="s">
        <v>17</v>
      </c>
      <c r="B11" s="31" t="s">
        <v>217</v>
      </c>
      <c r="C11" s="31" t="s">
        <v>218</v>
      </c>
      <c r="D11" s="45" t="s">
        <v>136</v>
      </c>
      <c r="E11" s="46" t="str">
        <f t="shared" si="1"/>
        <v>Tally's Glulam Proxy (AWC/CWC North American Glued Laminated Timbers 2013) yes</v>
      </c>
      <c r="F11" s="32" t="str">
        <f t="shared" si="2"/>
        <v>CLT CLT Industry-Wide EPD Tally's Glulam Proxy (AWC/CWC North American Glued Laminated Timbers 2013)</v>
      </c>
      <c r="G11" s="32" t="str">
        <f t="shared" si="3"/>
        <v>CLT CLT Industry-Wide EPD Tally's Glulam Proxy (AWC/CWC North American Glued Laminated Timbers 2013) yes</v>
      </c>
      <c r="H11" s="46" t="s">
        <v>86</v>
      </c>
      <c r="I11" s="32" t="str">
        <f t="shared" si="4"/>
        <v>Tally's Glulam Proxy (AWC/CWC North American Glued Laminated Timbers 2013) EPD v2 - w/Long Term Biogenic Carbon Sequestration</v>
      </c>
      <c r="J11" s="32" t="str">
        <f t="shared" si="0"/>
        <v>Tally's Glulam Proxy (AWC/CWC North American Glued Laminated Timbers 2013) EPD v2 - w/Long Term Biogenic Carbon Sequestration</v>
      </c>
      <c r="K11" s="19"/>
      <c r="L11" s="19"/>
      <c r="M11" s="33">
        <v>1.83</v>
      </c>
      <c r="N11" s="36">
        <f>(R11*-1)*0.16</f>
        <v>174.61542720000003</v>
      </c>
      <c r="O11" s="33">
        <v>0</v>
      </c>
      <c r="P11" s="33">
        <v>0</v>
      </c>
      <c r="Q11" s="33">
        <v>0</v>
      </c>
      <c r="R11" s="33">
        <v>-1091.3464200000001</v>
      </c>
      <c r="S11" s="33">
        <v>0</v>
      </c>
      <c r="T11" s="33">
        <f>10.9231258578827/0.02831685</f>
        <v>385.7465028024904</v>
      </c>
      <c r="U11" s="33" t="e">
        <v>#VALUE!</v>
      </c>
      <c r="V11" s="33" t="e">
        <v>#VALUE!</v>
      </c>
      <c r="W11" s="33" t="e">
        <v>#VALUE!</v>
      </c>
      <c r="X11" s="33">
        <v>0</v>
      </c>
      <c r="Y11" s="90">
        <v>545.964747182</v>
      </c>
    </row>
    <row r="12" spans="1:27" s="65" customFormat="1" ht="45" x14ac:dyDescent="0.25">
      <c r="A12" s="29" t="s">
        <v>17</v>
      </c>
      <c r="B12" s="31" t="s">
        <v>219</v>
      </c>
      <c r="C12" s="31" t="s">
        <v>220</v>
      </c>
      <c r="D12" s="45" t="s">
        <v>136</v>
      </c>
      <c r="E12" s="46" t="str">
        <f t="shared" si="1"/>
        <v>KLH EPD 2012 (57mm thick) yes</v>
      </c>
      <c r="F12" s="32" t="str">
        <f t="shared" si="2"/>
        <v>CLT CLT Supplier EPD KLH EPD 2012 (57mm thick)</v>
      </c>
      <c r="G12" s="32" t="str">
        <f t="shared" si="3"/>
        <v>CLT CLT Supplier EPD KLH EPD 2012 (57mm thick) yes</v>
      </c>
      <c r="H12" s="46" t="s">
        <v>83</v>
      </c>
      <c r="I12" s="32" t="str">
        <f t="shared" ref="I12:I62" si="5">C12&amp;" "&amp;H12</f>
        <v>KLH EPD 2012 (57mm thick) Tally w/Biogenic Carbon</v>
      </c>
      <c r="J12" s="32" t="str">
        <f t="shared" si="0"/>
        <v>KLH EPD 2012 (57mm thick) Tally w/Biogenic Carbon</v>
      </c>
      <c r="K12" s="19" t="s">
        <v>2</v>
      </c>
      <c r="L12" s="19" t="s">
        <v>19</v>
      </c>
      <c r="M12" s="33">
        <v>1.83</v>
      </c>
      <c r="N12" s="92">
        <v>302.29354695199993</v>
      </c>
      <c r="O12" s="92">
        <v>240.5</v>
      </c>
      <c r="P12" s="92"/>
      <c r="Q12" s="92">
        <v>474.98226711499996</v>
      </c>
      <c r="R12" s="92">
        <v>-800.93664075599986</v>
      </c>
      <c r="S12" s="92">
        <v>12.324818678299998</v>
      </c>
      <c r="T12" s="92">
        <v>243.3</v>
      </c>
      <c r="U12" s="47"/>
      <c r="V12" s="47"/>
      <c r="W12" s="47"/>
      <c r="X12" s="47">
        <v>0</v>
      </c>
      <c r="Y12" s="93">
        <v>483.81093378999992</v>
      </c>
      <c r="AA12" s="54"/>
    </row>
    <row r="13" spans="1:27" s="65" customFormat="1" ht="45" x14ac:dyDescent="0.25">
      <c r="A13" s="29" t="s">
        <v>17</v>
      </c>
      <c r="B13" s="31" t="s">
        <v>219</v>
      </c>
      <c r="C13" s="31" t="s">
        <v>220</v>
      </c>
      <c r="D13" s="45" t="s">
        <v>157</v>
      </c>
      <c r="E13" s="46" t="str">
        <f t="shared" si="1"/>
        <v>KLH EPD 2012 (57mm thick) no</v>
      </c>
      <c r="F13" s="32" t="str">
        <f t="shared" si="2"/>
        <v>CLT CLT Supplier EPD KLH EPD 2012 (57mm thick)</v>
      </c>
      <c r="G13" s="32" t="str">
        <f t="shared" si="3"/>
        <v>CLT CLT Supplier EPD KLH EPD 2012 (57mm thick) no</v>
      </c>
      <c r="H13" s="46" t="s">
        <v>84</v>
      </c>
      <c r="I13" s="32" t="str">
        <f t="shared" si="5"/>
        <v>KLH EPD 2012 (57mm thick) Tally w/o Biogenic Carbon</v>
      </c>
      <c r="J13" s="32" t="str">
        <f t="shared" si="0"/>
        <v>KLH EPD 2012 (57mm thick) Tally w/o Biogenic Carbon</v>
      </c>
      <c r="K13" s="19"/>
      <c r="L13" s="19" t="s">
        <v>19</v>
      </c>
      <c r="M13" s="33">
        <v>1.83</v>
      </c>
      <c r="N13" s="33">
        <v>0</v>
      </c>
      <c r="O13" s="92">
        <v>240.49288022699997</v>
      </c>
      <c r="P13" s="92"/>
      <c r="Q13" s="92">
        <v>348.20261366199992</v>
      </c>
      <c r="R13" s="92">
        <v>0</v>
      </c>
      <c r="S13" s="92">
        <v>12.324818678299998</v>
      </c>
      <c r="T13" s="92">
        <v>243.31805356299998</v>
      </c>
      <c r="U13" s="47"/>
      <c r="V13" s="47"/>
      <c r="W13" s="47"/>
      <c r="X13" s="47"/>
      <c r="Y13" s="93">
        <v>483.81093378999992</v>
      </c>
      <c r="AA13" s="54"/>
    </row>
    <row r="14" spans="1:27" s="54" customFormat="1" ht="45" x14ac:dyDescent="0.25">
      <c r="A14" s="29" t="s">
        <v>17</v>
      </c>
      <c r="B14" s="31" t="s">
        <v>219</v>
      </c>
      <c r="C14" s="31" t="s">
        <v>221</v>
      </c>
      <c r="D14" s="45" t="s">
        <v>136</v>
      </c>
      <c r="E14" s="46" t="str">
        <f t="shared" si="1"/>
        <v>KLH EPD 2012 (320 mm thick) yes</v>
      </c>
      <c r="F14" s="32" t="str">
        <f t="shared" si="2"/>
        <v>CLT CLT Supplier EPD KLH EPD 2012 (320 mm thick)</v>
      </c>
      <c r="G14" s="32" t="str">
        <f t="shared" si="3"/>
        <v>CLT CLT Supplier EPD KLH EPD 2012 (320 mm thick) yes</v>
      </c>
      <c r="H14" s="46" t="s">
        <v>83</v>
      </c>
      <c r="I14" s="32" t="str">
        <f t="shared" ref="I14:I15" si="6">C14&amp;" "&amp;H14</f>
        <v>KLH EPD 2012 (320 mm thick) Tally w/Biogenic Carbon</v>
      </c>
      <c r="J14" s="32" t="str">
        <f t="shared" si="0"/>
        <v>KLH EPD 2012 (320 mm thick) Tally w/Biogenic Carbon</v>
      </c>
      <c r="K14" s="19" t="s">
        <v>2</v>
      </c>
      <c r="L14" s="19" t="s">
        <v>18</v>
      </c>
      <c r="M14" s="33">
        <v>1.83</v>
      </c>
      <c r="N14" s="33">
        <v>299.63696395056297</v>
      </c>
      <c r="O14" s="33">
        <f>6.744308303/0.02831685</f>
        <v>238.17297132272836</v>
      </c>
      <c r="P14" s="33">
        <v>0</v>
      </c>
      <c r="Q14" s="33">
        <v>470.58369336413125</v>
      </c>
      <c r="R14" s="33">
        <v>-792</v>
      </c>
      <c r="S14" s="33">
        <v>12.27013367326016</v>
      </c>
      <c r="T14" s="33">
        <f>6.526749971/0.02831685</f>
        <v>230.48997226033262</v>
      </c>
      <c r="U14" s="33"/>
      <c r="V14" s="33"/>
      <c r="W14" s="33"/>
      <c r="X14" s="33">
        <v>0</v>
      </c>
      <c r="Y14" s="90">
        <v>480.27946711999994</v>
      </c>
    </row>
    <row r="15" spans="1:27" s="54" customFormat="1" ht="45" x14ac:dyDescent="0.25">
      <c r="A15" s="29" t="s">
        <v>17</v>
      </c>
      <c r="B15" s="31" t="s">
        <v>219</v>
      </c>
      <c r="C15" s="31" t="s">
        <v>221</v>
      </c>
      <c r="D15" s="45" t="s">
        <v>157</v>
      </c>
      <c r="E15" s="46" t="str">
        <f t="shared" si="1"/>
        <v>KLH EPD 2012 (320 mm thick) no</v>
      </c>
      <c r="F15" s="32" t="str">
        <f t="shared" si="2"/>
        <v>CLT CLT Supplier EPD KLH EPD 2012 (320 mm thick)</v>
      </c>
      <c r="G15" s="32" t="str">
        <f t="shared" si="3"/>
        <v>CLT CLT Supplier EPD KLH EPD 2012 (320 mm thick) no</v>
      </c>
      <c r="H15" s="46" t="s">
        <v>84</v>
      </c>
      <c r="I15" s="32" t="str">
        <f t="shared" si="6"/>
        <v>KLH EPD 2012 (320 mm thick) Tally w/o Biogenic Carbon</v>
      </c>
      <c r="J15" s="32" t="str">
        <f t="shared" si="0"/>
        <v>KLH EPD 2012 (320 mm thick) Tally w/o Biogenic Carbon</v>
      </c>
      <c r="K15" s="19"/>
      <c r="L15" s="19" t="s">
        <v>18</v>
      </c>
      <c r="M15" s="33">
        <v>1.83</v>
      </c>
      <c r="N15" s="33">
        <v>0</v>
      </c>
      <c r="O15" s="33">
        <f>6.744308303/0.02831685</f>
        <v>238.17297132272836</v>
      </c>
      <c r="P15" s="33"/>
      <c r="Q15" s="33">
        <f>9.762930165/0.02831685</f>
        <v>344.77458350769945</v>
      </c>
      <c r="R15" s="33">
        <v>0</v>
      </c>
      <c r="S15" s="33">
        <f>0.34554246/0.02831685</f>
        <v>12.202715344397417</v>
      </c>
      <c r="T15" s="33">
        <f>6.526749971/0.02831685</f>
        <v>230.48997226033262</v>
      </c>
      <c r="U15" s="33"/>
      <c r="V15" s="33"/>
      <c r="W15" s="33"/>
      <c r="X15" s="33"/>
      <c r="Y15" s="90">
        <v>480.27946711999994</v>
      </c>
    </row>
    <row r="16" spans="1:27" s="48" customFormat="1" ht="120" x14ac:dyDescent="0.25">
      <c r="A16" s="29" t="s">
        <v>17</v>
      </c>
      <c r="B16" s="31" t="s">
        <v>219</v>
      </c>
      <c r="C16" s="31" t="s">
        <v>222</v>
      </c>
      <c r="D16" s="45" t="s">
        <v>136</v>
      </c>
      <c r="E16" s="46" t="str">
        <f t="shared" si="1"/>
        <v>Structurlam - Crosslam CLT EPD for Cross Laminated Timber produced by Structurlam in Okanagan Falls, BC 2020 yes</v>
      </c>
      <c r="F16" s="32" t="str">
        <f t="shared" si="2"/>
        <v>CLT CLT Supplier EPD Structurlam - Crosslam CLT EPD for Cross Laminated Timber produced by Structurlam in Okanagan Falls, BC 2020</v>
      </c>
      <c r="G16" s="32" t="str">
        <f t="shared" si="3"/>
        <v>CLT CLT Supplier EPD Structurlam - Crosslam CLT EPD for Cross Laminated Timber produced by Structurlam in Okanagan Falls, BC 2020 yes</v>
      </c>
      <c r="H16" s="46" t="s">
        <v>85</v>
      </c>
      <c r="I16" s="32" t="str">
        <f t="shared" si="5"/>
        <v>Structurlam - Crosslam CLT EPD for Cross Laminated Timber produced by Structurlam in Okanagan Falls, BC 2020 EPD v1 - Biogenic Carbon Net Neutral</v>
      </c>
      <c r="J16" s="32" t="str">
        <f t="shared" si="0"/>
        <v>Structurlam - Crosslam CLT EPD for Cross Laminated Timber produced by Structurlam in Okanagan Falls, BC 2020 EPD v1 - Biogenic Carbon Net Neutral</v>
      </c>
      <c r="K16" s="19"/>
      <c r="L16" s="19"/>
      <c r="M16" s="33">
        <v>1.83</v>
      </c>
      <c r="N16" s="33">
        <v>874.83</v>
      </c>
      <c r="O16" s="33">
        <v>0</v>
      </c>
      <c r="P16" s="33">
        <v>0</v>
      </c>
      <c r="Q16" s="33">
        <v>0</v>
      </c>
      <c r="R16" s="33">
        <v>-874.83</v>
      </c>
      <c r="S16" s="33">
        <v>0</v>
      </c>
      <c r="T16" s="33">
        <v>124.02</v>
      </c>
      <c r="U16" s="33">
        <v>61.16</v>
      </c>
      <c r="V16" s="33">
        <v>40.799999999999997</v>
      </c>
      <c r="W16" s="33">
        <v>21.61</v>
      </c>
      <c r="X16" s="33"/>
      <c r="Y16" s="89">
        <v>481</v>
      </c>
      <c r="Z16" s="54"/>
      <c r="AA16" s="54"/>
    </row>
    <row r="17" spans="1:27" s="48" customFormat="1" ht="120" x14ac:dyDescent="0.25">
      <c r="A17" s="29" t="s">
        <v>17</v>
      </c>
      <c r="B17" s="31" t="s">
        <v>219</v>
      </c>
      <c r="C17" s="31" t="s">
        <v>222</v>
      </c>
      <c r="D17" s="45" t="s">
        <v>136</v>
      </c>
      <c r="E17" s="46" t="str">
        <f t="shared" si="1"/>
        <v>Structurlam - Crosslam CLT EPD for Cross Laminated Timber produced by Structurlam in Okanagan Falls, BC 2020 yes</v>
      </c>
      <c r="F17" s="32" t="str">
        <f t="shared" si="2"/>
        <v>CLT CLT Supplier EPD Structurlam - Crosslam CLT EPD for Cross Laminated Timber produced by Structurlam in Okanagan Falls, BC 2020</v>
      </c>
      <c r="G17" s="32" t="str">
        <f t="shared" si="3"/>
        <v>CLT CLT Supplier EPD Structurlam - Crosslam CLT EPD for Cross Laminated Timber produced by Structurlam in Okanagan Falls, BC 2020 yes</v>
      </c>
      <c r="H17" s="46" t="s">
        <v>86</v>
      </c>
      <c r="I17" s="32" t="str">
        <f t="shared" si="5"/>
        <v>Structurlam - Crosslam CLT EPD for Cross Laminated Timber produced by Structurlam in Okanagan Falls, BC 2020 EPD v2 - w/Long Term Biogenic Carbon Sequestration</v>
      </c>
      <c r="J17" s="32" t="str">
        <f t="shared" si="0"/>
        <v>Structurlam - Crosslam CLT EPD for Cross Laminated Timber produced by Structurlam in Okanagan Falls, BC 2020 EPD v2 - w/Long Term Biogenic Carbon Sequestration</v>
      </c>
      <c r="K17" s="19"/>
      <c r="L17" s="19"/>
      <c r="M17" s="33">
        <v>1.83</v>
      </c>
      <c r="N17" s="36">
        <f>-N32/R32*(-1*R17)</f>
        <v>140.33011459207268</v>
      </c>
      <c r="O17" s="33">
        <v>0</v>
      </c>
      <c r="P17" s="33">
        <v>0</v>
      </c>
      <c r="Q17" s="33">
        <v>0</v>
      </c>
      <c r="R17" s="33">
        <v>-874.83</v>
      </c>
      <c r="S17" s="33">
        <v>0</v>
      </c>
      <c r="T17" s="33">
        <v>124.02</v>
      </c>
      <c r="U17" s="33">
        <v>61.16</v>
      </c>
      <c r="V17" s="33">
        <v>40.799999999999997</v>
      </c>
      <c r="W17" s="33">
        <v>21.61</v>
      </c>
      <c r="X17" s="33"/>
      <c r="Y17" s="89">
        <v>481</v>
      </c>
      <c r="Z17" s="54"/>
      <c r="AA17" s="54"/>
    </row>
    <row r="18" spans="1:27" s="48" customFormat="1" ht="105" x14ac:dyDescent="0.25">
      <c r="A18" s="29" t="s">
        <v>17</v>
      </c>
      <c r="B18" s="31" t="s">
        <v>219</v>
      </c>
      <c r="C18" s="31" t="s">
        <v>222</v>
      </c>
      <c r="D18" s="45" t="s">
        <v>136</v>
      </c>
      <c r="E18" s="46" t="str">
        <f t="shared" si="1"/>
        <v>Structurlam - Crosslam CLT EPD for Cross Laminated Timber produced by Structurlam in Okanagan Falls, BC 2020 yes</v>
      </c>
      <c r="F18" s="32" t="str">
        <f t="shared" si="2"/>
        <v>CLT CLT Supplier EPD Structurlam - Crosslam CLT EPD for Cross Laminated Timber produced by Structurlam in Okanagan Falls, BC 2020</v>
      </c>
      <c r="G18" s="32" t="str">
        <f t="shared" si="3"/>
        <v>CLT CLT Supplier EPD Structurlam - Crosslam CLT EPD for Cross Laminated Timber produced by Structurlam in Okanagan Falls, BC 2020 yes</v>
      </c>
      <c r="H18" s="46" t="s">
        <v>83</v>
      </c>
      <c r="I18" s="32" t="str">
        <f t="shared" si="5"/>
        <v>Structurlam - Crosslam CLT EPD for Cross Laminated Timber produced by Structurlam in Okanagan Falls, BC 2020 Tally w/Biogenic Carbon</v>
      </c>
      <c r="J18" s="32" t="str">
        <f t="shared" si="0"/>
        <v>Structurlam - Crosslam CLT EPD for Cross Laminated Timber produced by Structurlam in Okanagan Falls, BC 2020 Tally w/Biogenic Carbon</v>
      </c>
      <c r="K18" s="19"/>
      <c r="L18" s="19"/>
      <c r="M18" s="33">
        <v>1.83</v>
      </c>
      <c r="N18" s="94">
        <f>Y18*'Tally C-D kg factors'!D3</f>
        <v>258.41760615506269</v>
      </c>
      <c r="O18" s="94">
        <f>Y18*'Tally C-D kg factors'!E3</f>
        <v>242.34799914595996</v>
      </c>
      <c r="P18" s="94">
        <v>0</v>
      </c>
      <c r="Q18" s="94">
        <f>Y18*'Tally C-D kg factors'!F3</f>
        <v>39.974909526616166</v>
      </c>
      <c r="R18" s="33">
        <v>-874.83</v>
      </c>
      <c r="S18" s="33">
        <v>0</v>
      </c>
      <c r="T18" s="33">
        <v>124.02</v>
      </c>
      <c r="U18" s="33"/>
      <c r="V18" s="33"/>
      <c r="W18" s="33"/>
      <c r="X18" s="33"/>
      <c r="Y18" s="89">
        <v>481</v>
      </c>
      <c r="Z18" s="54"/>
      <c r="AA18" s="54"/>
    </row>
    <row r="19" spans="1:27" s="48" customFormat="1" ht="105" x14ac:dyDescent="0.25">
      <c r="A19" s="29" t="s">
        <v>17</v>
      </c>
      <c r="B19" s="31" t="s">
        <v>219</v>
      </c>
      <c r="C19" s="31" t="s">
        <v>222</v>
      </c>
      <c r="D19" s="45" t="s">
        <v>157</v>
      </c>
      <c r="E19" s="46" t="str">
        <f t="shared" si="1"/>
        <v>Structurlam - Crosslam CLT EPD for Cross Laminated Timber produced by Structurlam in Okanagan Falls, BC 2020 no</v>
      </c>
      <c r="F19" s="32" t="str">
        <f t="shared" si="2"/>
        <v>CLT CLT Supplier EPD Structurlam - Crosslam CLT EPD for Cross Laminated Timber produced by Structurlam in Okanagan Falls, BC 2020</v>
      </c>
      <c r="G19" s="32" t="str">
        <f t="shared" si="3"/>
        <v>CLT CLT Supplier EPD Structurlam - Crosslam CLT EPD for Cross Laminated Timber produced by Structurlam in Okanagan Falls, BC 2020 no</v>
      </c>
      <c r="H19" s="46" t="s">
        <v>84</v>
      </c>
      <c r="I19" s="32" t="str">
        <f t="shared" si="5"/>
        <v>Structurlam - Crosslam CLT EPD for Cross Laminated Timber produced by Structurlam in Okanagan Falls, BC 2020 Tally w/o Biogenic Carbon</v>
      </c>
      <c r="J19" s="32" t="str">
        <f t="shared" si="0"/>
        <v>Structurlam - Crosslam CLT EPD for Cross Laminated Timber produced by Structurlam in Okanagan Falls, BC 2020 Tally w/o Biogenic Carbon</v>
      </c>
      <c r="K19" s="19"/>
      <c r="L19" s="19"/>
      <c r="M19" s="33">
        <v>1.83</v>
      </c>
      <c r="N19" s="94">
        <v>0</v>
      </c>
      <c r="O19" s="94">
        <f>Y19*'Tally C-D kg factors'!E4</f>
        <v>242.33235180180873</v>
      </c>
      <c r="P19" s="94">
        <v>0</v>
      </c>
      <c r="Q19" s="94">
        <f>Y19*'Tally C-D kg factors'!F4</f>
        <v>-73.383324497941103</v>
      </c>
      <c r="R19" s="33">
        <v>-874.83</v>
      </c>
      <c r="S19" s="33">
        <v>0</v>
      </c>
      <c r="T19" s="33">
        <v>124.02</v>
      </c>
      <c r="U19" s="33"/>
      <c r="V19" s="33"/>
      <c r="W19" s="33"/>
      <c r="X19" s="33"/>
      <c r="Y19" s="89">
        <v>481</v>
      </c>
      <c r="Z19" s="54"/>
      <c r="AA19" s="54"/>
    </row>
    <row r="20" spans="1:27" s="48" customFormat="1" ht="75" x14ac:dyDescent="0.25">
      <c r="A20" s="29" t="s">
        <v>17</v>
      </c>
      <c r="B20" s="31" t="s">
        <v>219</v>
      </c>
      <c r="C20" s="31" t="s">
        <v>223</v>
      </c>
      <c r="D20" s="45" t="s">
        <v>136</v>
      </c>
      <c r="E20" s="46" t="str">
        <f t="shared" si="1"/>
        <v>Nordic X-Lam (CLT) Environmental Product Declaration 2018 yes</v>
      </c>
      <c r="F20" s="32" t="str">
        <f t="shared" si="2"/>
        <v>CLT CLT Supplier EPD Nordic X-Lam (CLT) Environmental Product Declaration 2018</v>
      </c>
      <c r="G20" s="32" t="str">
        <f t="shared" si="3"/>
        <v>CLT CLT Supplier EPD Nordic X-Lam (CLT) Environmental Product Declaration 2018 yes</v>
      </c>
      <c r="H20" s="46" t="s">
        <v>85</v>
      </c>
      <c r="I20" s="32" t="str">
        <f t="shared" si="5"/>
        <v>Nordic X-Lam (CLT) Environmental Product Declaration 2018 EPD v1 - Biogenic Carbon Net Neutral</v>
      </c>
      <c r="J20" s="32" t="str">
        <f t="shared" si="0"/>
        <v>Nordic X-Lam (CLT) Environmental Product Declaration 2018 EPD v1 - Biogenic Carbon Net Neutral</v>
      </c>
      <c r="K20" s="19"/>
      <c r="L20" s="19"/>
      <c r="M20" s="33">
        <v>1.83</v>
      </c>
      <c r="N20" s="33">
        <v>590</v>
      </c>
      <c r="O20" s="94">
        <v>0</v>
      </c>
      <c r="P20" s="94">
        <v>0</v>
      </c>
      <c r="Q20" s="94">
        <v>0</v>
      </c>
      <c r="R20" s="33">
        <v>-590</v>
      </c>
      <c r="S20" s="94">
        <v>0</v>
      </c>
      <c r="T20" s="33">
        <v>121.89</v>
      </c>
      <c r="U20" s="33">
        <v>37.880000000000003</v>
      </c>
      <c r="V20" s="33">
        <v>51.97</v>
      </c>
      <c r="W20" s="33">
        <v>32.04</v>
      </c>
      <c r="X20" s="33"/>
      <c r="Y20" s="89">
        <v>406</v>
      </c>
      <c r="Z20" s="54"/>
      <c r="AA20" s="54"/>
    </row>
    <row r="21" spans="1:27" s="48" customFormat="1" ht="75" x14ac:dyDescent="0.25">
      <c r="A21" s="29" t="s">
        <v>17</v>
      </c>
      <c r="B21" s="31" t="s">
        <v>219</v>
      </c>
      <c r="C21" s="31" t="s">
        <v>223</v>
      </c>
      <c r="D21" s="45" t="s">
        <v>136</v>
      </c>
      <c r="E21" s="46" t="str">
        <f t="shared" si="1"/>
        <v>Nordic X-Lam (CLT) Environmental Product Declaration 2018 yes</v>
      </c>
      <c r="F21" s="32" t="str">
        <f t="shared" si="2"/>
        <v>CLT CLT Supplier EPD Nordic X-Lam (CLT) Environmental Product Declaration 2018</v>
      </c>
      <c r="G21" s="32" t="str">
        <f t="shared" si="3"/>
        <v>CLT CLT Supplier EPD Nordic X-Lam (CLT) Environmental Product Declaration 2018 yes</v>
      </c>
      <c r="H21" s="46" t="s">
        <v>86</v>
      </c>
      <c r="I21" s="32" t="str">
        <f t="shared" si="5"/>
        <v>Nordic X-Lam (CLT) Environmental Product Declaration 2018 EPD v2 - w/Long Term Biogenic Carbon Sequestration</v>
      </c>
      <c r="J21" s="32" t="str">
        <f t="shared" si="0"/>
        <v>Nordic X-Lam (CLT) Environmental Product Declaration 2018 EPD v2 - w/Long Term Biogenic Carbon Sequestration</v>
      </c>
      <c r="K21" s="19"/>
      <c r="L21" s="19"/>
      <c r="M21" s="33">
        <v>1.83</v>
      </c>
      <c r="N21" s="36">
        <f>N32/-R32*(-1*R21)</f>
        <v>94.640978943706642</v>
      </c>
      <c r="O21" s="94">
        <v>0</v>
      </c>
      <c r="P21" s="33"/>
      <c r="Q21" s="36"/>
      <c r="R21" s="33">
        <v>-590</v>
      </c>
      <c r="S21" s="33"/>
      <c r="T21" s="33">
        <v>121.89</v>
      </c>
      <c r="U21" s="33">
        <v>37.880000000000003</v>
      </c>
      <c r="V21" s="33">
        <v>51.97</v>
      </c>
      <c r="W21" s="33">
        <v>32.04</v>
      </c>
      <c r="X21" s="33"/>
      <c r="Y21" s="89">
        <v>406</v>
      </c>
      <c r="Z21" s="54"/>
      <c r="AA21" s="54"/>
    </row>
    <row r="22" spans="1:27" s="48" customFormat="1" ht="60" x14ac:dyDescent="0.25">
      <c r="A22" s="29" t="s">
        <v>17</v>
      </c>
      <c r="B22" s="31" t="s">
        <v>219</v>
      </c>
      <c r="C22" s="31" t="s">
        <v>223</v>
      </c>
      <c r="D22" s="45" t="s">
        <v>136</v>
      </c>
      <c r="E22" s="46" t="str">
        <f t="shared" si="1"/>
        <v>Nordic X-Lam (CLT) Environmental Product Declaration 2018 yes</v>
      </c>
      <c r="F22" s="32" t="str">
        <f t="shared" si="2"/>
        <v>CLT CLT Supplier EPD Nordic X-Lam (CLT) Environmental Product Declaration 2018</v>
      </c>
      <c r="G22" s="32" t="str">
        <f t="shared" si="3"/>
        <v>CLT CLT Supplier EPD Nordic X-Lam (CLT) Environmental Product Declaration 2018 yes</v>
      </c>
      <c r="H22" s="46" t="s">
        <v>83</v>
      </c>
      <c r="I22" s="32" t="str">
        <f t="shared" si="5"/>
        <v>Nordic X-Lam (CLT) Environmental Product Declaration 2018 Tally w/Biogenic Carbon</v>
      </c>
      <c r="J22" s="32" t="str">
        <f t="shared" si="0"/>
        <v>Nordic X-Lam (CLT) Environmental Product Declaration 2018 Tally w/Biogenic Carbon</v>
      </c>
      <c r="K22" s="19"/>
      <c r="L22" s="19"/>
      <c r="M22" s="33">
        <v>1.83</v>
      </c>
      <c r="N22" s="94">
        <f>Y22*'Tally C-D kg factors'!D3</f>
        <v>218.123800621529</v>
      </c>
      <c r="O22" s="94">
        <f>Y22*'Tally C-D kg factors'!E3</f>
        <v>204.5598495909766</v>
      </c>
      <c r="P22" s="94"/>
      <c r="Q22" s="94">
        <f>Y22*'Tally C-D kg factors'!F3</f>
        <v>33.741815525584542</v>
      </c>
      <c r="R22" s="33">
        <v>-590</v>
      </c>
      <c r="S22" s="33"/>
      <c r="T22" s="33">
        <v>121.89</v>
      </c>
      <c r="U22" s="33"/>
      <c r="V22" s="33"/>
      <c r="W22" s="33"/>
      <c r="X22" s="33"/>
      <c r="Y22" s="89">
        <v>406</v>
      </c>
      <c r="Z22" s="54"/>
      <c r="AA22" s="54"/>
    </row>
    <row r="23" spans="1:27" s="48" customFormat="1" ht="60" x14ac:dyDescent="0.25">
      <c r="A23" s="29" t="s">
        <v>17</v>
      </c>
      <c r="B23" s="31" t="s">
        <v>219</v>
      </c>
      <c r="C23" s="31" t="s">
        <v>223</v>
      </c>
      <c r="D23" s="45" t="s">
        <v>157</v>
      </c>
      <c r="E23" s="46" t="str">
        <f t="shared" si="1"/>
        <v>Nordic X-Lam (CLT) Environmental Product Declaration 2018 no</v>
      </c>
      <c r="F23" s="32" t="str">
        <f t="shared" si="2"/>
        <v>CLT CLT Supplier EPD Nordic X-Lam (CLT) Environmental Product Declaration 2018</v>
      </c>
      <c r="G23" s="32" t="str">
        <f t="shared" si="3"/>
        <v>CLT CLT Supplier EPD Nordic X-Lam (CLT) Environmental Product Declaration 2018 no</v>
      </c>
      <c r="H23" s="46" t="s">
        <v>84</v>
      </c>
      <c r="I23" s="32" t="str">
        <f t="shared" si="5"/>
        <v>Nordic X-Lam (CLT) Environmental Product Declaration 2018 Tally w/o Biogenic Carbon</v>
      </c>
      <c r="J23" s="32" t="str">
        <f t="shared" si="0"/>
        <v>Nordic X-Lam (CLT) Environmental Product Declaration 2018 Tally w/o Biogenic Carbon</v>
      </c>
      <c r="K23" s="19"/>
      <c r="L23" s="19"/>
      <c r="M23" s="33">
        <v>1.83</v>
      </c>
      <c r="N23" s="94">
        <v>0</v>
      </c>
      <c r="O23" s="94">
        <f>Y23*'Tally C-D kg factors'!E4</f>
        <v>204.54664206140194</v>
      </c>
      <c r="P23" s="94"/>
      <c r="Q23" s="94">
        <f>Y23*'Tally C-D kg factors'!F4</f>
        <v>-61.94101818329333</v>
      </c>
      <c r="R23" s="33">
        <v>0</v>
      </c>
      <c r="S23" s="33"/>
      <c r="T23" s="33">
        <v>121.89</v>
      </c>
      <c r="U23" s="33"/>
      <c r="V23" s="33"/>
      <c r="W23" s="33"/>
      <c r="X23" s="33"/>
      <c r="Y23" s="89">
        <v>406</v>
      </c>
      <c r="Z23" s="54"/>
      <c r="AA23" s="54"/>
    </row>
    <row r="24" spans="1:27" ht="64.150000000000006" customHeight="1" x14ac:dyDescent="0.25">
      <c r="A24" s="29" t="s">
        <v>53</v>
      </c>
      <c r="B24" s="31" t="s">
        <v>144</v>
      </c>
      <c r="C24" s="32" t="s">
        <v>224</v>
      </c>
      <c r="D24" s="46" t="s">
        <v>136</v>
      </c>
      <c r="E24" s="46" t="str">
        <f t="shared" si="1"/>
        <v>Tally - AWC/CWC North American Glued Laminated Timbers 2013 yes</v>
      </c>
      <c r="F24" s="32" t="str">
        <f t="shared" si="2"/>
        <v>Glulam Glulam US - Industry-Wide EPD Tally - AWC/CWC North American Glued Laminated Timbers 2013</v>
      </c>
      <c r="G24" s="32" t="str">
        <f t="shared" si="3"/>
        <v>Glulam Glulam US - Industry-Wide EPD Tally - AWC/CWC North American Glued Laminated Timbers 2013 yes</v>
      </c>
      <c r="H24" s="46" t="s">
        <v>83</v>
      </c>
      <c r="I24" s="32" t="str">
        <f t="shared" si="5"/>
        <v>Tally - AWC/CWC North American Glued Laminated Timbers 2013 Tally w/Biogenic Carbon</v>
      </c>
      <c r="J24" s="32" t="str">
        <f t="shared" si="0"/>
        <v>Tally - AWC/CWC North American Glued Laminated Timbers 2013 Tally w/Biogenic Carbon</v>
      </c>
      <c r="K24" s="19" t="s">
        <v>2</v>
      </c>
      <c r="L24" s="19" t="s">
        <v>13</v>
      </c>
      <c r="M24" s="33">
        <v>1.93</v>
      </c>
      <c r="N24" s="35">
        <v>355.4051255</v>
      </c>
      <c r="O24" s="33">
        <v>264</v>
      </c>
      <c r="P24" s="33">
        <v>0</v>
      </c>
      <c r="Q24" s="33">
        <v>49.445616049102206</v>
      </c>
      <c r="R24" s="33">
        <v>-964.28</v>
      </c>
      <c r="S24" s="33">
        <v>13.644426973860686</v>
      </c>
      <c r="T24" s="33">
        <v>198.10284619999999</v>
      </c>
      <c r="U24" s="33">
        <v>0</v>
      </c>
      <c r="V24" s="33">
        <v>0</v>
      </c>
      <c r="W24" s="33">
        <v>0</v>
      </c>
      <c r="X24" s="33"/>
      <c r="Y24" s="90">
        <v>533.25146716999996</v>
      </c>
      <c r="Z24" s="54"/>
      <c r="AA24" s="54"/>
    </row>
    <row r="25" spans="1:27" ht="69.75" customHeight="1" x14ac:dyDescent="0.25">
      <c r="A25" s="29" t="s">
        <v>53</v>
      </c>
      <c r="B25" s="31" t="s">
        <v>144</v>
      </c>
      <c r="C25" s="32" t="s">
        <v>224</v>
      </c>
      <c r="D25" s="46" t="s">
        <v>157</v>
      </c>
      <c r="E25" s="46" t="str">
        <f t="shared" si="1"/>
        <v>Tally - AWC/CWC North American Glued Laminated Timbers 2013 no</v>
      </c>
      <c r="F25" s="32" t="str">
        <f t="shared" si="2"/>
        <v>Glulam Glulam US - Industry-Wide EPD Tally - AWC/CWC North American Glued Laminated Timbers 2013</v>
      </c>
      <c r="G25" s="32" t="str">
        <f t="shared" si="3"/>
        <v>Glulam Glulam US - Industry-Wide EPD Tally - AWC/CWC North American Glued Laminated Timbers 2013 no</v>
      </c>
      <c r="H25" s="46" t="s">
        <v>84</v>
      </c>
      <c r="I25" s="32" t="str">
        <f t="shared" si="5"/>
        <v>Tally - AWC/CWC North American Glued Laminated Timbers 2013 Tally w/o Biogenic Carbon</v>
      </c>
      <c r="J25" s="32" t="str">
        <f t="shared" si="0"/>
        <v>Tally - AWC/CWC North American Glued Laminated Timbers 2013 Tally w/o Biogenic Carbon</v>
      </c>
      <c r="K25" s="19" t="s">
        <v>4</v>
      </c>
      <c r="L25" s="19" t="s">
        <v>13</v>
      </c>
      <c r="M25" s="33">
        <v>1.93</v>
      </c>
      <c r="N25" s="33">
        <v>0</v>
      </c>
      <c r="O25" s="33">
        <v>264</v>
      </c>
      <c r="P25" s="33">
        <v>0</v>
      </c>
      <c r="Q25" s="33">
        <v>-90.774889075025655</v>
      </c>
      <c r="R25" s="33">
        <v>0</v>
      </c>
      <c r="S25" s="33">
        <v>13.569457594883435</v>
      </c>
      <c r="T25" s="33">
        <v>198.10284615785019</v>
      </c>
      <c r="U25" s="33">
        <v>0</v>
      </c>
      <c r="V25" s="33">
        <v>0</v>
      </c>
      <c r="W25" s="33">
        <v>0</v>
      </c>
      <c r="X25" s="33"/>
      <c r="Y25" s="90">
        <v>533.25146716999996</v>
      </c>
      <c r="Z25" s="54"/>
      <c r="AA25" s="54"/>
    </row>
    <row r="26" spans="1:27" ht="68.25" customHeight="1" x14ac:dyDescent="0.25">
      <c r="A26" s="29" t="s">
        <v>53</v>
      </c>
      <c r="B26" s="31" t="s">
        <v>144</v>
      </c>
      <c r="C26" s="32" t="s">
        <v>77</v>
      </c>
      <c r="D26" s="46" t="s">
        <v>136</v>
      </c>
      <c r="E26" s="46" t="str">
        <f t="shared" si="1"/>
        <v>AWC/CWC North American Glued Laminated Timbers 2013 yes</v>
      </c>
      <c r="F26" s="32" t="str">
        <f t="shared" si="2"/>
        <v>Glulam Glulam US - Industry-Wide EPD AWC/CWC North American Glued Laminated Timbers 2013</v>
      </c>
      <c r="G26" s="32" t="str">
        <f t="shared" si="3"/>
        <v>Glulam Glulam US - Industry-Wide EPD AWC/CWC North American Glued Laminated Timbers 2013 yes</v>
      </c>
      <c r="H26" s="46" t="s">
        <v>85</v>
      </c>
      <c r="I26" s="32" t="str">
        <f t="shared" si="5"/>
        <v>AWC/CWC North American Glued Laminated Timbers 2013 EPD v1 - Biogenic Carbon Net Neutral</v>
      </c>
      <c r="J26" s="32" t="str">
        <f t="shared" si="0"/>
        <v>AWC/CWC North American Glued Laminated Timbers 2013 EPD v1 - Biogenic Carbon Net Neutral</v>
      </c>
      <c r="K26" s="19" t="s">
        <v>3</v>
      </c>
      <c r="L26" s="19" t="s">
        <v>14</v>
      </c>
      <c r="M26" s="33">
        <v>1.93</v>
      </c>
      <c r="N26" s="33">
        <v>964.28</v>
      </c>
      <c r="O26" s="33"/>
      <c r="P26" s="33"/>
      <c r="Q26" s="33"/>
      <c r="R26" s="33">
        <v>-964.28</v>
      </c>
      <c r="S26" s="33"/>
      <c r="T26" s="33">
        <v>197.87</v>
      </c>
      <c r="U26" s="33">
        <v>11.37</v>
      </c>
      <c r="V26" s="33"/>
      <c r="W26" s="33">
        <v>186.59</v>
      </c>
      <c r="X26" s="33">
        <v>-682.55</v>
      </c>
      <c r="Y26" s="89">
        <v>525.97</v>
      </c>
      <c r="Z26" s="54"/>
      <c r="AA26" s="54"/>
    </row>
    <row r="27" spans="1:27" ht="90" x14ac:dyDescent="0.25">
      <c r="A27" s="29" t="s">
        <v>53</v>
      </c>
      <c r="B27" s="31" t="s">
        <v>144</v>
      </c>
      <c r="C27" s="32" t="s">
        <v>77</v>
      </c>
      <c r="D27" s="46" t="s">
        <v>136</v>
      </c>
      <c r="E27" s="46" t="str">
        <f t="shared" si="1"/>
        <v>AWC/CWC North American Glued Laminated Timbers 2013 yes</v>
      </c>
      <c r="F27" s="32" t="str">
        <f t="shared" si="2"/>
        <v>Glulam Glulam US - Industry-Wide EPD AWC/CWC North American Glued Laminated Timbers 2013</v>
      </c>
      <c r="G27" s="32" t="str">
        <f t="shared" si="3"/>
        <v>Glulam Glulam US - Industry-Wide EPD AWC/CWC North American Glued Laminated Timbers 2013 yes</v>
      </c>
      <c r="H27" s="46" t="s">
        <v>86</v>
      </c>
      <c r="I27" s="32" t="str">
        <f t="shared" si="5"/>
        <v>AWC/CWC North American Glued Laminated Timbers 2013 EPD v2 - w/Long Term Biogenic Carbon Sequestration</v>
      </c>
      <c r="J27" s="32" t="str">
        <f t="shared" si="0"/>
        <v>AWC/CWC North American Glued Laminated Timbers 2013 EPD v2 - w/Long Term Biogenic Carbon Sequestration</v>
      </c>
      <c r="K27" s="19" t="s">
        <v>3</v>
      </c>
      <c r="L27" s="19" t="s">
        <v>15</v>
      </c>
      <c r="M27" s="33">
        <v>1.93</v>
      </c>
      <c r="N27" s="33">
        <v>281.73</v>
      </c>
      <c r="O27" s="33"/>
      <c r="P27" s="33"/>
      <c r="Q27" s="33"/>
      <c r="R27" s="33">
        <v>-964.28</v>
      </c>
      <c r="S27" s="33"/>
      <c r="T27" s="33">
        <v>197.87</v>
      </c>
      <c r="U27" s="33">
        <v>11.37</v>
      </c>
      <c r="V27" s="33"/>
      <c r="W27" s="33">
        <v>186.59</v>
      </c>
      <c r="X27" s="33">
        <v>-682.55</v>
      </c>
      <c r="Y27" s="89">
        <v>525.97</v>
      </c>
      <c r="Z27" s="54"/>
      <c r="AA27" s="54"/>
    </row>
    <row r="28" spans="1:27" s="7" customFormat="1" ht="139.15" customHeight="1" x14ac:dyDescent="0.25">
      <c r="A28" s="301" t="s">
        <v>53</v>
      </c>
      <c r="B28" s="139" t="s">
        <v>144</v>
      </c>
      <c r="C28" s="113" t="s">
        <v>78</v>
      </c>
      <c r="D28" s="140" t="s">
        <v>136</v>
      </c>
      <c r="E28" s="46" t="str">
        <f t="shared" si="1"/>
        <v>AWC/CWC North American Glued Laminated Timbers 2020 yes</v>
      </c>
      <c r="F28" s="32" t="str">
        <f t="shared" si="2"/>
        <v>Glulam Glulam US - Industry-Wide EPD AWC/CWC North American Glued Laminated Timbers 2020</v>
      </c>
      <c r="G28" s="32" t="str">
        <f t="shared" si="3"/>
        <v>Glulam Glulam US - Industry-Wide EPD AWC/CWC North American Glued Laminated Timbers 2020 yes</v>
      </c>
      <c r="H28" s="140" t="s">
        <v>83</v>
      </c>
      <c r="I28" s="113" t="str">
        <f>C28&amp;" "&amp;H28</f>
        <v>AWC/CWC North American Glued Laminated Timbers 2020 Tally w/Biogenic Carbon</v>
      </c>
      <c r="J28" s="32" t="str">
        <f t="shared" si="0"/>
        <v>AWC/CWC North American Glued Laminated Timbers 2020 Tally w/Biogenic Carbon</v>
      </c>
      <c r="K28" s="115"/>
      <c r="L28" s="115"/>
      <c r="M28" s="94">
        <v>1.93</v>
      </c>
      <c r="N28" s="95">
        <f>Y28*'Tally C-D kg factors'!D5</f>
        <v>355.31750435138707</v>
      </c>
      <c r="O28" s="94">
        <f>Y28*'Tally C-D kg factors'!E5</f>
        <v>263.93491376017363</v>
      </c>
      <c r="P28" s="94"/>
      <c r="Q28" s="94">
        <f>Y28*'Tally C-D kg factors'!F5</f>
        <v>49.433425786888066</v>
      </c>
      <c r="R28" s="94">
        <v>-977.38</v>
      </c>
      <c r="S28" s="94"/>
      <c r="T28" s="94">
        <v>137.19</v>
      </c>
      <c r="U28" s="94">
        <v>-1354.99</v>
      </c>
      <c r="V28" s="94">
        <v>23.79</v>
      </c>
      <c r="W28" s="94">
        <v>491.02</v>
      </c>
      <c r="X28" s="94">
        <v>-820.6</v>
      </c>
      <c r="Y28" s="141">
        <v>533.12</v>
      </c>
    </row>
    <row r="29" spans="1:27" s="21" customFormat="1" ht="75" x14ac:dyDescent="0.25">
      <c r="A29" s="29" t="s">
        <v>53</v>
      </c>
      <c r="B29" s="31" t="s">
        <v>144</v>
      </c>
      <c r="C29" s="32" t="s">
        <v>78</v>
      </c>
      <c r="D29" s="46" t="s">
        <v>157</v>
      </c>
      <c r="E29" s="46" t="str">
        <f t="shared" si="1"/>
        <v>AWC/CWC North American Glued Laminated Timbers 2020 no</v>
      </c>
      <c r="F29" s="32" t="str">
        <f t="shared" si="2"/>
        <v>Glulam Glulam US - Industry-Wide EPD AWC/CWC North American Glued Laminated Timbers 2020</v>
      </c>
      <c r="G29" s="32" t="str">
        <f t="shared" si="3"/>
        <v>Glulam Glulam US - Industry-Wide EPD AWC/CWC North American Glued Laminated Timbers 2020 no</v>
      </c>
      <c r="H29" s="46" t="s">
        <v>84</v>
      </c>
      <c r="I29" s="32" t="str">
        <f t="shared" si="5"/>
        <v>AWC/CWC North American Glued Laminated Timbers 2020 Tally w/o Biogenic Carbon</v>
      </c>
      <c r="J29" s="32" t="str">
        <f t="shared" si="0"/>
        <v>AWC/CWC North American Glued Laminated Timbers 2020 Tally w/o Biogenic Carbon</v>
      </c>
      <c r="K29" s="19"/>
      <c r="L29" s="19"/>
      <c r="M29" s="33">
        <v>1.93</v>
      </c>
      <c r="N29" s="33">
        <v>0</v>
      </c>
      <c r="O29" s="94">
        <f>Y29*'Tally C-D kg factors'!E6</f>
        <v>263.93491376017363</v>
      </c>
      <c r="P29" s="94"/>
      <c r="Q29" s="94">
        <f>Y29*'Tally C-D kg factors'!F6</f>
        <v>-90.752509543962972</v>
      </c>
      <c r="R29" s="33">
        <v>0</v>
      </c>
      <c r="S29" s="33"/>
      <c r="T29" s="33">
        <v>137.19</v>
      </c>
      <c r="U29" s="33">
        <v>-1354.99</v>
      </c>
      <c r="V29" s="33">
        <v>23.79</v>
      </c>
      <c r="W29" s="33">
        <v>491.02</v>
      </c>
      <c r="X29" s="33">
        <v>-820.6</v>
      </c>
      <c r="Y29" s="89">
        <v>533.12</v>
      </c>
      <c r="Z29" s="54"/>
      <c r="AA29" s="54"/>
    </row>
    <row r="30" spans="1:27" ht="75" x14ac:dyDescent="0.25">
      <c r="A30" s="29" t="s">
        <v>53</v>
      </c>
      <c r="B30" s="31" t="s">
        <v>144</v>
      </c>
      <c r="C30" s="32" t="s">
        <v>78</v>
      </c>
      <c r="D30" s="46" t="s">
        <v>157</v>
      </c>
      <c r="E30" s="46" t="str">
        <f t="shared" si="1"/>
        <v>AWC/CWC North American Glued Laminated Timbers 2020 no</v>
      </c>
      <c r="F30" s="32" t="str">
        <f t="shared" si="2"/>
        <v>Glulam Glulam US - Industry-Wide EPD AWC/CWC North American Glued Laminated Timbers 2020</v>
      </c>
      <c r="G30" s="32" t="str">
        <f t="shared" si="3"/>
        <v>Glulam Glulam US - Industry-Wide EPD AWC/CWC North American Glued Laminated Timbers 2020 no</v>
      </c>
      <c r="H30" s="46" t="s">
        <v>87</v>
      </c>
      <c r="I30" s="32" t="str">
        <f t="shared" si="5"/>
        <v>AWC/CWC North American Glued Laminated Timbers 2020 EPD biogenic carbon not reported</v>
      </c>
      <c r="J30" s="32" t="str">
        <f t="shared" si="0"/>
        <v>AWC/CWC North American Glued Laminated Timbers 2020 EPD biogenic carbon not reported</v>
      </c>
      <c r="K30" s="19" t="s">
        <v>3</v>
      </c>
      <c r="L30" s="19" t="s">
        <v>12</v>
      </c>
      <c r="M30" s="33">
        <v>1.93</v>
      </c>
      <c r="N30" s="33">
        <v>0</v>
      </c>
      <c r="O30" s="33"/>
      <c r="P30" s="33"/>
      <c r="Q30" s="33"/>
      <c r="R30" s="33">
        <v>0</v>
      </c>
      <c r="S30" s="33"/>
      <c r="T30" s="33">
        <v>137.19</v>
      </c>
      <c r="U30" s="33">
        <v>66.260000000000005</v>
      </c>
      <c r="V30" s="33">
        <v>23.79</v>
      </c>
      <c r="W30" s="33">
        <v>47.15</v>
      </c>
      <c r="X30" s="33">
        <v>-820.6</v>
      </c>
      <c r="Y30" s="89">
        <v>533.12</v>
      </c>
      <c r="Z30" s="54"/>
      <c r="AA30" s="54"/>
    </row>
    <row r="31" spans="1:27" ht="75" x14ac:dyDescent="0.25">
      <c r="A31" s="29" t="s">
        <v>53</v>
      </c>
      <c r="B31" s="31" t="s">
        <v>144</v>
      </c>
      <c r="C31" s="32" t="s">
        <v>78</v>
      </c>
      <c r="D31" s="46" t="s">
        <v>136</v>
      </c>
      <c r="E31" s="46" t="str">
        <f t="shared" si="1"/>
        <v>AWC/CWC North American Glued Laminated Timbers 2020 yes</v>
      </c>
      <c r="F31" s="32" t="str">
        <f t="shared" si="2"/>
        <v>Glulam Glulam US - Industry-Wide EPD AWC/CWC North American Glued Laminated Timbers 2020</v>
      </c>
      <c r="G31" s="32" t="str">
        <f t="shared" si="3"/>
        <v>Glulam Glulam US - Industry-Wide EPD AWC/CWC North American Glued Laminated Timbers 2020 yes</v>
      </c>
      <c r="H31" s="46" t="s">
        <v>85</v>
      </c>
      <c r="I31" s="32" t="str">
        <f t="shared" si="5"/>
        <v>AWC/CWC North American Glued Laminated Timbers 2020 EPD v1 - Biogenic Carbon Net Neutral</v>
      </c>
      <c r="J31" s="32" t="str">
        <f t="shared" si="0"/>
        <v>AWC/CWC North American Glued Laminated Timbers 2020 EPD v1 - Biogenic Carbon Net Neutral</v>
      </c>
      <c r="K31" s="19" t="s">
        <v>3</v>
      </c>
      <c r="L31" s="19" t="s">
        <v>12</v>
      </c>
      <c r="M31" s="33">
        <v>1.93</v>
      </c>
      <c r="N31" s="33">
        <v>977.38</v>
      </c>
      <c r="O31" s="33"/>
      <c r="P31" s="33"/>
      <c r="Q31" s="33"/>
      <c r="R31" s="33">
        <v>-977.38</v>
      </c>
      <c r="S31" s="33"/>
      <c r="T31" s="33">
        <v>137.19</v>
      </c>
      <c r="U31" s="33">
        <v>-1354.99</v>
      </c>
      <c r="V31" s="33">
        <v>23.79</v>
      </c>
      <c r="W31" s="33">
        <v>491.02</v>
      </c>
      <c r="X31" s="33">
        <v>-820.6</v>
      </c>
      <c r="Y31" s="89">
        <v>533.12</v>
      </c>
      <c r="Z31" s="54"/>
      <c r="AA31" s="54"/>
    </row>
    <row r="32" spans="1:27" ht="90" x14ac:dyDescent="0.25">
      <c r="A32" s="29" t="s">
        <v>53</v>
      </c>
      <c r="B32" s="31" t="s">
        <v>144</v>
      </c>
      <c r="C32" s="32" t="s">
        <v>78</v>
      </c>
      <c r="D32" s="46" t="s">
        <v>136</v>
      </c>
      <c r="E32" s="46" t="str">
        <f t="shared" si="1"/>
        <v>AWC/CWC North American Glued Laminated Timbers 2020 yes</v>
      </c>
      <c r="F32" s="32" t="str">
        <f t="shared" si="2"/>
        <v>Glulam Glulam US - Industry-Wide EPD AWC/CWC North American Glued Laminated Timbers 2020</v>
      </c>
      <c r="G32" s="32" t="str">
        <f t="shared" si="3"/>
        <v>Glulam Glulam US - Industry-Wide EPD AWC/CWC North American Glued Laminated Timbers 2020 yes</v>
      </c>
      <c r="H32" s="46" t="s">
        <v>86</v>
      </c>
      <c r="I32" s="32" t="str">
        <f t="shared" si="5"/>
        <v>AWC/CWC North American Glued Laminated Timbers 2020 EPD v2 - w/Long Term Biogenic Carbon Sequestration</v>
      </c>
      <c r="J32" s="32" t="str">
        <f t="shared" si="0"/>
        <v>AWC/CWC North American Glued Laminated Timbers 2020 EPD v2 - w/Long Term Biogenic Carbon Sequestration</v>
      </c>
      <c r="K32" s="19" t="s">
        <v>3</v>
      </c>
      <c r="L32" s="19" t="s">
        <v>12</v>
      </c>
      <c r="M32" s="33">
        <v>1.93</v>
      </c>
      <c r="N32" s="33">
        <v>156.77999999999997</v>
      </c>
      <c r="O32" s="33"/>
      <c r="P32" s="33"/>
      <c r="Q32" s="33"/>
      <c r="R32" s="33">
        <v>-977.38</v>
      </c>
      <c r="S32" s="33"/>
      <c r="T32" s="33">
        <v>137.19</v>
      </c>
      <c r="U32" s="33">
        <v>-1354.99</v>
      </c>
      <c r="V32" s="33">
        <v>23.79</v>
      </c>
      <c r="W32" s="33">
        <v>491.02</v>
      </c>
      <c r="X32" s="33">
        <v>-820.6</v>
      </c>
      <c r="Y32" s="89">
        <v>533.12</v>
      </c>
      <c r="Z32" s="54"/>
      <c r="AA32" s="54"/>
    </row>
    <row r="33" spans="1:27" s="21" customFormat="1" ht="60" x14ac:dyDescent="0.25">
      <c r="A33" s="29" t="s">
        <v>53</v>
      </c>
      <c r="B33" s="31" t="s">
        <v>225</v>
      </c>
      <c r="C33" s="31" t="s">
        <v>80</v>
      </c>
      <c r="D33" s="45" t="s">
        <v>136</v>
      </c>
      <c r="E33" s="46" t="str">
        <f t="shared" si="1"/>
        <v>Corrim Report LCA of PNW Glued Laminated Timbers 2017 yes</v>
      </c>
      <c r="F33" s="32" t="str">
        <f t="shared" si="2"/>
        <v>Glulam Glulam US - Regional EPD - PNW Corrim Report LCA of PNW Glued Laminated Timbers 2017</v>
      </c>
      <c r="G33" s="32" t="str">
        <f t="shared" si="3"/>
        <v>Glulam Glulam US - Regional EPD - PNW Corrim Report LCA of PNW Glued Laminated Timbers 2017 yes</v>
      </c>
      <c r="H33" s="46" t="s">
        <v>83</v>
      </c>
      <c r="I33" s="32" t="str">
        <f t="shared" si="5"/>
        <v>Corrim Report LCA of PNW Glued Laminated Timbers 2017 Tally w/Biogenic Carbon</v>
      </c>
      <c r="J33" s="32" t="str">
        <f t="shared" si="0"/>
        <v>Corrim Report LCA of PNW Glued Laminated Timbers 2017 Tally w/Biogenic Carbon</v>
      </c>
      <c r="K33" s="19"/>
      <c r="L33" s="19"/>
      <c r="M33" s="33">
        <v>1.93</v>
      </c>
      <c r="N33" s="94">
        <f>Y33*'Tally C-D kg factors'!D5</f>
        <v>340.37486770755811</v>
      </c>
      <c r="O33" s="94">
        <f>Y33*'Tally C-D kg factors'!E5</f>
        <v>252.83530998146884</v>
      </c>
      <c r="P33" s="94"/>
      <c r="Q33" s="94">
        <f>Y33*'Tally C-D kg factors'!F5</f>
        <v>47.354536594694878</v>
      </c>
      <c r="R33" s="33">
        <v>-933.06</v>
      </c>
      <c r="S33" s="33"/>
      <c r="T33" s="33">
        <v>135.65</v>
      </c>
      <c r="U33" s="33"/>
      <c r="V33" s="33"/>
      <c r="W33" s="33"/>
      <c r="X33" s="33"/>
      <c r="Y33" s="89">
        <v>510.7</v>
      </c>
      <c r="Z33" s="54"/>
      <c r="AA33" s="54"/>
    </row>
    <row r="34" spans="1:27" s="21" customFormat="1" ht="60" x14ac:dyDescent="0.25">
      <c r="A34" s="29" t="s">
        <v>53</v>
      </c>
      <c r="B34" s="31" t="s">
        <v>225</v>
      </c>
      <c r="C34" s="31" t="s">
        <v>80</v>
      </c>
      <c r="D34" s="45" t="s">
        <v>157</v>
      </c>
      <c r="E34" s="46" t="str">
        <f t="shared" si="1"/>
        <v>Corrim Report LCA of PNW Glued Laminated Timbers 2017 no</v>
      </c>
      <c r="F34" s="32" t="str">
        <f t="shared" si="2"/>
        <v>Glulam Glulam US - Regional EPD - PNW Corrim Report LCA of PNW Glued Laminated Timbers 2017</v>
      </c>
      <c r="G34" s="32" t="str">
        <f t="shared" si="3"/>
        <v>Glulam Glulam US - Regional EPD - PNW Corrim Report LCA of PNW Glued Laminated Timbers 2017 no</v>
      </c>
      <c r="H34" s="46" t="s">
        <v>84</v>
      </c>
      <c r="I34" s="32" t="str">
        <f t="shared" si="5"/>
        <v>Corrim Report LCA of PNW Glued Laminated Timbers 2017 Tally w/o Biogenic Carbon</v>
      </c>
      <c r="J34" s="32" t="str">
        <f t="shared" si="0"/>
        <v>Corrim Report LCA of PNW Glued Laminated Timbers 2017 Tally w/o Biogenic Carbon</v>
      </c>
      <c r="K34" s="19"/>
      <c r="L34" s="19"/>
      <c r="M34" s="33">
        <v>1.93</v>
      </c>
      <c r="N34" s="33">
        <v>0</v>
      </c>
      <c r="O34" s="94">
        <f>Y34*'Tally C-D kg factors'!E6</f>
        <v>252.83530998146884</v>
      </c>
      <c r="P34" s="94"/>
      <c r="Q34" s="94">
        <f>Y34*'Tally C-D kg factors'!F6</f>
        <v>-86.935974309915011</v>
      </c>
      <c r="R34" s="33">
        <v>0</v>
      </c>
      <c r="S34" s="33"/>
      <c r="T34" s="33">
        <v>135.65</v>
      </c>
      <c r="U34" s="33"/>
      <c r="V34" s="33"/>
      <c r="W34" s="33"/>
      <c r="X34" s="33"/>
      <c r="Y34" s="89">
        <v>510.7</v>
      </c>
      <c r="Z34" s="54"/>
      <c r="AA34" s="54"/>
    </row>
    <row r="35" spans="1:27" ht="75" x14ac:dyDescent="0.25">
      <c r="A35" s="29" t="s">
        <v>53</v>
      </c>
      <c r="B35" s="31" t="s">
        <v>225</v>
      </c>
      <c r="C35" s="31" t="s">
        <v>80</v>
      </c>
      <c r="D35" s="45" t="s">
        <v>136</v>
      </c>
      <c r="E35" s="46" t="str">
        <f t="shared" si="1"/>
        <v>Corrim Report LCA of PNW Glued Laminated Timbers 2017 yes</v>
      </c>
      <c r="F35" s="32" t="str">
        <f t="shared" si="2"/>
        <v>Glulam Glulam US - Regional EPD - PNW Corrim Report LCA of PNW Glued Laminated Timbers 2017</v>
      </c>
      <c r="G35" s="32" t="str">
        <f t="shared" si="3"/>
        <v>Glulam Glulam US - Regional EPD - PNW Corrim Report LCA of PNW Glued Laminated Timbers 2017 yes</v>
      </c>
      <c r="H35" s="46" t="s">
        <v>85</v>
      </c>
      <c r="I35" s="32" t="str">
        <f t="shared" si="5"/>
        <v>Corrim Report LCA of PNW Glued Laminated Timbers 2017 EPD v1 - Biogenic Carbon Net Neutral</v>
      </c>
      <c r="J35" s="32" t="str">
        <f t="shared" si="0"/>
        <v>Corrim Report LCA of PNW Glued Laminated Timbers 2017 EPD v1 - Biogenic Carbon Net Neutral</v>
      </c>
      <c r="K35" s="19"/>
      <c r="L35" s="19"/>
      <c r="M35" s="33">
        <v>1.93</v>
      </c>
      <c r="N35" s="33">
        <v>933.06</v>
      </c>
      <c r="O35" s="33">
        <v>0</v>
      </c>
      <c r="P35" s="33">
        <v>0</v>
      </c>
      <c r="Q35" s="33">
        <v>0</v>
      </c>
      <c r="R35" s="33">
        <v>-933.06</v>
      </c>
      <c r="S35" s="33">
        <v>0</v>
      </c>
      <c r="T35" s="33">
        <v>135.65</v>
      </c>
      <c r="U35" s="33"/>
      <c r="V35" s="33"/>
      <c r="W35" s="33"/>
      <c r="X35" s="33"/>
      <c r="Y35" s="89">
        <v>510.7</v>
      </c>
      <c r="Z35" s="54"/>
      <c r="AA35" s="54"/>
    </row>
    <row r="36" spans="1:27" ht="75" x14ac:dyDescent="0.25">
      <c r="A36" s="29" t="s">
        <v>53</v>
      </c>
      <c r="B36" s="31" t="s">
        <v>225</v>
      </c>
      <c r="C36" s="31" t="s">
        <v>80</v>
      </c>
      <c r="D36" s="45" t="s">
        <v>136</v>
      </c>
      <c r="E36" s="46" t="str">
        <f t="shared" si="1"/>
        <v>Corrim Report LCA of PNW Glued Laminated Timbers 2017 yes</v>
      </c>
      <c r="F36" s="32" t="str">
        <f t="shared" si="2"/>
        <v>Glulam Glulam US - Regional EPD - PNW Corrim Report LCA of PNW Glued Laminated Timbers 2017</v>
      </c>
      <c r="G36" s="32" t="str">
        <f t="shared" si="3"/>
        <v>Glulam Glulam US - Regional EPD - PNW Corrim Report LCA of PNW Glued Laminated Timbers 2017 yes</v>
      </c>
      <c r="H36" s="46" t="s">
        <v>86</v>
      </c>
      <c r="I36" s="32" t="str">
        <f t="shared" si="5"/>
        <v>Corrim Report LCA of PNW Glued Laminated Timbers 2017 EPD v2 - w/Long Term Biogenic Carbon Sequestration</v>
      </c>
      <c r="J36" s="32" t="str">
        <f t="shared" si="0"/>
        <v>Corrim Report LCA of PNW Glued Laminated Timbers 2017 EPD v2 - w/Long Term Biogenic Carbon Sequestration</v>
      </c>
      <c r="K36" s="19"/>
      <c r="L36" s="19"/>
      <c r="M36" s="33">
        <v>1.93</v>
      </c>
      <c r="N36" s="33">
        <f>(R36/R32)*N32</f>
        <v>149.67069798849982</v>
      </c>
      <c r="O36" s="33">
        <v>0</v>
      </c>
      <c r="P36" s="33">
        <v>0</v>
      </c>
      <c r="Q36" s="33">
        <v>0</v>
      </c>
      <c r="R36" s="33">
        <v>-933.06</v>
      </c>
      <c r="S36" s="33">
        <v>0</v>
      </c>
      <c r="T36" s="33">
        <v>135.65</v>
      </c>
      <c r="U36" s="33"/>
      <c r="V36" s="33"/>
      <c r="W36" s="33"/>
      <c r="X36" s="33"/>
      <c r="Y36" s="89">
        <v>510.7</v>
      </c>
      <c r="Z36" s="54"/>
      <c r="AA36" s="54"/>
    </row>
    <row r="37" spans="1:27" s="21" customFormat="1" ht="75" x14ac:dyDescent="0.25">
      <c r="A37" s="29" t="s">
        <v>53</v>
      </c>
      <c r="B37" s="31" t="s">
        <v>226</v>
      </c>
      <c r="C37" s="31" t="s">
        <v>81</v>
      </c>
      <c r="D37" s="45" t="s">
        <v>136</v>
      </c>
      <c r="E37" s="46" t="str">
        <f t="shared" si="1"/>
        <v>Corrim Report: LCA For the Production of Southeast Glued Laminated Timbers 2017 yes</v>
      </c>
      <c r="F37" s="32" t="str">
        <f t="shared" si="2"/>
        <v>Glulam Glulam US - Regional EPD - SE Corrim Report: LCA For the Production of Southeast Glued Laminated Timbers 2017</v>
      </c>
      <c r="G37" s="32" t="str">
        <f t="shared" si="3"/>
        <v>Glulam Glulam US - Regional EPD - SE Corrim Report: LCA For the Production of Southeast Glued Laminated Timbers 2017 yes</v>
      </c>
      <c r="H37" s="46" t="s">
        <v>83</v>
      </c>
      <c r="I37" s="32" t="str">
        <f t="shared" si="5"/>
        <v>Corrim Report: LCA For the Production of Southeast Glued Laminated Timbers 2017 Tally w/Biogenic Carbon</v>
      </c>
      <c r="J37" s="32" t="str">
        <f t="shared" si="0"/>
        <v>Corrim Report: LCA For the Production of Southeast Glued Laminated Timbers 2017 Tally w/Biogenic Carbon</v>
      </c>
      <c r="K37" s="19"/>
      <c r="L37" s="19"/>
      <c r="M37" s="33">
        <v>1.93</v>
      </c>
      <c r="N37" s="96">
        <f>Y37*'Tally C-D kg factors'!D5</f>
        <v>393.2272801007623</v>
      </c>
      <c r="O37" s="96">
        <f>Y37*'Tally C-D kg factors'!E5</f>
        <v>292.09483628170477</v>
      </c>
      <c r="P37" s="91"/>
      <c r="Q37" s="96">
        <f>Y37*'Tally C-D kg factors'!F5</f>
        <v>54.707610320873272</v>
      </c>
      <c r="R37" s="33">
        <v>-1006.73</v>
      </c>
      <c r="S37" s="33"/>
      <c r="T37" s="33">
        <v>135.06</v>
      </c>
      <c r="U37" s="33"/>
      <c r="V37" s="33"/>
      <c r="W37" s="33"/>
      <c r="X37" s="33"/>
      <c r="Y37" s="89">
        <v>590</v>
      </c>
      <c r="Z37" s="54"/>
      <c r="AA37" s="54"/>
    </row>
    <row r="38" spans="1:27" s="21" customFormat="1" ht="90" x14ac:dyDescent="0.25">
      <c r="A38" s="29" t="s">
        <v>53</v>
      </c>
      <c r="B38" s="31" t="s">
        <v>226</v>
      </c>
      <c r="C38" s="31" t="s">
        <v>81</v>
      </c>
      <c r="D38" s="45" t="s">
        <v>157</v>
      </c>
      <c r="E38" s="46" t="str">
        <f t="shared" si="1"/>
        <v>Corrim Report: LCA For the Production of Southeast Glued Laminated Timbers 2017 no</v>
      </c>
      <c r="F38" s="32" t="str">
        <f t="shared" si="2"/>
        <v>Glulam Glulam US - Regional EPD - SE Corrim Report: LCA For the Production of Southeast Glued Laminated Timbers 2017</v>
      </c>
      <c r="G38" s="32" t="str">
        <f t="shared" si="3"/>
        <v>Glulam Glulam US - Regional EPD - SE Corrim Report: LCA For the Production of Southeast Glued Laminated Timbers 2017 no</v>
      </c>
      <c r="H38" s="46" t="s">
        <v>84</v>
      </c>
      <c r="I38" s="32" t="str">
        <f t="shared" si="5"/>
        <v>Corrim Report: LCA For the Production of Southeast Glued Laminated Timbers 2017 Tally w/o Biogenic Carbon</v>
      </c>
      <c r="J38" s="32" t="str">
        <f t="shared" si="0"/>
        <v>Corrim Report: LCA For the Production of Southeast Glued Laminated Timbers 2017 Tally w/o Biogenic Carbon</v>
      </c>
      <c r="K38" s="19"/>
      <c r="L38" s="19"/>
      <c r="M38" s="33">
        <v>1.93</v>
      </c>
      <c r="N38" s="91">
        <v>0</v>
      </c>
      <c r="O38" s="96">
        <f>Y38*'Tally C-D kg factors'!E6</f>
        <v>292.09483628170477</v>
      </c>
      <c r="P38" s="91"/>
      <c r="Q38" s="96">
        <f>Y38*'Tally C-D kg factors'!F6</f>
        <v>-100.43513773810427</v>
      </c>
      <c r="R38" s="33">
        <v>0</v>
      </c>
      <c r="S38" s="33"/>
      <c r="T38" s="33">
        <v>135.06</v>
      </c>
      <c r="U38" s="33"/>
      <c r="V38" s="33"/>
      <c r="W38" s="33"/>
      <c r="X38" s="33"/>
      <c r="Y38" s="89">
        <v>590</v>
      </c>
      <c r="Z38" s="54"/>
      <c r="AA38" s="54"/>
    </row>
    <row r="39" spans="1:27" ht="90" x14ac:dyDescent="0.25">
      <c r="A39" s="29" t="s">
        <v>53</v>
      </c>
      <c r="B39" s="31" t="s">
        <v>226</v>
      </c>
      <c r="C39" s="31" t="s">
        <v>81</v>
      </c>
      <c r="D39" s="45" t="s">
        <v>136</v>
      </c>
      <c r="E39" s="46" t="str">
        <f t="shared" si="1"/>
        <v>Corrim Report: LCA For the Production of Southeast Glued Laminated Timbers 2017 yes</v>
      </c>
      <c r="F39" s="32" t="str">
        <f t="shared" si="2"/>
        <v>Glulam Glulam US - Regional EPD - SE Corrim Report: LCA For the Production of Southeast Glued Laminated Timbers 2017</v>
      </c>
      <c r="G39" s="32" t="str">
        <f t="shared" si="3"/>
        <v>Glulam Glulam US - Regional EPD - SE Corrim Report: LCA For the Production of Southeast Glued Laminated Timbers 2017 yes</v>
      </c>
      <c r="H39" s="46" t="s">
        <v>85</v>
      </c>
      <c r="I39" s="32" t="str">
        <f t="shared" si="5"/>
        <v>Corrim Report: LCA For the Production of Southeast Glued Laminated Timbers 2017 EPD v1 - Biogenic Carbon Net Neutral</v>
      </c>
      <c r="J39" s="32" t="str">
        <f t="shared" si="0"/>
        <v>Corrim Report: LCA For the Production of Southeast Glued Laminated Timbers 2017 EPD v1 - Biogenic Carbon Net Neutral</v>
      </c>
      <c r="K39" s="19"/>
      <c r="L39" s="19"/>
      <c r="M39" s="33">
        <v>2.02</v>
      </c>
      <c r="N39" s="33">
        <v>1006.73</v>
      </c>
      <c r="O39" s="33">
        <v>0</v>
      </c>
      <c r="P39" s="33">
        <v>0</v>
      </c>
      <c r="Q39" s="33">
        <v>0</v>
      </c>
      <c r="R39" s="33">
        <v>-1006.73</v>
      </c>
      <c r="S39" s="33"/>
      <c r="T39" s="33">
        <v>135.06</v>
      </c>
      <c r="U39" s="33"/>
      <c r="V39" s="33"/>
      <c r="W39" s="33"/>
      <c r="X39" s="33"/>
      <c r="Y39" s="89">
        <v>590</v>
      </c>
      <c r="Z39" s="54"/>
      <c r="AA39" s="54"/>
    </row>
    <row r="40" spans="1:27" ht="105" x14ac:dyDescent="0.25">
      <c r="A40" s="29" t="s">
        <v>53</v>
      </c>
      <c r="B40" s="31" t="s">
        <v>226</v>
      </c>
      <c r="C40" s="31" t="s">
        <v>81</v>
      </c>
      <c r="D40" s="45" t="s">
        <v>136</v>
      </c>
      <c r="E40" s="46" t="str">
        <f t="shared" si="1"/>
        <v>Corrim Report: LCA For the Production of Southeast Glued Laminated Timbers 2017 yes</v>
      </c>
      <c r="F40" s="32" t="str">
        <f t="shared" si="2"/>
        <v>Glulam Glulam US - Regional EPD - SE Corrim Report: LCA For the Production of Southeast Glued Laminated Timbers 2017</v>
      </c>
      <c r="G40" s="32" t="str">
        <f t="shared" si="3"/>
        <v>Glulam Glulam US - Regional EPD - SE Corrim Report: LCA For the Production of Southeast Glued Laminated Timbers 2017 yes</v>
      </c>
      <c r="H40" s="46" t="s">
        <v>86</v>
      </c>
      <c r="I40" s="32" t="str">
        <f t="shared" si="5"/>
        <v>Corrim Report: LCA For the Production of Southeast Glued Laminated Timbers 2017 EPD v2 - w/Long Term Biogenic Carbon Sequestration</v>
      </c>
      <c r="J40" s="32" t="str">
        <f t="shared" ref="J40:J62" si="7">I40</f>
        <v>Corrim Report: LCA For the Production of Southeast Glued Laminated Timbers 2017 EPD v2 - w/Long Term Biogenic Carbon Sequestration</v>
      </c>
      <c r="K40" s="19"/>
      <c r="L40" s="19"/>
      <c r="M40" s="33">
        <v>2.02</v>
      </c>
      <c r="N40" s="33">
        <f>(R40/R32)*N32</f>
        <v>161.48798768135217</v>
      </c>
      <c r="O40" s="33">
        <v>0</v>
      </c>
      <c r="P40" s="33">
        <v>0</v>
      </c>
      <c r="Q40" s="33">
        <v>0</v>
      </c>
      <c r="R40" s="33">
        <v>-1006.73</v>
      </c>
      <c r="S40" s="33"/>
      <c r="T40" s="33">
        <v>135.06</v>
      </c>
      <c r="U40" s="33"/>
      <c r="V40" s="33"/>
      <c r="W40" s="33"/>
      <c r="X40" s="33"/>
      <c r="Y40" s="89">
        <v>590</v>
      </c>
      <c r="Z40" s="54"/>
      <c r="AA40" s="54"/>
    </row>
    <row r="41" spans="1:27" s="21" customFormat="1" ht="105" x14ac:dyDescent="0.25">
      <c r="A41" s="29" t="s">
        <v>53</v>
      </c>
      <c r="B41" s="31" t="s">
        <v>227</v>
      </c>
      <c r="C41" s="31" t="s">
        <v>228</v>
      </c>
      <c r="D41" s="45" t="s">
        <v>136</v>
      </c>
      <c r="E41" s="46" t="str">
        <f t="shared" si="1"/>
        <v>Athena Sustainable Materials Insitute - A Cradle-to-Gate Life Cycle Assessment
of Canadian Glulam (2019) yes</v>
      </c>
      <c r="F41" s="32" t="str">
        <f t="shared" si="2"/>
        <v>Glulam Glulam CA - Industry Wide Athena Sustainable Materials Insitute - A Cradle-to-Gate Life Cycle Assessment
of Canadian Glulam (2019)</v>
      </c>
      <c r="G41" s="32" t="str">
        <f t="shared" si="3"/>
        <v>Glulam Glulam CA - Industry Wide Athena Sustainable Materials Insitute - A Cradle-to-Gate Life Cycle Assessment
of Canadian Glulam (2019) yes</v>
      </c>
      <c r="H41" s="46" t="s">
        <v>83</v>
      </c>
      <c r="I41" s="32" t="str">
        <f t="shared" si="5"/>
        <v>Athena Sustainable Materials Insitute - A Cradle-to-Gate Life Cycle Assessment
of Canadian Glulam (2019) Tally w/Biogenic Carbon</v>
      </c>
      <c r="J41" s="32" t="str">
        <f t="shared" si="7"/>
        <v>Athena Sustainable Materials Insitute - A Cradle-to-Gate Life Cycle Assessment
of Canadian Glulam (2019) Tally w/Biogenic Carbon</v>
      </c>
      <c r="K41" s="19"/>
      <c r="L41" s="19"/>
      <c r="M41" s="33">
        <v>1.93</v>
      </c>
      <c r="N41" s="94">
        <f>Y41*'Tally C-D kg factors'!D5</f>
        <v>285.25639980190891</v>
      </c>
      <c r="O41" s="94">
        <f>Y41*'Tally C-D kg factors'!E5</f>
        <v>211.8925253026604</v>
      </c>
      <c r="P41" s="94"/>
      <c r="Q41" s="94">
        <f>Y41*'Tally C-D kg factors'!F5</f>
        <v>39.686198673447052</v>
      </c>
      <c r="R41" s="33">
        <v>-784.7</v>
      </c>
      <c r="S41" s="33"/>
      <c r="T41" s="33">
        <v>184.09</v>
      </c>
      <c r="U41" s="33">
        <v>109.97</v>
      </c>
      <c r="V41" s="33">
        <v>19.07</v>
      </c>
      <c r="W41" s="33">
        <v>55.05</v>
      </c>
      <c r="X41" s="33"/>
      <c r="Y41" s="89">
        <v>428</v>
      </c>
      <c r="Z41" s="54"/>
      <c r="AA41" s="54"/>
    </row>
    <row r="42" spans="1:27" s="21" customFormat="1" ht="105" x14ac:dyDescent="0.25">
      <c r="A42" s="29" t="s">
        <v>53</v>
      </c>
      <c r="B42" s="31" t="s">
        <v>227</v>
      </c>
      <c r="C42" s="31" t="s">
        <v>228</v>
      </c>
      <c r="D42" s="45" t="s">
        <v>157</v>
      </c>
      <c r="E42" s="46" t="str">
        <f t="shared" si="1"/>
        <v>Athena Sustainable Materials Insitute - A Cradle-to-Gate Life Cycle Assessment
of Canadian Glulam (2019) no</v>
      </c>
      <c r="F42" s="32" t="str">
        <f t="shared" si="2"/>
        <v>Glulam Glulam CA - Industry Wide Athena Sustainable Materials Insitute - A Cradle-to-Gate Life Cycle Assessment
of Canadian Glulam (2019)</v>
      </c>
      <c r="G42" s="32" t="str">
        <f t="shared" si="3"/>
        <v>Glulam Glulam CA - Industry Wide Athena Sustainable Materials Insitute - A Cradle-to-Gate Life Cycle Assessment
of Canadian Glulam (2019) no</v>
      </c>
      <c r="H42" s="46" t="s">
        <v>84</v>
      </c>
      <c r="I42" s="32" t="str">
        <f t="shared" si="5"/>
        <v>Athena Sustainable Materials Insitute - A Cradle-to-Gate Life Cycle Assessment
of Canadian Glulam (2019) Tally w/o Biogenic Carbon</v>
      </c>
      <c r="J42" s="32" t="str">
        <f t="shared" si="7"/>
        <v>Athena Sustainable Materials Insitute - A Cradle-to-Gate Life Cycle Assessment
of Canadian Glulam (2019) Tally w/o Biogenic Carbon</v>
      </c>
      <c r="K42" s="19"/>
      <c r="L42" s="19"/>
      <c r="M42" s="33">
        <v>1.93</v>
      </c>
      <c r="N42" s="33">
        <v>0</v>
      </c>
      <c r="O42" s="94">
        <f>Y42*'Tally C-D kg factors'!E6</f>
        <v>211.8925253026604</v>
      </c>
      <c r="P42" s="94"/>
      <c r="Q42" s="94">
        <f>Y42*'Tally C-D kg factors'!F6</f>
        <v>-72.858032121879035</v>
      </c>
      <c r="R42" s="33">
        <v>0</v>
      </c>
      <c r="S42" s="33"/>
      <c r="T42" s="33">
        <v>184.09</v>
      </c>
      <c r="U42" s="33">
        <v>109.97</v>
      </c>
      <c r="V42" s="33">
        <v>19.07</v>
      </c>
      <c r="W42" s="33">
        <v>55.05</v>
      </c>
      <c r="X42" s="33"/>
      <c r="Y42" s="89">
        <v>428</v>
      </c>
      <c r="Z42" s="54"/>
      <c r="AA42" s="54"/>
    </row>
    <row r="43" spans="1:27" s="21" customFormat="1" ht="105" x14ac:dyDescent="0.25">
      <c r="A43" s="29" t="s">
        <v>53</v>
      </c>
      <c r="B43" s="31" t="s">
        <v>227</v>
      </c>
      <c r="C43" s="31" t="s">
        <v>228</v>
      </c>
      <c r="D43" s="45" t="s">
        <v>136</v>
      </c>
      <c r="E43" s="46" t="str">
        <f t="shared" si="1"/>
        <v>Athena Sustainable Materials Insitute - A Cradle-to-Gate Life Cycle Assessment
of Canadian Glulam (2019) yes</v>
      </c>
      <c r="F43" s="32" t="str">
        <f t="shared" si="2"/>
        <v>Glulam Glulam CA - Industry Wide Athena Sustainable Materials Insitute - A Cradle-to-Gate Life Cycle Assessment
of Canadian Glulam (2019)</v>
      </c>
      <c r="G43" s="32" t="str">
        <f t="shared" si="3"/>
        <v>Glulam Glulam CA - Industry Wide Athena Sustainable Materials Insitute - A Cradle-to-Gate Life Cycle Assessment
of Canadian Glulam (2019) yes</v>
      </c>
      <c r="H43" s="46" t="s">
        <v>85</v>
      </c>
      <c r="I43" s="32" t="str">
        <f t="shared" si="5"/>
        <v>Athena Sustainable Materials Insitute - A Cradle-to-Gate Life Cycle Assessment
of Canadian Glulam (2019) EPD v1 - Biogenic Carbon Net Neutral</v>
      </c>
      <c r="J43" s="32" t="str">
        <f t="shared" si="7"/>
        <v>Athena Sustainable Materials Insitute - A Cradle-to-Gate Life Cycle Assessment
of Canadian Glulam (2019) EPD v1 - Biogenic Carbon Net Neutral</v>
      </c>
      <c r="K43" s="19"/>
      <c r="L43" s="19"/>
      <c r="M43" s="33">
        <v>1.93</v>
      </c>
      <c r="N43" s="33">
        <v>784.7</v>
      </c>
      <c r="O43" s="33">
        <v>0</v>
      </c>
      <c r="P43" s="33">
        <v>0</v>
      </c>
      <c r="Q43" s="33">
        <v>0</v>
      </c>
      <c r="R43" s="33">
        <v>-784.7</v>
      </c>
      <c r="S43" s="33"/>
      <c r="T43" s="33">
        <v>184.09</v>
      </c>
      <c r="U43" s="33">
        <v>109.97</v>
      </c>
      <c r="V43" s="33">
        <v>19.07</v>
      </c>
      <c r="W43" s="33">
        <v>55.05</v>
      </c>
      <c r="X43" s="33"/>
      <c r="Y43" s="89">
        <v>428</v>
      </c>
      <c r="Z43" s="54"/>
      <c r="AA43" s="54"/>
    </row>
    <row r="44" spans="1:27" s="21" customFormat="1" ht="120" x14ac:dyDescent="0.25">
      <c r="A44" s="29" t="s">
        <v>53</v>
      </c>
      <c r="B44" s="31" t="s">
        <v>227</v>
      </c>
      <c r="C44" s="31" t="s">
        <v>228</v>
      </c>
      <c r="D44" s="45" t="s">
        <v>136</v>
      </c>
      <c r="E44" s="46" t="str">
        <f t="shared" si="1"/>
        <v>Athena Sustainable Materials Insitute - A Cradle-to-Gate Life Cycle Assessment
of Canadian Glulam (2019) yes</v>
      </c>
      <c r="F44" s="32" t="str">
        <f t="shared" si="2"/>
        <v>Glulam Glulam CA - Industry Wide Athena Sustainable Materials Insitute - A Cradle-to-Gate Life Cycle Assessment
of Canadian Glulam (2019)</v>
      </c>
      <c r="G44" s="32" t="str">
        <f t="shared" si="3"/>
        <v>Glulam Glulam CA - Industry Wide Athena Sustainable Materials Insitute - A Cradle-to-Gate Life Cycle Assessment
of Canadian Glulam (2019) yes</v>
      </c>
      <c r="H44" s="46" t="s">
        <v>86</v>
      </c>
      <c r="I44" s="32" t="str">
        <f t="shared" si="5"/>
        <v>Athena Sustainable Materials Insitute - A Cradle-to-Gate Life Cycle Assessment
of Canadian Glulam (2019) EPD v2 - w/Long Term Biogenic Carbon Sequestration</v>
      </c>
      <c r="J44" s="32" t="str">
        <f t="shared" si="7"/>
        <v>Athena Sustainable Materials Insitute - A Cradle-to-Gate Life Cycle Assessment
of Canadian Glulam (2019) EPD v2 - w/Long Term Biogenic Carbon Sequestration</v>
      </c>
      <c r="K44" s="19"/>
      <c r="L44" s="19"/>
      <c r="M44" s="33">
        <v>1.93</v>
      </c>
      <c r="N44" s="36">
        <f>N32/-R32*(-1*R44)</f>
        <v>125.87250199512984</v>
      </c>
      <c r="O44" s="33">
        <v>0</v>
      </c>
      <c r="P44" s="33">
        <v>0</v>
      </c>
      <c r="Q44" s="33">
        <v>0</v>
      </c>
      <c r="R44" s="33">
        <v>-784.7</v>
      </c>
      <c r="S44" s="33"/>
      <c r="T44" s="33">
        <v>184.09</v>
      </c>
      <c r="U44" s="33">
        <v>109.97</v>
      </c>
      <c r="V44" s="33">
        <v>19.07</v>
      </c>
      <c r="W44" s="33">
        <v>55.05</v>
      </c>
      <c r="X44" s="33"/>
      <c r="Y44" s="89">
        <v>428</v>
      </c>
      <c r="Z44" s="54"/>
      <c r="AA44" s="54"/>
    </row>
    <row r="45" spans="1:27" ht="45" customHeight="1" x14ac:dyDescent="0.25">
      <c r="A45" s="29" t="s">
        <v>24</v>
      </c>
      <c r="B45" s="31" t="s">
        <v>229</v>
      </c>
      <c r="C45" s="31" t="s">
        <v>230</v>
      </c>
      <c r="D45" s="45" t="s">
        <v>136</v>
      </c>
      <c r="E45" s="46" t="str">
        <f t="shared" si="1"/>
        <v>Tally's OSB Proxy (Oriented strand board CORRIM 2011) yes</v>
      </c>
      <c r="F45" s="32" t="str">
        <f t="shared" si="2"/>
        <v>LSL/OSL LSL/OSL Industry-Wide EPD Tally's OSB Proxy (Oriented strand board CORRIM 2011)</v>
      </c>
      <c r="G45" s="32" t="str">
        <f t="shared" si="3"/>
        <v>LSL/OSL LSL/OSL Industry-Wide EPD Tally's OSB Proxy (Oriented strand board CORRIM 2011) yes</v>
      </c>
      <c r="H45" s="46" t="s">
        <v>83</v>
      </c>
      <c r="I45" s="32" t="str">
        <f t="shared" si="5"/>
        <v>Tally's OSB Proxy (Oriented strand board CORRIM 2011) Tally w/Biogenic Carbon</v>
      </c>
      <c r="J45" s="32" t="str">
        <f t="shared" si="7"/>
        <v>Tally's OSB Proxy (Oriented strand board CORRIM 2011) Tally w/Biogenic Carbon</v>
      </c>
      <c r="K45" s="19" t="s">
        <v>2</v>
      </c>
      <c r="L45" s="87" t="s">
        <v>231</v>
      </c>
      <c r="M45" s="33">
        <v>1.649</v>
      </c>
      <c r="N45" s="91">
        <v>351.54027978608985</v>
      </c>
      <c r="O45" s="91">
        <v>270.8</v>
      </c>
      <c r="P45" s="91">
        <v>0</v>
      </c>
      <c r="Q45" s="91">
        <v>44.761339972763089</v>
      </c>
      <c r="R45" s="91">
        <v>-945.4726797569125</v>
      </c>
      <c r="S45" s="91">
        <v>13.948506927512486</v>
      </c>
      <c r="T45" s="97">
        <v>214</v>
      </c>
      <c r="U45" s="91">
        <v>0</v>
      </c>
      <c r="V45" s="91">
        <v>0</v>
      </c>
      <c r="W45" s="91">
        <v>0</v>
      </c>
      <c r="X45" s="91">
        <v>0</v>
      </c>
      <c r="Y45" s="90">
        <v>1091.2232010299999</v>
      </c>
      <c r="Z45" s="54"/>
      <c r="AA45" s="54"/>
    </row>
    <row r="46" spans="1:27" s="54" customFormat="1" ht="45" customHeight="1" x14ac:dyDescent="0.25">
      <c r="A46" s="29" t="s">
        <v>24</v>
      </c>
      <c r="B46" s="31" t="s">
        <v>229</v>
      </c>
      <c r="C46" s="31" t="s">
        <v>230</v>
      </c>
      <c r="D46" s="45" t="s">
        <v>157</v>
      </c>
      <c r="E46" s="46" t="str">
        <f t="shared" si="1"/>
        <v>Tally's OSB Proxy (Oriented strand board CORRIM 2011) no</v>
      </c>
      <c r="F46" s="32" t="str">
        <f t="shared" si="2"/>
        <v>LSL/OSL LSL/OSL Industry-Wide EPD Tally's OSB Proxy (Oriented strand board CORRIM 2011)</v>
      </c>
      <c r="G46" s="32" t="str">
        <f t="shared" si="3"/>
        <v>LSL/OSL LSL/OSL Industry-Wide EPD Tally's OSB Proxy (Oriented strand board CORRIM 2011) no</v>
      </c>
      <c r="H46" s="46" t="s">
        <v>84</v>
      </c>
      <c r="I46" s="32" t="str">
        <f t="shared" ref="I46" si="8">C46&amp;" "&amp;H46</f>
        <v>Tally's OSB Proxy (Oriented strand board CORRIM 2011) Tally w/o Biogenic Carbon</v>
      </c>
      <c r="J46" s="32" t="str">
        <f t="shared" si="7"/>
        <v>Tally's OSB Proxy (Oriented strand board CORRIM 2011) Tally w/o Biogenic Carbon</v>
      </c>
      <c r="K46" s="19" t="s">
        <v>2</v>
      </c>
      <c r="L46" s="87" t="s">
        <v>231</v>
      </c>
      <c r="M46" s="33">
        <v>1.649</v>
      </c>
      <c r="N46" s="33">
        <v>0</v>
      </c>
      <c r="O46" s="98">
        <v>270.75151983525063</v>
      </c>
      <c r="P46" s="91">
        <v>0</v>
      </c>
      <c r="Q46" s="98">
        <v>-92.797899943533594</v>
      </c>
      <c r="R46" s="91">
        <v>0</v>
      </c>
      <c r="S46" s="91">
        <v>13.871866779559127</v>
      </c>
      <c r="T46" s="97">
        <v>214.00688020199996</v>
      </c>
      <c r="U46" s="91">
        <v>0</v>
      </c>
      <c r="V46" s="91">
        <v>0</v>
      </c>
      <c r="W46" s="91">
        <v>0</v>
      </c>
      <c r="X46" s="91">
        <v>0</v>
      </c>
      <c r="Y46" s="90">
        <v>1091.2232010299999</v>
      </c>
    </row>
    <row r="47" spans="1:27" ht="66" customHeight="1" x14ac:dyDescent="0.25">
      <c r="A47" s="29" t="s">
        <v>25</v>
      </c>
      <c r="B47" s="31" t="s">
        <v>232</v>
      </c>
      <c r="C47" s="31" t="s">
        <v>233</v>
      </c>
      <c r="D47" s="45" t="s">
        <v>136</v>
      </c>
      <c r="E47" s="46" t="str">
        <f t="shared" si="1"/>
        <v>Tally - AWC/CWC North American Laminated veneer Lumber 2013 yes</v>
      </c>
      <c r="F47" s="32" t="str">
        <f t="shared" si="2"/>
        <v>LVL LVL Industry-Wide EPD Tally - AWC/CWC North American Laminated veneer Lumber 2013</v>
      </c>
      <c r="G47" s="32" t="str">
        <f t="shared" si="3"/>
        <v>LVL LVL Industry-Wide EPD Tally - AWC/CWC North American Laminated veneer Lumber 2013 yes</v>
      </c>
      <c r="H47" s="46" t="s">
        <v>83</v>
      </c>
      <c r="I47" s="32" t="str">
        <f>C47&amp;" "&amp;H47</f>
        <v>Tally - AWC/CWC North American Laminated veneer Lumber 2013 Tally w/Biogenic Carbon</v>
      </c>
      <c r="J47" s="32" t="str">
        <f t="shared" si="7"/>
        <v>Tally - AWC/CWC North American Laminated veneer Lumber 2013 Tally w/Biogenic Carbon</v>
      </c>
      <c r="K47" s="19" t="s">
        <v>2</v>
      </c>
      <c r="L47" s="87" t="s">
        <v>234</v>
      </c>
      <c r="M47" s="33">
        <v>1.34</v>
      </c>
      <c r="N47" s="91">
        <v>356.99897978277011</v>
      </c>
      <c r="O47" s="91">
        <v>270.8</v>
      </c>
      <c r="P47" s="91">
        <v>0</v>
      </c>
      <c r="Q47" s="91">
        <v>49.182886970072708</v>
      </c>
      <c r="R47" s="91">
        <v>-977.1</v>
      </c>
      <c r="S47" s="91">
        <v>13.948506927512486</v>
      </c>
      <c r="T47" s="91">
        <v>202</v>
      </c>
      <c r="U47" s="91">
        <v>0</v>
      </c>
      <c r="V47" s="91">
        <v>0</v>
      </c>
      <c r="W47" s="91">
        <v>0</v>
      </c>
      <c r="X47" s="91">
        <v>0</v>
      </c>
      <c r="Y47" s="90">
        <v>547.3773338499999</v>
      </c>
      <c r="Z47" s="54"/>
      <c r="AA47" s="54"/>
    </row>
    <row r="48" spans="1:27" s="54" customFormat="1" ht="66" customHeight="1" x14ac:dyDescent="0.25">
      <c r="A48" s="29" t="s">
        <v>25</v>
      </c>
      <c r="B48" s="31" t="s">
        <v>232</v>
      </c>
      <c r="C48" s="31" t="s">
        <v>233</v>
      </c>
      <c r="D48" s="45" t="s">
        <v>157</v>
      </c>
      <c r="E48" s="46" t="str">
        <f t="shared" si="1"/>
        <v>Tally - AWC/CWC North American Laminated veneer Lumber 2013 no</v>
      </c>
      <c r="F48" s="32" t="str">
        <f t="shared" si="2"/>
        <v>LVL LVL Industry-Wide EPD Tally - AWC/CWC North American Laminated veneer Lumber 2013</v>
      </c>
      <c r="G48" s="32" t="str">
        <f t="shared" si="3"/>
        <v>LVL LVL Industry-Wide EPD Tally - AWC/CWC North American Laminated veneer Lumber 2013 no</v>
      </c>
      <c r="H48" s="46" t="s">
        <v>84</v>
      </c>
      <c r="I48" s="32" t="str">
        <f t="shared" ref="I48:I52" si="9">C48&amp;" "&amp;H48</f>
        <v>Tally - AWC/CWC North American Laminated veneer Lumber 2013 Tally w/o Biogenic Carbon</v>
      </c>
      <c r="J48" s="32" t="str">
        <f t="shared" si="7"/>
        <v>Tally - AWC/CWC North American Laminated veneer Lumber 2013 Tally w/o Biogenic Carbon</v>
      </c>
      <c r="K48" s="19" t="s">
        <v>2</v>
      </c>
      <c r="L48" s="87" t="s">
        <v>234</v>
      </c>
      <c r="M48" s="33">
        <v>1.34</v>
      </c>
      <c r="N48" s="104">
        <v>0</v>
      </c>
      <c r="O48" s="98">
        <v>270.75151983525063</v>
      </c>
      <c r="P48" s="105">
        <v>0</v>
      </c>
      <c r="Q48" s="98">
        <v>-92.797899943533594</v>
      </c>
      <c r="R48" s="105">
        <v>0</v>
      </c>
      <c r="S48" s="105">
        <v>13.871866779559127</v>
      </c>
      <c r="T48" s="105">
        <v>201.99989352399996</v>
      </c>
      <c r="U48" s="105">
        <v>0</v>
      </c>
      <c r="V48" s="105">
        <v>0</v>
      </c>
      <c r="W48" s="105">
        <v>0</v>
      </c>
      <c r="X48" s="105">
        <v>0</v>
      </c>
      <c r="Y48" s="106">
        <v>547.3773338499999</v>
      </c>
    </row>
    <row r="49" spans="1:28" s="54" customFormat="1" ht="59.25" customHeight="1" x14ac:dyDescent="0.25">
      <c r="A49" s="29" t="s">
        <v>25</v>
      </c>
      <c r="B49" s="31" t="s">
        <v>232</v>
      </c>
      <c r="C49" s="31" t="s">
        <v>235</v>
      </c>
      <c r="D49" s="45" t="s">
        <v>136</v>
      </c>
      <c r="E49" s="46" t="str">
        <f t="shared" si="1"/>
        <v>AWC/CWC Laminated Veneer Lumber 2020 yes</v>
      </c>
      <c r="F49" s="32" t="str">
        <f t="shared" si="2"/>
        <v>LVL LVL Industry-Wide EPD AWC/CWC Laminated Veneer Lumber 2020</v>
      </c>
      <c r="G49" s="32" t="str">
        <f t="shared" si="3"/>
        <v>LVL LVL Industry-Wide EPD AWC/CWC Laminated Veneer Lumber 2020 yes</v>
      </c>
      <c r="H49" s="46" t="s">
        <v>83</v>
      </c>
      <c r="I49" s="32" t="str">
        <f t="shared" si="9"/>
        <v>AWC/CWC Laminated Veneer Lumber 2020 Tally w/Biogenic Carbon</v>
      </c>
      <c r="J49" s="32" t="str">
        <f t="shared" si="7"/>
        <v>AWC/CWC Laminated Veneer Lumber 2020 Tally w/Biogenic Carbon</v>
      </c>
      <c r="K49" s="19"/>
      <c r="L49" s="87"/>
      <c r="M49" s="33">
        <v>1.34</v>
      </c>
      <c r="N49" s="104">
        <f>Y49*'Tally C-D kg factors'!D7</f>
        <v>269.39135927102296</v>
      </c>
      <c r="O49" s="98">
        <f>Y49*'Tally C-D kg factors'!E7</f>
        <v>269.39135927102296</v>
      </c>
      <c r="P49" s="105"/>
      <c r="Q49" s="98">
        <f>Y49*'Tally C-D kg factors'!F7</f>
        <v>48.927048647492498</v>
      </c>
      <c r="R49" s="105">
        <v>-998.3</v>
      </c>
      <c r="S49" s="105"/>
      <c r="T49" s="105">
        <v>167.2</v>
      </c>
      <c r="U49" s="105"/>
      <c r="V49" s="105"/>
      <c r="W49" s="105"/>
      <c r="X49" s="105"/>
      <c r="Y49" s="90">
        <v>544.53</v>
      </c>
    </row>
    <row r="50" spans="1:28" s="54" customFormat="1" ht="61.5" customHeight="1" x14ac:dyDescent="0.25">
      <c r="A50" s="29" t="s">
        <v>25</v>
      </c>
      <c r="B50" s="31" t="s">
        <v>232</v>
      </c>
      <c r="C50" s="31" t="s">
        <v>235</v>
      </c>
      <c r="D50" s="45" t="s">
        <v>157</v>
      </c>
      <c r="E50" s="46" t="str">
        <f t="shared" si="1"/>
        <v>AWC/CWC Laminated Veneer Lumber 2020 no</v>
      </c>
      <c r="F50" s="32" t="str">
        <f t="shared" si="2"/>
        <v>LVL LVL Industry-Wide EPD AWC/CWC Laminated Veneer Lumber 2020</v>
      </c>
      <c r="G50" s="32" t="str">
        <f t="shared" si="3"/>
        <v>LVL LVL Industry-Wide EPD AWC/CWC Laminated Veneer Lumber 2020 no</v>
      </c>
      <c r="H50" s="46" t="s">
        <v>84</v>
      </c>
      <c r="I50" s="32" t="str">
        <f t="shared" si="9"/>
        <v>AWC/CWC Laminated Veneer Lumber 2020 Tally w/o Biogenic Carbon</v>
      </c>
      <c r="J50" s="32" t="str">
        <f t="shared" si="7"/>
        <v>AWC/CWC Laminated Veneer Lumber 2020 Tally w/o Biogenic Carbon</v>
      </c>
      <c r="K50" s="19"/>
      <c r="L50" s="87"/>
      <c r="M50" s="33">
        <v>1.34</v>
      </c>
      <c r="N50" s="104">
        <v>0</v>
      </c>
      <c r="O50" s="98">
        <f>'Tally C-D kg factors'!E8*Y50</f>
        <v>269.34313128919314</v>
      </c>
      <c r="P50" s="105"/>
      <c r="Q50" s="98">
        <f>Y50*'Tally C-D kg factors'!F8</f>
        <v>-92.315186127344532</v>
      </c>
      <c r="R50" s="105">
        <v>0</v>
      </c>
      <c r="S50" s="105"/>
      <c r="T50" s="105">
        <v>167.2</v>
      </c>
      <c r="U50" s="105"/>
      <c r="V50" s="105"/>
      <c r="W50" s="105"/>
      <c r="X50" s="105"/>
      <c r="Y50" s="90">
        <v>544.53</v>
      </c>
    </row>
    <row r="51" spans="1:28" s="54" customFormat="1" ht="66" customHeight="1" x14ac:dyDescent="0.25">
      <c r="A51" s="29" t="s">
        <v>25</v>
      </c>
      <c r="B51" s="31" t="s">
        <v>232</v>
      </c>
      <c r="C51" s="31" t="s">
        <v>235</v>
      </c>
      <c r="D51" s="45" t="s">
        <v>136</v>
      </c>
      <c r="E51" s="46" t="str">
        <f t="shared" si="1"/>
        <v>AWC/CWC Laminated Veneer Lumber 2020 yes</v>
      </c>
      <c r="F51" s="32" t="str">
        <f t="shared" si="2"/>
        <v>LVL LVL Industry-Wide EPD AWC/CWC Laminated Veneer Lumber 2020</v>
      </c>
      <c r="G51" s="32" t="str">
        <f t="shared" si="3"/>
        <v>LVL LVL Industry-Wide EPD AWC/CWC Laminated Veneer Lumber 2020 yes</v>
      </c>
      <c r="H51" s="46" t="s">
        <v>85</v>
      </c>
      <c r="I51" s="32" t="str">
        <f t="shared" si="9"/>
        <v>AWC/CWC Laminated Veneer Lumber 2020 EPD v1 - Biogenic Carbon Net Neutral</v>
      </c>
      <c r="J51" s="32" t="str">
        <f t="shared" si="7"/>
        <v>AWC/CWC Laminated Veneer Lumber 2020 EPD v1 - Biogenic Carbon Net Neutral</v>
      </c>
      <c r="K51" s="19"/>
      <c r="L51" s="87"/>
      <c r="M51" s="33">
        <v>1.34</v>
      </c>
      <c r="N51" s="33">
        <v>998.31</v>
      </c>
      <c r="O51" s="104">
        <v>0</v>
      </c>
      <c r="P51" s="104">
        <v>0</v>
      </c>
      <c r="Q51" s="104">
        <v>0</v>
      </c>
      <c r="R51" s="91">
        <v>-998.31</v>
      </c>
      <c r="S51" s="104">
        <v>0</v>
      </c>
      <c r="T51" s="91">
        <v>167.23</v>
      </c>
      <c r="U51" s="91"/>
      <c r="V51" s="91"/>
      <c r="W51" s="91"/>
      <c r="X51" s="91"/>
      <c r="Y51" s="90">
        <v>544.53</v>
      </c>
    </row>
    <row r="52" spans="1:28" s="54" customFormat="1" ht="66" customHeight="1" x14ac:dyDescent="0.25">
      <c r="A52" s="29" t="s">
        <v>25</v>
      </c>
      <c r="B52" s="31" t="s">
        <v>232</v>
      </c>
      <c r="C52" s="31" t="s">
        <v>235</v>
      </c>
      <c r="D52" s="45" t="s">
        <v>136</v>
      </c>
      <c r="E52" s="46" t="str">
        <f t="shared" si="1"/>
        <v>AWC/CWC Laminated Veneer Lumber 2020 yes</v>
      </c>
      <c r="F52" s="32" t="str">
        <f t="shared" si="2"/>
        <v>LVL LVL Industry-Wide EPD AWC/CWC Laminated Veneer Lumber 2020</v>
      </c>
      <c r="G52" s="32" t="str">
        <f t="shared" si="3"/>
        <v>LVL LVL Industry-Wide EPD AWC/CWC Laminated Veneer Lumber 2020 yes</v>
      </c>
      <c r="H52" s="46" t="s">
        <v>86</v>
      </c>
      <c r="I52" s="32" t="str">
        <f t="shared" si="9"/>
        <v>AWC/CWC Laminated Veneer Lumber 2020 EPD v2 - w/Long Term Biogenic Carbon Sequestration</v>
      </c>
      <c r="J52" s="32" t="str">
        <f t="shared" si="7"/>
        <v>AWC/CWC Laminated Veneer Lumber 2020 EPD v2 - w/Long Term Biogenic Carbon Sequestration</v>
      </c>
      <c r="K52" s="19"/>
      <c r="L52" s="87"/>
      <c r="M52" s="33">
        <v>1.34</v>
      </c>
      <c r="N52" s="33">
        <v>112.12</v>
      </c>
      <c r="O52" s="104">
        <v>0</v>
      </c>
      <c r="P52" s="104">
        <v>0</v>
      </c>
      <c r="Q52" s="104">
        <v>0</v>
      </c>
      <c r="R52" s="91">
        <v>-998.31</v>
      </c>
      <c r="S52" s="104">
        <v>0</v>
      </c>
      <c r="T52" s="91">
        <v>167.23</v>
      </c>
      <c r="U52" s="91"/>
      <c r="V52" s="91"/>
      <c r="W52" s="91"/>
      <c r="X52" s="91"/>
      <c r="Y52" s="90">
        <v>544.53</v>
      </c>
    </row>
    <row r="53" spans="1:28" ht="63.75" customHeight="1" x14ac:dyDescent="0.25">
      <c r="A53" s="29" t="s">
        <v>26</v>
      </c>
      <c r="B53" s="31" t="s">
        <v>236</v>
      </c>
      <c r="C53" s="31" t="s">
        <v>237</v>
      </c>
      <c r="D53" s="45" t="s">
        <v>136</v>
      </c>
      <c r="E53" s="46" t="str">
        <f t="shared" si="1"/>
        <v>Tally's LVL Proxy (AWC/CWC North American Laminated veneer Lumber 2013  ) yes</v>
      </c>
      <c r="F53" s="32" t="str">
        <f t="shared" si="2"/>
        <v>PSL PSL Industry-Wide EPD Tally's LVL Proxy (AWC/CWC North American Laminated veneer Lumber 2013  )</v>
      </c>
      <c r="G53" s="32" t="str">
        <f t="shared" si="3"/>
        <v>PSL PSL Industry-Wide EPD Tally's LVL Proxy (AWC/CWC North American Laminated veneer Lumber 2013  ) yes</v>
      </c>
      <c r="H53" s="46" t="s">
        <v>83</v>
      </c>
      <c r="I53" s="32" t="str">
        <f t="shared" si="5"/>
        <v>Tally's LVL Proxy (AWC/CWC North American Laminated veneer Lumber 2013  ) Tally w/Biogenic Carbon</v>
      </c>
      <c r="J53" s="32" t="str">
        <f t="shared" si="7"/>
        <v>Tally's LVL Proxy (AWC/CWC North American Laminated veneer Lumber 2013  ) Tally w/Biogenic Carbon</v>
      </c>
      <c r="K53" s="19" t="s">
        <v>2</v>
      </c>
      <c r="L53" s="87" t="s">
        <v>234</v>
      </c>
      <c r="M53" s="33">
        <v>1.34</v>
      </c>
      <c r="N53" s="91">
        <v>412.01999974929021</v>
      </c>
      <c r="O53" s="91">
        <v>724.4999995591495</v>
      </c>
      <c r="P53" s="91">
        <v>0</v>
      </c>
      <c r="Q53" s="91">
        <v>56.762999965460473</v>
      </c>
      <c r="R53" s="91">
        <v>-1127.6767996756455</v>
      </c>
      <c r="S53" s="91">
        <v>16.098263990204369</v>
      </c>
      <c r="T53" s="91">
        <v>233.1</v>
      </c>
      <c r="U53" s="91">
        <v>0</v>
      </c>
      <c r="V53" s="91">
        <v>0</v>
      </c>
      <c r="W53" s="91">
        <v>0</v>
      </c>
      <c r="X53" s="91">
        <v>0</v>
      </c>
      <c r="Y53" s="90">
        <v>628.60106725999992</v>
      </c>
      <c r="Z53" s="54"/>
      <c r="AA53" s="54"/>
      <c r="AB53" s="54"/>
    </row>
    <row r="54" spans="1:28" s="54" customFormat="1" ht="63.75" customHeight="1" x14ac:dyDescent="0.25">
      <c r="A54" s="29" t="s">
        <v>26</v>
      </c>
      <c r="B54" s="31" t="s">
        <v>236</v>
      </c>
      <c r="C54" s="31" t="s">
        <v>237</v>
      </c>
      <c r="D54" s="45" t="s">
        <v>157</v>
      </c>
      <c r="E54" s="46" t="str">
        <f t="shared" si="1"/>
        <v>Tally's LVL Proxy (AWC/CWC North American Laminated veneer Lumber 2013  ) no</v>
      </c>
      <c r="F54" s="32" t="str">
        <f t="shared" si="2"/>
        <v>PSL PSL Industry-Wide EPD Tally's LVL Proxy (AWC/CWC North American Laminated veneer Lumber 2013  )</v>
      </c>
      <c r="G54" s="32" t="str">
        <f t="shared" si="3"/>
        <v>PSL PSL Industry-Wide EPD Tally's LVL Proxy (AWC/CWC North American Laminated veneer Lumber 2013  ) no</v>
      </c>
      <c r="H54" s="46" t="s">
        <v>84</v>
      </c>
      <c r="I54" s="32" t="str">
        <f t="shared" ref="I54" si="10">C54&amp;" "&amp;H54</f>
        <v>Tally's LVL Proxy (AWC/CWC North American Laminated veneer Lumber 2013  ) Tally w/o Biogenic Carbon</v>
      </c>
      <c r="J54" s="32" t="str">
        <f t="shared" si="7"/>
        <v>Tally's LVL Proxy (AWC/CWC North American Laminated veneer Lumber 2013  ) Tally w/o Biogenic Carbon</v>
      </c>
      <c r="K54" s="19" t="s">
        <v>2</v>
      </c>
      <c r="L54" s="87" t="s">
        <v>234</v>
      </c>
      <c r="M54" s="33">
        <v>1.34</v>
      </c>
      <c r="N54" s="33">
        <v>0</v>
      </c>
      <c r="O54" s="98">
        <v>312.47999980985929</v>
      </c>
      <c r="P54" s="91">
        <v>0</v>
      </c>
      <c r="Q54" s="99">
        <v>-107.09999993483081</v>
      </c>
      <c r="R54" s="91">
        <v>0</v>
      </c>
      <c r="S54" s="91">
        <v>16.009811990258214</v>
      </c>
      <c r="T54" s="91">
        <v>233.07680021999997</v>
      </c>
      <c r="U54" s="91">
        <v>0</v>
      </c>
      <c r="V54" s="91">
        <v>0</v>
      </c>
      <c r="W54" s="91">
        <v>0</v>
      </c>
      <c r="X54" s="91">
        <v>0</v>
      </c>
      <c r="Y54" s="90">
        <v>628.60106725999992</v>
      </c>
    </row>
    <row r="55" spans="1:28" ht="60" customHeight="1" x14ac:dyDescent="0.25">
      <c r="A55" s="29" t="s">
        <v>27</v>
      </c>
      <c r="B55" s="31" t="s">
        <v>238</v>
      </c>
      <c r="C55" s="31" t="s">
        <v>239</v>
      </c>
      <c r="D55" s="45" t="s">
        <v>136</v>
      </c>
      <c r="E55" s="46" t="str">
        <f t="shared" si="1"/>
        <v>Tally - US: Dry rough lumber, at kiln, PNW and SE USLCI/PE (2009) yes</v>
      </c>
      <c r="F55" s="32" t="str">
        <f t="shared" si="2"/>
        <v>heavy timber heavy timber Industry-Wide EPD Tally - US: Dry rough lumber, at kiln, PNW and SE USLCI/PE (2009)</v>
      </c>
      <c r="G55" s="32" t="str">
        <f t="shared" si="3"/>
        <v>heavy timber heavy timber Industry-Wide EPD Tally - US: Dry rough lumber, at kiln, PNW and SE USLCI/PE (2009) yes</v>
      </c>
      <c r="H55" s="46" t="s">
        <v>83</v>
      </c>
      <c r="I55" s="32" t="str">
        <f t="shared" si="5"/>
        <v>Tally - US: Dry rough lumber, at kiln, PNW and SE USLCI/PE (2009) Tally w/Biogenic Carbon</v>
      </c>
      <c r="J55" s="32" t="str">
        <f t="shared" si="7"/>
        <v>Tally - US: Dry rough lumber, at kiln, PNW and SE USLCI/PE (2009) Tally w/Biogenic Carbon</v>
      </c>
      <c r="K55" s="19" t="s">
        <v>2</v>
      </c>
      <c r="L55" s="87" t="s">
        <v>240</v>
      </c>
      <c r="M55" s="33">
        <v>1.68</v>
      </c>
      <c r="N55" s="91">
        <v>301.52999981652158</v>
      </c>
      <c r="O55" s="97">
        <v>275.10000000000002</v>
      </c>
      <c r="P55" s="91">
        <v>0</v>
      </c>
      <c r="Q55" s="97">
        <v>63.47999996137311</v>
      </c>
      <c r="R55" s="91">
        <v>-1280.1799992210229</v>
      </c>
      <c r="S55" s="97">
        <v>11.062342193268693</v>
      </c>
      <c r="T55" s="91">
        <v>100.5</v>
      </c>
      <c r="U55" s="91">
        <v>0</v>
      </c>
      <c r="V55" s="91">
        <v>0</v>
      </c>
      <c r="W55" s="91">
        <v>0</v>
      </c>
      <c r="X55" s="91">
        <v>0</v>
      </c>
      <c r="Y55" s="90">
        <v>529.72000049999997</v>
      </c>
      <c r="Z55" s="54"/>
      <c r="AA55" s="54"/>
      <c r="AB55" s="54"/>
    </row>
    <row r="56" spans="1:28" s="54" customFormat="1" ht="60" customHeight="1" x14ac:dyDescent="0.25">
      <c r="A56" s="29" t="s">
        <v>27</v>
      </c>
      <c r="B56" s="31" t="s">
        <v>238</v>
      </c>
      <c r="C56" s="31" t="s">
        <v>239</v>
      </c>
      <c r="D56" s="45" t="s">
        <v>157</v>
      </c>
      <c r="E56" s="46" t="str">
        <f t="shared" si="1"/>
        <v>Tally - US: Dry rough lumber, at kiln, PNW and SE USLCI/PE (2009) no</v>
      </c>
      <c r="F56" s="32" t="str">
        <f t="shared" si="2"/>
        <v>heavy timber heavy timber Industry-Wide EPD Tally - US: Dry rough lumber, at kiln, PNW and SE USLCI/PE (2009)</v>
      </c>
      <c r="G56" s="32" t="str">
        <f t="shared" si="3"/>
        <v>heavy timber heavy timber Industry-Wide EPD Tally - US: Dry rough lumber, at kiln, PNW and SE USLCI/PE (2009) no</v>
      </c>
      <c r="H56" s="46" t="s">
        <v>84</v>
      </c>
      <c r="I56" s="32" t="str">
        <f t="shared" ref="I56" si="11">C56&amp;" "&amp;H56</f>
        <v>Tally - US: Dry rough lumber, at kiln, PNW and SE USLCI/PE (2009) Tally w/o Biogenic Carbon</v>
      </c>
      <c r="J56" s="32" t="str">
        <f t="shared" si="7"/>
        <v>Tally - US: Dry rough lumber, at kiln, PNW and SE USLCI/PE (2009) Tally w/o Biogenic Carbon</v>
      </c>
      <c r="K56" s="19" t="s">
        <v>2</v>
      </c>
      <c r="L56" s="87" t="s">
        <v>240</v>
      </c>
      <c r="M56" s="33">
        <v>1.68</v>
      </c>
      <c r="N56" s="85">
        <v>0</v>
      </c>
      <c r="O56" s="91">
        <v>275.07999983261675</v>
      </c>
      <c r="P56" s="91">
        <v>0</v>
      </c>
      <c r="Q56" s="98">
        <v>-90.987999944634936</v>
      </c>
      <c r="R56" s="100">
        <v>0</v>
      </c>
      <c r="S56" s="91">
        <v>11.001560093305663</v>
      </c>
      <c r="T56" s="101">
        <v>100.50999993884075</v>
      </c>
      <c r="U56" s="101">
        <v>0</v>
      </c>
      <c r="V56" s="91">
        <v>0</v>
      </c>
      <c r="W56" s="91">
        <v>0</v>
      </c>
      <c r="X56" s="91">
        <v>0</v>
      </c>
      <c r="Y56" s="90">
        <v>529.72000049999997</v>
      </c>
    </row>
    <row r="57" spans="1:28" s="7" customFormat="1" ht="54.75" customHeight="1" x14ac:dyDescent="0.25">
      <c r="A57" s="301" t="s">
        <v>28</v>
      </c>
      <c r="B57" s="112" t="s">
        <v>241</v>
      </c>
      <c r="C57" s="113" t="s">
        <v>242</v>
      </c>
      <c r="D57" s="114" t="s">
        <v>136</v>
      </c>
      <c r="E57" s="46" t="str">
        <f t="shared" si="1"/>
        <v>Tally - AWC/CWC North American Softwood lumber 2013 yes</v>
      </c>
      <c r="F57" s="32" t="str">
        <f t="shared" si="2"/>
        <v>wood framing wood framing Industry-Wide EPD Tally - AWC/CWC North American Softwood lumber 2013</v>
      </c>
      <c r="G57" s="32" t="str">
        <f t="shared" si="3"/>
        <v>wood framing wood framing Industry-Wide EPD Tally - AWC/CWC North American Softwood lumber 2013 yes</v>
      </c>
      <c r="H57" s="114" t="s">
        <v>83</v>
      </c>
      <c r="I57" s="113" t="str">
        <f t="shared" si="5"/>
        <v>Tally - AWC/CWC North American Softwood lumber 2013 Tally w/Biogenic Carbon</v>
      </c>
      <c r="J57" s="32" t="str">
        <f t="shared" si="7"/>
        <v>Tally - AWC/CWC North American Softwood lumber 2013 Tally w/Biogenic Carbon</v>
      </c>
      <c r="K57" s="115" t="s">
        <v>2</v>
      </c>
      <c r="L57" s="116" t="s">
        <v>243</v>
      </c>
      <c r="M57" s="94">
        <v>1.8080000000000001</v>
      </c>
      <c r="N57" s="117">
        <v>247.13489984962283</v>
      </c>
      <c r="O57" s="97">
        <v>225.5</v>
      </c>
      <c r="P57" s="117">
        <v>0</v>
      </c>
      <c r="Q57" s="97">
        <v>52.028399968341184</v>
      </c>
      <c r="R57" s="117">
        <v>-796.90165951509243</v>
      </c>
      <c r="S57" s="97">
        <v>9.0667291204829841</v>
      </c>
      <c r="T57" s="117">
        <v>72.8</v>
      </c>
      <c r="U57" s="117">
        <v>0</v>
      </c>
      <c r="V57" s="117">
        <v>0</v>
      </c>
      <c r="W57" s="117">
        <v>0</v>
      </c>
      <c r="X57" s="117">
        <v>0</v>
      </c>
      <c r="Y57" s="118">
        <v>434.37040041</v>
      </c>
      <c r="Z57" s="119"/>
      <c r="AB57" s="7">
        <f>R57*0.22</f>
        <v>-175.31836509332032</v>
      </c>
    </row>
    <row r="58" spans="1:28" s="54" customFormat="1" ht="54.75" customHeight="1" x14ac:dyDescent="0.25">
      <c r="A58" s="29" t="s">
        <v>28</v>
      </c>
      <c r="B58" s="86" t="s">
        <v>241</v>
      </c>
      <c r="C58" s="32" t="s">
        <v>242</v>
      </c>
      <c r="D58" s="88" t="s">
        <v>157</v>
      </c>
      <c r="E58" s="46" t="str">
        <f t="shared" si="1"/>
        <v>Tally - AWC/CWC North American Softwood lumber 2013 no</v>
      </c>
      <c r="F58" s="32" t="str">
        <f t="shared" si="2"/>
        <v>wood framing wood framing Industry-Wide EPD Tally - AWC/CWC North American Softwood lumber 2013</v>
      </c>
      <c r="G58" s="32" t="str">
        <f t="shared" si="3"/>
        <v>wood framing wood framing Industry-Wide EPD Tally - AWC/CWC North American Softwood lumber 2013 no</v>
      </c>
      <c r="H58" s="88" t="s">
        <v>84</v>
      </c>
      <c r="I58" s="32" t="str">
        <f t="shared" si="5"/>
        <v>Tally - AWC/CWC North American Softwood lumber 2013 Tally w/o Biogenic Carbon</v>
      </c>
      <c r="J58" s="32" t="str">
        <f t="shared" si="7"/>
        <v>Tally - AWC/CWC North American Softwood lumber 2013 Tally w/o Biogenic Carbon</v>
      </c>
      <c r="K58" s="19" t="s">
        <v>2</v>
      </c>
      <c r="L58" s="87" t="s">
        <v>243</v>
      </c>
      <c r="M58" s="33">
        <v>1.8080000000000001</v>
      </c>
      <c r="N58" s="33">
        <v>0</v>
      </c>
      <c r="O58" s="91">
        <v>225.45639986281228</v>
      </c>
      <c r="P58" s="91">
        <v>0</v>
      </c>
      <c r="Q58" s="102">
        <v>-74.513946736999984</v>
      </c>
      <c r="R58" s="103">
        <v>0</v>
      </c>
      <c r="S58" s="91">
        <v>9.0169119275133003</v>
      </c>
      <c r="T58" s="91">
        <v>72.839759955677863</v>
      </c>
      <c r="U58" s="91">
        <v>0</v>
      </c>
      <c r="V58" s="91">
        <v>0</v>
      </c>
      <c r="W58" s="91">
        <v>0</v>
      </c>
      <c r="X58" s="91">
        <v>0</v>
      </c>
      <c r="Y58" s="90">
        <v>434.37040041</v>
      </c>
    </row>
    <row r="59" spans="1:28" s="54" customFormat="1" ht="54.75" customHeight="1" x14ac:dyDescent="0.25">
      <c r="A59" s="29" t="s">
        <v>28</v>
      </c>
      <c r="B59" s="86" t="s">
        <v>241</v>
      </c>
      <c r="C59" s="32" t="s">
        <v>244</v>
      </c>
      <c r="D59" s="88" t="s">
        <v>136</v>
      </c>
      <c r="E59" s="46" t="str">
        <f t="shared" si="1"/>
        <v>AWC/CWC North American Softwood lumber 2020 yes</v>
      </c>
      <c r="F59" s="32" t="str">
        <f t="shared" si="2"/>
        <v>wood framing wood framing Industry-Wide EPD AWC/CWC North American Softwood lumber 2020</v>
      </c>
      <c r="G59" s="32" t="str">
        <f t="shared" si="3"/>
        <v>wood framing wood framing Industry-Wide EPD AWC/CWC North American Softwood lumber 2020 yes</v>
      </c>
      <c r="H59" s="88" t="s">
        <v>83</v>
      </c>
      <c r="I59" s="32" t="str">
        <f t="shared" si="5"/>
        <v>AWC/CWC North American Softwood lumber 2020 Tally w/Biogenic Carbon</v>
      </c>
      <c r="J59" s="32" t="str">
        <f t="shared" si="7"/>
        <v>AWC/CWC North American Softwood lumber 2020 Tally w/Biogenic Carbon</v>
      </c>
      <c r="K59" s="19" t="s">
        <v>3</v>
      </c>
      <c r="L59" s="87"/>
      <c r="M59" s="33">
        <v>1.68</v>
      </c>
      <c r="N59" s="33">
        <f>Y59*'Tally C-D kg factors'!D9</f>
        <v>261.81926324964485</v>
      </c>
      <c r="O59" s="91">
        <f>Y59*'Tally C-D kg factors'!E9</f>
        <v>238.89885199832096</v>
      </c>
      <c r="P59" s="91"/>
      <c r="Q59" s="102">
        <f>Y59*'Tally C-D kg factors'!F9</f>
        <v>55.119844894661583</v>
      </c>
      <c r="R59" s="91">
        <v>-843.66</v>
      </c>
      <c r="S59" s="91"/>
      <c r="T59" s="91">
        <v>63.12</v>
      </c>
      <c r="U59" s="91"/>
      <c r="V59" s="91"/>
      <c r="W59" s="91"/>
      <c r="X59" s="91"/>
      <c r="Y59" s="90">
        <v>460.18</v>
      </c>
      <c r="AB59" s="54">
        <f>0.05*0.145*434.4</f>
        <v>3.1493999999999995</v>
      </c>
    </row>
    <row r="60" spans="1:28" s="54" customFormat="1" ht="54.75" customHeight="1" x14ac:dyDescent="0.25">
      <c r="A60" s="29" t="s">
        <v>28</v>
      </c>
      <c r="B60" s="86" t="s">
        <v>241</v>
      </c>
      <c r="C60" s="32" t="s">
        <v>244</v>
      </c>
      <c r="D60" s="88" t="s">
        <v>157</v>
      </c>
      <c r="E60" s="46" t="str">
        <f t="shared" si="1"/>
        <v>AWC/CWC North American Softwood lumber 2020 no</v>
      </c>
      <c r="F60" s="32" t="str">
        <f t="shared" si="2"/>
        <v>wood framing wood framing Industry-Wide EPD AWC/CWC North American Softwood lumber 2020</v>
      </c>
      <c r="G60" s="32" t="str">
        <f t="shared" si="3"/>
        <v>wood framing wood framing Industry-Wide EPD AWC/CWC North American Softwood lumber 2020 no</v>
      </c>
      <c r="H60" s="88" t="s">
        <v>84</v>
      </c>
      <c r="I60" s="32" t="str">
        <f t="shared" si="5"/>
        <v>AWC/CWC North American Softwood lumber 2020 Tally w/o Biogenic Carbon</v>
      </c>
      <c r="J60" s="32" t="str">
        <f t="shared" si="7"/>
        <v>AWC/CWC North American Softwood lumber 2020 Tally w/o Biogenic Carbon</v>
      </c>
      <c r="K60" s="19" t="s">
        <v>3</v>
      </c>
      <c r="L60" s="87"/>
      <c r="M60" s="33">
        <v>1.68</v>
      </c>
      <c r="N60" s="33">
        <v>0</v>
      </c>
      <c r="O60" s="91">
        <f>Y60*'Tally C-D kg factors'!E10</f>
        <v>238.85266121020069</v>
      </c>
      <c r="P60" s="91"/>
      <c r="Q60" s="102">
        <f>Y60*'Tally C-D kg factors'!F10</f>
        <v>-78.941447154471533</v>
      </c>
      <c r="R60" s="91">
        <v>0</v>
      </c>
      <c r="S60" s="91"/>
      <c r="T60" s="91">
        <v>63.12</v>
      </c>
      <c r="U60" s="91"/>
      <c r="V60" s="91"/>
      <c r="W60" s="91"/>
      <c r="X60" s="91"/>
      <c r="Y60" s="90">
        <v>460.18</v>
      </c>
      <c r="AB60" s="54">
        <f>-0.36*434.4</f>
        <v>-156.38399999999999</v>
      </c>
    </row>
    <row r="61" spans="1:28" s="54" customFormat="1" ht="54.75" customHeight="1" x14ac:dyDescent="0.25">
      <c r="A61" s="29" t="s">
        <v>28</v>
      </c>
      <c r="B61" s="86" t="s">
        <v>241</v>
      </c>
      <c r="C61" s="32" t="s">
        <v>244</v>
      </c>
      <c r="D61" s="46" t="s">
        <v>136</v>
      </c>
      <c r="E61" s="46" t="str">
        <f t="shared" si="1"/>
        <v>AWC/CWC North American Softwood lumber 2020 yes</v>
      </c>
      <c r="F61" s="32" t="str">
        <f t="shared" si="2"/>
        <v>wood framing wood framing Industry-Wide EPD AWC/CWC North American Softwood lumber 2020</v>
      </c>
      <c r="G61" s="32" t="str">
        <f t="shared" si="3"/>
        <v>wood framing wood framing Industry-Wide EPD AWC/CWC North American Softwood lumber 2020 yes</v>
      </c>
      <c r="H61" s="46" t="s">
        <v>85</v>
      </c>
      <c r="I61" s="32" t="str">
        <f t="shared" si="5"/>
        <v>AWC/CWC North American Softwood lumber 2020 EPD v1 - Biogenic Carbon Net Neutral</v>
      </c>
      <c r="J61" s="32" t="str">
        <f t="shared" si="7"/>
        <v>AWC/CWC North American Softwood lumber 2020 EPD v1 - Biogenic Carbon Net Neutral</v>
      </c>
      <c r="K61" s="19" t="s">
        <v>3</v>
      </c>
      <c r="L61" s="87"/>
      <c r="M61" s="33">
        <v>1.68</v>
      </c>
      <c r="N61" s="91">
        <v>843.66</v>
      </c>
      <c r="O61" s="33">
        <v>0</v>
      </c>
      <c r="P61" s="33">
        <v>0</v>
      </c>
      <c r="Q61" s="33">
        <v>0</v>
      </c>
      <c r="R61" s="91">
        <v>-843.66</v>
      </c>
      <c r="S61" s="97"/>
      <c r="T61" s="91">
        <v>63.12</v>
      </c>
      <c r="U61" s="91"/>
      <c r="V61" s="91"/>
      <c r="W61" s="91"/>
      <c r="X61" s="91"/>
      <c r="Y61" s="90">
        <v>460.18</v>
      </c>
    </row>
    <row r="62" spans="1:28" s="54" customFormat="1" ht="54.75" customHeight="1" x14ac:dyDescent="0.25">
      <c r="A62" s="29" t="s">
        <v>28</v>
      </c>
      <c r="B62" s="86" t="s">
        <v>241</v>
      </c>
      <c r="C62" s="32" t="s">
        <v>244</v>
      </c>
      <c r="D62" s="46" t="s">
        <v>136</v>
      </c>
      <c r="E62" s="46" t="str">
        <f t="shared" si="1"/>
        <v>AWC/CWC North American Softwood lumber 2020 yes</v>
      </c>
      <c r="F62" s="32" t="str">
        <f t="shared" si="2"/>
        <v>wood framing wood framing Industry-Wide EPD AWC/CWC North American Softwood lumber 2020</v>
      </c>
      <c r="G62" s="32" t="str">
        <f t="shared" si="3"/>
        <v>wood framing wood framing Industry-Wide EPD AWC/CWC North American Softwood lumber 2020 yes</v>
      </c>
      <c r="H62" s="46" t="s">
        <v>86</v>
      </c>
      <c r="I62" s="32" t="str">
        <f t="shared" si="5"/>
        <v>AWC/CWC North American Softwood lumber 2020 EPD v2 - w/Long Term Biogenic Carbon Sequestration</v>
      </c>
      <c r="J62" s="32" t="str">
        <f t="shared" si="7"/>
        <v>AWC/CWC North American Softwood lumber 2020 EPD v2 - w/Long Term Biogenic Carbon Sequestration</v>
      </c>
      <c r="K62" s="19" t="s">
        <v>3</v>
      </c>
      <c r="L62" s="87"/>
      <c r="M62" s="33">
        <v>1.68</v>
      </c>
      <c r="N62" s="91">
        <v>94.75</v>
      </c>
      <c r="O62" s="33">
        <v>0</v>
      </c>
      <c r="P62" s="33">
        <v>0</v>
      </c>
      <c r="Q62" s="33">
        <v>0</v>
      </c>
      <c r="R62" s="91">
        <v>-843.66</v>
      </c>
      <c r="S62" s="97"/>
      <c r="T62" s="91">
        <v>63.12</v>
      </c>
      <c r="U62" s="91"/>
      <c r="V62" s="91"/>
      <c r="W62" s="91"/>
      <c r="X62" s="91"/>
      <c r="Y62" s="90">
        <v>460.18</v>
      </c>
    </row>
    <row r="63" spans="1:28" s="54" customFormat="1" ht="54.75" customHeight="1" x14ac:dyDescent="0.25">
      <c r="A63" s="29"/>
      <c r="B63" s="86"/>
      <c r="C63" s="32"/>
      <c r="D63" s="88"/>
      <c r="E63" s="88"/>
      <c r="F63" s="32"/>
      <c r="G63" s="32"/>
      <c r="H63" s="46"/>
      <c r="I63" s="32"/>
      <c r="J63" s="32"/>
      <c r="K63" s="19"/>
      <c r="L63" s="87"/>
      <c r="M63" s="33"/>
      <c r="N63" s="91"/>
      <c r="O63" s="97"/>
      <c r="P63" s="91"/>
      <c r="Q63" s="102"/>
      <c r="R63" s="91"/>
      <c r="S63" s="97"/>
      <c r="T63" s="91"/>
      <c r="U63" s="91"/>
      <c r="V63" s="91"/>
      <c r="W63" s="91"/>
      <c r="X63" s="91"/>
      <c r="Y63" s="90"/>
    </row>
    <row r="64" spans="1:28" s="54" customFormat="1" ht="54.75" customHeight="1" x14ac:dyDescent="0.25">
      <c r="A64" s="29"/>
      <c r="B64" s="86"/>
      <c r="C64" s="32"/>
      <c r="D64" s="88"/>
      <c r="E64" s="88"/>
      <c r="F64" s="32"/>
      <c r="G64" s="32"/>
      <c r="H64" s="32"/>
      <c r="I64" s="32"/>
      <c r="J64" s="32"/>
      <c r="K64" s="19"/>
      <c r="L64" s="87"/>
      <c r="M64" s="33"/>
      <c r="N64" s="33"/>
      <c r="O64" s="91"/>
      <c r="P64" s="91"/>
      <c r="Q64" s="102"/>
      <c r="R64" s="103"/>
      <c r="S64" s="91"/>
      <c r="T64" s="91"/>
      <c r="U64" s="91"/>
      <c r="V64" s="91"/>
      <c r="W64" s="91"/>
      <c r="X64" s="91"/>
      <c r="Y64" s="90"/>
    </row>
    <row r="67" spans="14:24" x14ac:dyDescent="0.25">
      <c r="N67" s="56"/>
      <c r="O67" s="56"/>
      <c r="P67" s="56"/>
      <c r="Q67" s="56"/>
      <c r="R67" s="56"/>
      <c r="S67" s="56"/>
      <c r="T67" s="56"/>
      <c r="U67" s="56"/>
      <c r="V67" s="56"/>
      <c r="W67" s="56"/>
      <c r="X67" s="56"/>
    </row>
    <row r="68" spans="14:24" x14ac:dyDescent="0.25">
      <c r="N68" s="56"/>
      <c r="O68" s="56"/>
      <c r="P68" s="56"/>
      <c r="Q68" s="99"/>
      <c r="R68" s="56"/>
      <c r="S68" s="56"/>
      <c r="T68" s="56"/>
      <c r="U68" s="56"/>
      <c r="V68" s="56"/>
      <c r="W68" s="56"/>
      <c r="X68" s="56"/>
    </row>
    <row r="69" spans="14:24" x14ac:dyDescent="0.25">
      <c r="N69" s="56"/>
      <c r="O69" s="56"/>
      <c r="P69" s="99"/>
      <c r="Q69" s="56"/>
      <c r="R69" s="56"/>
      <c r="S69" s="56"/>
      <c r="T69" s="56"/>
      <c r="U69" s="56"/>
      <c r="V69" s="56"/>
      <c r="W69" s="56"/>
      <c r="X69" s="56"/>
    </row>
    <row r="70" spans="14:24" x14ac:dyDescent="0.25">
      <c r="N70" s="56"/>
      <c r="O70" s="56"/>
      <c r="P70" s="56"/>
      <c r="Q70" s="56"/>
      <c r="R70" s="56"/>
      <c r="S70" s="56"/>
      <c r="T70" s="99"/>
      <c r="U70" s="56"/>
      <c r="V70" s="56"/>
      <c r="W70" s="56"/>
      <c r="X70" s="56"/>
    </row>
    <row r="71" spans="14:24" x14ac:dyDescent="0.25">
      <c r="N71" s="56"/>
      <c r="O71" s="56"/>
      <c r="P71" s="56"/>
      <c r="Q71" s="56"/>
      <c r="R71" s="56"/>
      <c r="S71" s="56"/>
      <c r="T71" s="56"/>
      <c r="U71" s="56"/>
      <c r="V71" s="56"/>
      <c r="W71" s="56"/>
      <c r="X71" s="56"/>
    </row>
    <row r="72" spans="14:24" x14ac:dyDescent="0.25">
      <c r="N72" s="56"/>
      <c r="O72" s="56"/>
      <c r="P72" s="56"/>
      <c r="Q72" s="56"/>
      <c r="R72" s="56"/>
      <c r="S72" s="56"/>
      <c r="T72" s="56"/>
      <c r="U72" s="56"/>
      <c r="V72" s="56"/>
      <c r="W72" s="56"/>
      <c r="X72" s="56"/>
    </row>
    <row r="73" spans="14:24" x14ac:dyDescent="0.25">
      <c r="N73" s="56"/>
      <c r="O73" s="56"/>
      <c r="P73" s="56"/>
      <c r="Q73" s="56"/>
      <c r="R73" s="56"/>
      <c r="S73" s="56"/>
      <c r="T73" s="56"/>
      <c r="U73" s="56"/>
      <c r="V73" s="56"/>
      <c r="W73" s="56"/>
      <c r="X73" s="56"/>
    </row>
    <row r="74" spans="14:24" x14ac:dyDescent="0.25">
      <c r="N74" s="56"/>
      <c r="O74" s="56"/>
      <c r="P74" s="56"/>
      <c r="Q74" s="56"/>
      <c r="R74" s="56"/>
      <c r="S74" s="56"/>
      <c r="T74" s="56"/>
      <c r="U74" s="56"/>
      <c r="V74" s="56"/>
      <c r="W74" s="56"/>
      <c r="X74" s="5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8706D-B90D-4A38-9B3E-594E67F036F6}">
  <sheetPr>
    <pageSetUpPr autoPageBreaks="0"/>
  </sheetPr>
  <dimension ref="A4:T8"/>
  <sheetViews>
    <sheetView workbookViewId="0"/>
  </sheetViews>
  <sheetFormatPr defaultRowHeight="15" x14ac:dyDescent="0.25"/>
  <cols>
    <col min="1" max="1" width="9" style="54"/>
    <col min="2" max="2" width="17.28515625" style="54" customWidth="1"/>
    <col min="3" max="3" width="11.140625" customWidth="1"/>
    <col min="4" max="4" width="7.42578125" customWidth="1"/>
    <col min="5" max="5" width="7" customWidth="1"/>
    <col min="6" max="6" width="9.140625" customWidth="1"/>
    <col min="7" max="7" width="10.5703125" customWidth="1"/>
    <col min="8" max="8" width="12.7109375" customWidth="1"/>
    <col min="9" max="9" width="5.42578125" customWidth="1"/>
    <col min="10" max="10" width="4.85546875" customWidth="1"/>
    <col min="11" max="11" width="6.7109375" customWidth="1"/>
    <col min="12" max="12" width="7.42578125" customWidth="1"/>
    <col min="13" max="13" width="7.140625" customWidth="1"/>
    <col min="14" max="14" width="7.5703125" customWidth="1"/>
    <col min="15" max="15" width="4.42578125" customWidth="1"/>
    <col min="16" max="16" width="5.42578125" customWidth="1"/>
    <col min="17" max="17" width="6.5703125" customWidth="1"/>
    <col min="18" max="18" width="7.85546875" customWidth="1"/>
    <col min="19" max="19" width="8" customWidth="1"/>
    <col min="20" max="20" width="16" customWidth="1"/>
  </cols>
  <sheetData>
    <row r="4" spans="2:20" ht="15.75" thickBot="1" x14ac:dyDescent="0.3">
      <c r="B4" s="54" t="s">
        <v>245</v>
      </c>
      <c r="C4" s="54"/>
      <c r="D4" s="54"/>
      <c r="E4" s="54"/>
      <c r="F4" s="54"/>
      <c r="G4" s="54"/>
      <c r="H4" s="54"/>
      <c r="I4" s="54"/>
      <c r="J4" s="54"/>
      <c r="K4" s="54"/>
      <c r="L4" s="54"/>
      <c r="M4" s="54"/>
      <c r="N4" s="54"/>
      <c r="O4" s="54"/>
      <c r="P4" s="54"/>
      <c r="Q4" s="54"/>
      <c r="R4" s="54"/>
      <c r="S4" s="54"/>
      <c r="T4" s="54"/>
    </row>
    <row r="5" spans="2:20" x14ac:dyDescent="0.25">
      <c r="B5" s="184" t="s">
        <v>246</v>
      </c>
      <c r="C5" s="185" t="s">
        <v>247</v>
      </c>
      <c r="D5" s="412" t="s">
        <v>248</v>
      </c>
      <c r="E5" s="412"/>
      <c r="F5" s="412"/>
      <c r="G5" s="412" t="s">
        <v>249</v>
      </c>
      <c r="H5" s="412"/>
      <c r="I5" s="412" t="s">
        <v>250</v>
      </c>
      <c r="J5" s="412"/>
      <c r="K5" s="412"/>
      <c r="L5" s="412"/>
      <c r="M5" s="412"/>
      <c r="N5" s="412"/>
      <c r="O5" s="412"/>
      <c r="P5" s="412" t="s">
        <v>57</v>
      </c>
      <c r="Q5" s="412"/>
      <c r="R5" s="412"/>
      <c r="S5" s="412"/>
      <c r="T5" s="186" t="s">
        <v>251</v>
      </c>
    </row>
    <row r="6" spans="2:20" x14ac:dyDescent="0.25">
      <c r="B6" s="187" t="s">
        <v>252</v>
      </c>
      <c r="C6" s="190" t="s">
        <v>190</v>
      </c>
      <c r="D6" s="190" t="s">
        <v>46</v>
      </c>
      <c r="E6" s="190" t="s">
        <v>47</v>
      </c>
      <c r="F6" s="190" t="s">
        <v>48</v>
      </c>
      <c r="G6" s="190" t="s">
        <v>253</v>
      </c>
      <c r="H6" s="190" t="s">
        <v>254</v>
      </c>
      <c r="I6" s="195" t="s">
        <v>255</v>
      </c>
      <c r="J6" s="195" t="s">
        <v>256</v>
      </c>
      <c r="K6" s="195" t="s">
        <v>257</v>
      </c>
      <c r="L6" s="195" t="s">
        <v>258</v>
      </c>
      <c r="M6" s="195" t="s">
        <v>259</v>
      </c>
      <c r="N6" s="195" t="s">
        <v>260</v>
      </c>
      <c r="O6" s="195" t="s">
        <v>261</v>
      </c>
      <c r="P6" s="195" t="s">
        <v>262</v>
      </c>
      <c r="Q6" s="190" t="s">
        <v>263</v>
      </c>
      <c r="R6" s="190" t="s">
        <v>264</v>
      </c>
      <c r="S6" s="190" t="s">
        <v>265</v>
      </c>
      <c r="T6" s="193" t="s">
        <v>266</v>
      </c>
    </row>
    <row r="7" spans="2:20" ht="123" customHeight="1" x14ac:dyDescent="0.25">
      <c r="B7" s="188" t="s">
        <v>267</v>
      </c>
      <c r="C7" s="191" t="s">
        <v>268</v>
      </c>
      <c r="D7" s="191" t="s">
        <v>269</v>
      </c>
      <c r="E7" s="191" t="s">
        <v>270</v>
      </c>
      <c r="F7" s="191" t="s">
        <v>271</v>
      </c>
      <c r="G7" s="191" t="s">
        <v>270</v>
      </c>
      <c r="H7" s="191" t="s">
        <v>272</v>
      </c>
      <c r="I7" s="196" t="s">
        <v>273</v>
      </c>
      <c r="J7" s="196" t="s">
        <v>274</v>
      </c>
      <c r="K7" s="196" t="s">
        <v>275</v>
      </c>
      <c r="L7" s="196" t="s">
        <v>276</v>
      </c>
      <c r="M7" s="196" t="s">
        <v>277</v>
      </c>
      <c r="N7" s="196" t="s">
        <v>278</v>
      </c>
      <c r="O7" s="196" t="s">
        <v>279</v>
      </c>
      <c r="P7" s="196" t="s">
        <v>280</v>
      </c>
      <c r="Q7" s="191" t="s">
        <v>270</v>
      </c>
      <c r="R7" s="191" t="s">
        <v>281</v>
      </c>
      <c r="S7" s="191" t="s">
        <v>282</v>
      </c>
      <c r="T7" s="194" t="s">
        <v>283</v>
      </c>
    </row>
    <row r="8" spans="2:20" ht="97.5" customHeight="1" thickBot="1" x14ac:dyDescent="0.3">
      <c r="B8" s="189" t="s">
        <v>284</v>
      </c>
      <c r="C8" s="214" t="s">
        <v>285</v>
      </c>
      <c r="D8" s="413" t="s">
        <v>286</v>
      </c>
      <c r="E8" s="413"/>
      <c r="F8" s="413"/>
      <c r="G8" s="214" t="s">
        <v>287</v>
      </c>
      <c r="H8" s="214" t="s">
        <v>288</v>
      </c>
      <c r="I8" s="414" t="s">
        <v>289</v>
      </c>
      <c r="J8" s="414"/>
      <c r="K8" s="414"/>
      <c r="L8" s="414"/>
      <c r="M8" s="414"/>
      <c r="N8" s="414"/>
      <c r="O8" s="414"/>
      <c r="P8" s="414"/>
      <c r="Q8" s="214" t="s">
        <v>290</v>
      </c>
      <c r="R8" s="413" t="s">
        <v>291</v>
      </c>
      <c r="S8" s="413"/>
      <c r="T8" s="192" t="s">
        <v>290</v>
      </c>
    </row>
  </sheetData>
  <mergeCells count="7">
    <mergeCell ref="P5:S5"/>
    <mergeCell ref="I5:O5"/>
    <mergeCell ref="G5:H5"/>
    <mergeCell ref="D5:F5"/>
    <mergeCell ref="D8:F8"/>
    <mergeCell ref="R8:S8"/>
    <mergeCell ref="I8:P8"/>
  </mergeCells>
  <phoneticPr fontId="31" type="noConversion"/>
  <pageMargins left="0.7" right="0.7" top="0.75" bottom="0.75" header="0.3" footer="0.3"/>
  <pageSetup orientation="portrait" horizontalDpi="360" verticalDpi="360"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0AF3A-50CB-4AC9-A51B-0005A0305990}">
  <dimension ref="A1:V103"/>
  <sheetViews>
    <sheetView topLeftCell="A17" zoomScale="70" zoomScaleNormal="70" workbookViewId="0">
      <selection activeCell="A23" sqref="A23:I23"/>
    </sheetView>
  </sheetViews>
  <sheetFormatPr defaultRowHeight="15" x14ac:dyDescent="0.25"/>
  <cols>
    <col min="1" max="1" width="9" style="54"/>
    <col min="2" max="2" width="18.7109375" style="54" customWidth="1"/>
    <col min="3" max="3" width="9" style="54"/>
    <col min="4" max="4" width="20.42578125" style="54" customWidth="1"/>
    <col min="5" max="5" width="14.28515625" style="54" customWidth="1"/>
    <col min="6" max="6" width="11.28515625" style="54" customWidth="1"/>
    <col min="7" max="7" width="9" style="54"/>
    <col min="9" max="9" width="20.42578125" customWidth="1"/>
    <col min="10" max="10" width="18.42578125" style="56" customWidth="1"/>
    <col min="11" max="11" width="18.7109375" customWidth="1"/>
    <col min="12" max="12" width="14.7109375" customWidth="1"/>
    <col min="13" max="13" width="11" bestFit="1" customWidth="1"/>
    <col min="14" max="14" width="11.5703125" style="54" bestFit="1" customWidth="1"/>
    <col min="15" max="15" width="14.7109375" customWidth="1"/>
    <col min="16" max="16" width="8" customWidth="1"/>
    <col min="17" max="17" width="25" customWidth="1"/>
    <col min="18" max="18" width="17.5703125" style="56" customWidth="1"/>
    <col min="19" max="19" width="17" customWidth="1"/>
    <col min="20" max="20" width="12.28515625" customWidth="1"/>
    <col min="21" max="21" width="17" customWidth="1"/>
    <col min="22" max="22" width="16.5703125" customWidth="1"/>
  </cols>
  <sheetData>
    <row r="1" spans="2:21" ht="15.75" thickBot="1" x14ac:dyDescent="0.3">
      <c r="H1" s="54"/>
      <c r="I1" s="54"/>
      <c r="K1" s="54"/>
      <c r="L1" s="54"/>
      <c r="M1" s="54"/>
      <c r="O1" s="54"/>
      <c r="P1" s="54"/>
      <c r="Q1" s="54"/>
      <c r="S1" s="54"/>
      <c r="T1" s="54"/>
      <c r="U1" s="54"/>
    </row>
    <row r="2" spans="2:21" ht="30.75" thickBot="1" x14ac:dyDescent="0.3">
      <c r="B2" s="278" t="s">
        <v>292</v>
      </c>
      <c r="C2" s="279">
        <f>'Scenario 1 - Calc Sheet'!B73</f>
        <v>0</v>
      </c>
      <c r="H2" s="54"/>
      <c r="I2" s="54"/>
      <c r="K2" s="54"/>
      <c r="L2" s="54"/>
      <c r="M2" s="54"/>
      <c r="O2" s="54"/>
      <c r="P2" s="54"/>
      <c r="Q2" s="54"/>
      <c r="S2" s="54"/>
      <c r="T2" s="54"/>
      <c r="U2" s="54"/>
    </row>
    <row r="3" spans="2:21" ht="15.75" thickBot="1" x14ac:dyDescent="0.3">
      <c r="C3" s="56"/>
      <c r="H3" s="54"/>
      <c r="I3" s="54"/>
      <c r="K3" s="54"/>
      <c r="L3" s="54"/>
      <c r="M3" s="54"/>
      <c r="O3" s="54"/>
      <c r="P3" s="54"/>
      <c r="Q3" s="54"/>
      <c r="S3" s="54"/>
      <c r="T3" s="54"/>
      <c r="U3" s="54"/>
    </row>
    <row r="4" spans="2:21" ht="33.75" customHeight="1" x14ac:dyDescent="0.25">
      <c r="B4" s="269" t="s">
        <v>252</v>
      </c>
      <c r="C4" s="270" t="s">
        <v>293</v>
      </c>
      <c r="D4" s="270" t="s">
        <v>294</v>
      </c>
      <c r="E4" s="271" t="s">
        <v>173</v>
      </c>
      <c r="F4" s="271" t="s">
        <v>295</v>
      </c>
      <c r="G4" s="271" t="s">
        <v>296</v>
      </c>
      <c r="H4" s="272" t="s">
        <v>297</v>
      </c>
      <c r="I4" s="54"/>
      <c r="K4" s="54"/>
      <c r="L4" s="54"/>
      <c r="M4" s="54"/>
      <c r="O4" s="54"/>
      <c r="P4" s="54"/>
      <c r="Q4" s="54"/>
      <c r="S4" s="54"/>
      <c r="T4" s="54"/>
      <c r="U4" s="54"/>
    </row>
    <row r="5" spans="2:21" s="54" customFormat="1" x14ac:dyDescent="0.25">
      <c r="B5" s="273" t="s">
        <v>298</v>
      </c>
      <c r="C5" s="91" t="e">
        <f>'Calculation Factors m3 trans'!L3*'Scenario 1 - Calc Sheet'!C77*'Scenario 1 - Calc Sheet'!$B$25</f>
        <v>#VALUE!</v>
      </c>
      <c r="D5" s="103" t="e">
        <f>'Calculation Factors m3 trans'!L3*'Scenario 1 - Calc Sheet'!C78*'Scenario 1 - Calc Sheet'!$B$25</f>
        <v>#VALUE!</v>
      </c>
      <c r="E5" s="103" t="e">
        <f>'Calculation Factors m3 trans'!L3*'Scenario 1 - Calc Sheet'!C79*'Scenario 1 - Calc Sheet'!$B$25</f>
        <v>#VALUE!</v>
      </c>
      <c r="F5" s="103" t="e">
        <f>'Calculation Factors m3 trans'!L3*'Scenario 1 - Calc Sheet'!C80*'Scenario 1 - Calc Sheet'!$B$25</f>
        <v>#VALUE!</v>
      </c>
      <c r="G5" s="103" t="e">
        <f>'Calculation Factors m3 trans'!L3*'Scenario 1 - Calc Sheet'!C81*'Scenario 1 - Calc Sheet'!$B$25</f>
        <v>#VALUE!</v>
      </c>
      <c r="H5" s="274" t="e">
        <f>SUM(C5:G5)</f>
        <v>#VALUE!</v>
      </c>
      <c r="R5" s="56"/>
    </row>
    <row r="6" spans="2:21" s="54" customFormat="1" x14ac:dyDescent="0.25">
      <c r="B6" s="273" t="s">
        <v>299</v>
      </c>
      <c r="C6" s="91">
        <f>IF('Scenario 1 - Calc Sheet'!B70&lt;&gt;"custom",0,IF(C2="EPA Warm",K20,IF(C2="Tally",K80,0)))</f>
        <v>0</v>
      </c>
      <c r="D6" s="103">
        <f>IF('Scenario 1 - Calc Sheet'!B70&lt;&gt;"custom",0,IF(C2="EPA Warm",K33,IF(C2="Tally",0,0)))</f>
        <v>0</v>
      </c>
      <c r="E6" s="103">
        <f>IF('Scenario 1 - Calc Sheet'!B70&lt;&gt;"custom",0,IF(C2="EPA Warm",K47,IF(C2="Tally",0,0)))</f>
        <v>0</v>
      </c>
      <c r="F6" s="103">
        <f>IF('Scenario 1 - Calc Sheet'!B70&lt;&gt;"custom",0,IF(C2="EPA Warm",K60,IF(C2="Tally",K92,0)))</f>
        <v>0</v>
      </c>
      <c r="G6" s="103">
        <f>IF('Scenario 1 - Calc Sheet'!B70&lt;&gt;"custom",0,IF(C2="EPA Warm",K69,IF(C2="Tally",K102,0)))</f>
        <v>0</v>
      </c>
      <c r="H6" s="274">
        <f>SUM(C6:G6)</f>
        <v>0</v>
      </c>
      <c r="R6" s="56"/>
    </row>
    <row r="7" spans="2:21" s="54" customFormat="1" x14ac:dyDescent="0.25">
      <c r="B7" s="273" t="s">
        <v>300</v>
      </c>
      <c r="C7" s="91">
        <f>IF('Scenario 1 - Calc Sheet'!B70&lt;&gt;"custom",0,IF(C2="EPA Warm",L20,IF(C2="Tally",L80,0)))</f>
        <v>0</v>
      </c>
      <c r="D7" s="103">
        <f>IF('Scenario 1 - Calc Sheet'!B70&lt;&gt;"custom",0,IF(C2="EPA Warm",L33,IF(C2="Tally",0,0)))</f>
        <v>0</v>
      </c>
      <c r="E7" s="103">
        <f>IF('Scenario 1 - Calc Sheet'!B70&lt;&gt;"custom",0,IF(C2="EPA Warm",L47,IF(C2="Tally",0,0)))</f>
        <v>0</v>
      </c>
      <c r="F7" s="103">
        <f>IF('Scenario 1 - Calc Sheet'!B70&lt;&gt;"custom",0,IF(C2="EPA Warm",L60,IF(C2="Tally",L92,0)))</f>
        <v>0</v>
      </c>
      <c r="G7" s="103">
        <f>IF('Scenario 1 - Calc Sheet'!B70&lt;&gt;"custom",0,IF(C2="EPA Warm",L69,IF(C2="Tally",L102,0)))</f>
        <v>0</v>
      </c>
      <c r="H7" s="274">
        <f>SUM(C7:G7)</f>
        <v>0</v>
      </c>
    </row>
    <row r="8" spans="2:21" s="54" customFormat="1" x14ac:dyDescent="0.25">
      <c r="B8" s="273" t="s">
        <v>58</v>
      </c>
      <c r="C8" s="91" t="b">
        <f>IF(AND('Scenario 1 - Calc Sheet'!B88="yes",'Scenario 1 - Calc Sheet'!B70="custom"),IF(C2="EPA Warm",M20,IF(C2="Tally",M80,0)))</f>
        <v>0</v>
      </c>
      <c r="D8" s="103" t="b">
        <f>IF(AND('Scenario 1 - Calc Sheet'!B88="yes",'Scenario 1 - Calc Sheet'!B70="custom"),IF(C2="EPA Warm",M33,IF(C2="Tally",0,0)))</f>
        <v>0</v>
      </c>
      <c r="E8" s="103" t="b">
        <f>IF(AND('Scenario 1 - Calc Sheet'!B88="yes",'Scenario 1 - Calc Sheet'!B70="custom"),IF(C2="EPA Warm",M47,IF(C2="Tally",0,0)))</f>
        <v>0</v>
      </c>
      <c r="F8" s="103" t="b">
        <f>IF(AND('Scenario 1 - Calc Sheet'!B88="yes",'Scenario 1 - Calc Sheet'!B70="custom"),IF(C2="EPA Warm",M60,IF(C2="Tally",M92,0)))</f>
        <v>0</v>
      </c>
      <c r="G8" s="103" t="b">
        <f>IF(AND('Scenario 1 - Calc Sheet'!B88="yes",'Scenario 1 - Calc Sheet'!B70="custom"),IF(C2="EPA Warm",M69,IF(C2="Tally",M102,0)))</f>
        <v>0</v>
      </c>
      <c r="H8" s="274">
        <f>SUM(C8:G8)</f>
        <v>0</v>
      </c>
      <c r="R8" s="56"/>
    </row>
    <row r="9" spans="2:21" s="54" customFormat="1" ht="15.75" thickBot="1" x14ac:dyDescent="0.3">
      <c r="B9" s="275" t="s">
        <v>133</v>
      </c>
      <c r="C9" s="276">
        <f>SUM(C6:C8)</f>
        <v>0</v>
      </c>
      <c r="D9" s="276">
        <f t="shared" ref="D9:F9" si="0">SUM(D6:D8)</f>
        <v>0</v>
      </c>
      <c r="E9" s="276">
        <f t="shared" si="0"/>
        <v>0</v>
      </c>
      <c r="F9" s="276">
        <f t="shared" si="0"/>
        <v>0</v>
      </c>
      <c r="G9" s="276">
        <f>SUM(G6:G8)</f>
        <v>0</v>
      </c>
      <c r="H9" s="277">
        <f>SUM(H6:H8)</f>
        <v>0</v>
      </c>
      <c r="R9" s="56"/>
    </row>
    <row r="10" spans="2:21" x14ac:dyDescent="0.25">
      <c r="H10" s="54"/>
      <c r="I10" s="54"/>
      <c r="K10" s="54"/>
      <c r="L10" s="54"/>
      <c r="M10" s="54"/>
      <c r="O10" s="54" t="s">
        <v>108</v>
      </c>
      <c r="P10" s="54"/>
      <c r="Q10" s="54"/>
      <c r="S10" s="54"/>
      <c r="T10" s="54"/>
      <c r="U10" s="54"/>
    </row>
    <row r="11" spans="2:21" ht="21.75" customHeight="1" x14ac:dyDescent="0.25">
      <c r="H11" s="54"/>
      <c r="I11" s="54"/>
      <c r="J11" s="422" t="s">
        <v>301</v>
      </c>
      <c r="K11" s="422"/>
      <c r="L11" s="422"/>
      <c r="M11" s="422"/>
      <c r="N11" s="422"/>
      <c r="O11" s="422"/>
      <c r="P11" s="54"/>
      <c r="Q11" s="422" t="s">
        <v>302</v>
      </c>
      <c r="R11" s="422"/>
      <c r="S11" s="422"/>
      <c r="T11" s="422"/>
      <c r="U11" s="422"/>
    </row>
    <row r="12" spans="2:21" ht="15.75" thickBot="1" x14ac:dyDescent="0.3">
      <c r="H12" s="54"/>
      <c r="I12" s="54"/>
      <c r="K12" s="54"/>
      <c r="L12" s="54"/>
      <c r="M12" s="54"/>
      <c r="O12" s="54"/>
      <c r="P12" s="54"/>
      <c r="Q12" s="56"/>
      <c r="R12" s="54"/>
      <c r="S12" s="54"/>
      <c r="T12" s="54"/>
      <c r="U12" s="54"/>
    </row>
    <row r="13" spans="2:21" ht="14.25" customHeight="1" x14ac:dyDescent="0.25">
      <c r="H13" s="54"/>
      <c r="I13" s="54"/>
      <c r="J13" s="437" t="s">
        <v>1</v>
      </c>
      <c r="K13" s="419" t="s">
        <v>303</v>
      </c>
      <c r="L13" s="420"/>
      <c r="M13" s="420"/>
      <c r="N13" s="421"/>
      <c r="O13" s="439" t="s">
        <v>304</v>
      </c>
      <c r="P13" s="54"/>
      <c r="Q13" s="415" t="s">
        <v>1</v>
      </c>
      <c r="R13" s="419" t="s">
        <v>305</v>
      </c>
      <c r="S13" s="420"/>
      <c r="T13" s="421"/>
      <c r="U13" s="417" t="s">
        <v>306</v>
      </c>
    </row>
    <row r="14" spans="2:21" s="56" customFormat="1" ht="45" x14ac:dyDescent="0.25">
      <c r="J14" s="438"/>
      <c r="K14" s="156" t="s">
        <v>307</v>
      </c>
      <c r="L14" s="156" t="s">
        <v>308</v>
      </c>
      <c r="M14" s="156" t="s">
        <v>58</v>
      </c>
      <c r="N14" s="156" t="s">
        <v>133</v>
      </c>
      <c r="O14" s="440"/>
      <c r="Q14" s="416"/>
      <c r="R14" s="156" t="s">
        <v>307</v>
      </c>
      <c r="S14" s="156" t="s">
        <v>308</v>
      </c>
      <c r="T14" s="156" t="s">
        <v>58</v>
      </c>
      <c r="U14" s="418"/>
    </row>
    <row r="15" spans="2:21" ht="29.25" customHeight="1" x14ac:dyDescent="0.25">
      <c r="H15" s="54"/>
      <c r="I15" s="54"/>
      <c r="J15" s="146" t="s">
        <v>309</v>
      </c>
      <c r="K15" s="103"/>
      <c r="L15" s="103" t="e">
        <f>S15*$C$5</f>
        <v>#VALUE!</v>
      </c>
      <c r="M15" s="103"/>
      <c r="N15" s="103"/>
      <c r="O15" s="20" t="s">
        <v>139</v>
      </c>
      <c r="P15" s="54"/>
      <c r="Q15" s="146" t="s">
        <v>309</v>
      </c>
      <c r="R15" s="8"/>
      <c r="S15" s="8">
        <v>0.20599999999999999</v>
      </c>
      <c r="T15" s="8"/>
      <c r="U15" s="20" t="s">
        <v>310</v>
      </c>
    </row>
    <row r="16" spans="2:21" ht="36.75" customHeight="1" x14ac:dyDescent="0.25">
      <c r="H16" s="54"/>
      <c r="I16" s="54"/>
      <c r="J16" s="146" t="s">
        <v>311</v>
      </c>
      <c r="K16" s="103" t="e">
        <f>R16*$C$5</f>
        <v>#VALUE!</v>
      </c>
      <c r="L16" s="103"/>
      <c r="M16" s="103"/>
      <c r="N16" s="103"/>
      <c r="O16" s="20" t="s">
        <v>139</v>
      </c>
      <c r="P16" s="54"/>
      <c r="Q16" s="146" t="s">
        <v>311</v>
      </c>
      <c r="R16" s="8">
        <v>0.15</v>
      </c>
      <c r="S16" s="8"/>
      <c r="T16" s="8"/>
      <c r="U16" s="20" t="s">
        <v>310</v>
      </c>
    </row>
    <row r="17" spans="10:22" ht="45" customHeight="1" x14ac:dyDescent="0.25">
      <c r="J17" s="146" t="s">
        <v>312</v>
      </c>
      <c r="K17" s="103"/>
      <c r="L17" s="103" t="e">
        <f>S17*$C$5</f>
        <v>#VALUE!</v>
      </c>
      <c r="M17" s="103"/>
      <c r="N17" s="103"/>
      <c r="O17" s="20"/>
      <c r="P17" s="54"/>
      <c r="Q17" s="146" t="s">
        <v>312</v>
      </c>
      <c r="R17" s="154"/>
      <c r="S17" s="154">
        <v>2.1999999999999999E-2</v>
      </c>
      <c r="T17" s="8"/>
      <c r="U17" s="20"/>
      <c r="V17" s="54"/>
    </row>
    <row r="18" spans="10:22" ht="18" customHeight="1" x14ac:dyDescent="0.25">
      <c r="J18" s="146" t="s">
        <v>313</v>
      </c>
      <c r="K18" s="103" t="e">
        <f>R18*$C$5</f>
        <v>#VALUE!</v>
      </c>
      <c r="L18" s="103"/>
      <c r="M18" s="103"/>
      <c r="N18" s="103"/>
      <c r="O18" s="20" t="s">
        <v>139</v>
      </c>
      <c r="P18" s="54"/>
      <c r="Q18" s="146" t="s">
        <v>313</v>
      </c>
      <c r="R18" s="155">
        <v>2.204634140964307E-2</v>
      </c>
      <c r="S18" s="154"/>
      <c r="T18" s="8"/>
      <c r="U18" s="20" t="s">
        <v>310</v>
      </c>
      <c r="V18" s="54"/>
    </row>
    <row r="19" spans="10:22" ht="15.75" thickBot="1" x14ac:dyDescent="0.3">
      <c r="J19" s="242" t="s">
        <v>314</v>
      </c>
      <c r="K19" s="243" t="e">
        <f>R19*$C$5</f>
        <v>#VALUE!</v>
      </c>
      <c r="L19" s="243"/>
      <c r="M19" s="243"/>
      <c r="N19" s="243"/>
      <c r="O19" s="244" t="s">
        <v>139</v>
      </c>
      <c r="P19" s="54"/>
      <c r="Q19" s="121" t="s">
        <v>314</v>
      </c>
      <c r="R19" s="157">
        <v>4.4092682819286142E-3</v>
      </c>
      <c r="S19" s="158"/>
      <c r="T19" s="17"/>
      <c r="U19" s="122" t="s">
        <v>310</v>
      </c>
      <c r="V19" s="54"/>
    </row>
    <row r="20" spans="10:22" x14ac:dyDescent="0.25">
      <c r="J20" s="245" t="s">
        <v>297</v>
      </c>
      <c r="K20" s="246" t="e">
        <f>SUM(K15:K19)</f>
        <v>#VALUE!</v>
      </c>
      <c r="L20" s="246" t="e">
        <f>SUM(L15:L19)</f>
        <v>#VALUE!</v>
      </c>
      <c r="M20" s="246">
        <f>SUM(M15:M19)</f>
        <v>0</v>
      </c>
      <c r="N20" s="246"/>
      <c r="O20" s="257"/>
      <c r="P20" s="54"/>
      <c r="Q20" s="56"/>
      <c r="R20" s="54"/>
      <c r="S20" s="54"/>
      <c r="T20" s="54"/>
      <c r="U20" s="54"/>
      <c r="V20" s="54"/>
    </row>
    <row r="21" spans="10:22" s="54" customFormat="1" ht="15.75" thickBot="1" x14ac:dyDescent="0.3">
      <c r="J21" s="248" t="s">
        <v>315</v>
      </c>
      <c r="K21" s="249"/>
      <c r="L21" s="249"/>
      <c r="M21" s="249"/>
      <c r="N21" s="249" t="e">
        <f>SUM(K20:M20)</f>
        <v>#VALUE!</v>
      </c>
      <c r="O21" s="256"/>
      <c r="Q21" s="56"/>
    </row>
    <row r="22" spans="10:22" s="54" customFormat="1" x14ac:dyDescent="0.25">
      <c r="J22" s="56"/>
      <c r="Q22" s="56"/>
    </row>
    <row r="23" spans="10:22" ht="25.5" customHeight="1" x14ac:dyDescent="0.25">
      <c r="J23" s="422" t="s">
        <v>316</v>
      </c>
      <c r="K23" s="422"/>
      <c r="L23" s="422"/>
      <c r="M23" s="422"/>
      <c r="N23" s="422"/>
      <c r="O23" s="422"/>
      <c r="P23" s="54"/>
      <c r="Q23" s="422" t="s">
        <v>317</v>
      </c>
      <c r="R23" s="422"/>
      <c r="S23" s="422"/>
      <c r="T23" s="422"/>
      <c r="U23" s="422"/>
      <c r="V23" s="56"/>
    </row>
    <row r="24" spans="10:22" ht="15.75" thickBot="1" x14ac:dyDescent="0.3">
      <c r="K24" s="54"/>
      <c r="L24" s="54"/>
      <c r="M24" s="54"/>
      <c r="O24" s="54"/>
      <c r="P24" s="54"/>
      <c r="Q24" s="56"/>
      <c r="R24" s="54"/>
      <c r="S24" s="54"/>
      <c r="T24" s="54"/>
      <c r="U24" s="54"/>
      <c r="V24" s="54"/>
    </row>
    <row r="25" spans="10:22" x14ac:dyDescent="0.25">
      <c r="J25" s="437" t="s">
        <v>1</v>
      </c>
      <c r="K25" s="419" t="s">
        <v>318</v>
      </c>
      <c r="L25" s="420"/>
      <c r="M25" s="420"/>
      <c r="N25" s="421"/>
      <c r="O25" s="439" t="s">
        <v>304</v>
      </c>
      <c r="P25" s="54"/>
      <c r="Q25" s="415" t="s">
        <v>1</v>
      </c>
      <c r="R25" s="419" t="s">
        <v>319</v>
      </c>
      <c r="S25" s="420"/>
      <c r="T25" s="421"/>
      <c r="U25" s="417" t="s">
        <v>304</v>
      </c>
      <c r="V25" s="54"/>
    </row>
    <row r="26" spans="10:22" s="56" customFormat="1" ht="45" x14ac:dyDescent="0.25">
      <c r="J26" s="438"/>
      <c r="K26" s="156" t="s">
        <v>307</v>
      </c>
      <c r="L26" s="156" t="s">
        <v>308</v>
      </c>
      <c r="M26" s="156" t="s">
        <v>58</v>
      </c>
      <c r="N26" s="156" t="s">
        <v>133</v>
      </c>
      <c r="O26" s="440"/>
      <c r="Q26" s="416"/>
      <c r="R26" s="156" t="s">
        <v>307</v>
      </c>
      <c r="S26" s="156" t="s">
        <v>308</v>
      </c>
      <c r="T26" s="156" t="s">
        <v>58</v>
      </c>
      <c r="U26" s="418"/>
    </row>
    <row r="27" spans="10:22" ht="34.5" customHeight="1" x14ac:dyDescent="0.25">
      <c r="J27" s="147" t="s">
        <v>309</v>
      </c>
      <c r="K27" s="149"/>
      <c r="L27" s="149" t="e">
        <f>S27*$D$5</f>
        <v>#VALUE!</v>
      </c>
      <c r="M27" s="149"/>
      <c r="N27" s="149"/>
      <c r="O27" s="148" t="s">
        <v>139</v>
      </c>
      <c r="P27" s="54"/>
      <c r="Q27" s="146" t="s">
        <v>309</v>
      </c>
      <c r="R27" s="159"/>
      <c r="S27" s="159">
        <v>0.20599999999999999</v>
      </c>
      <c r="T27" s="159"/>
      <c r="U27" s="20" t="s">
        <v>310</v>
      </c>
      <c r="V27" s="54"/>
    </row>
    <row r="28" spans="10:22" ht="35.25" customHeight="1" x14ac:dyDescent="0.25">
      <c r="J28" s="146" t="s">
        <v>311</v>
      </c>
      <c r="K28" s="103" t="e">
        <f>R28*$D$5</f>
        <v>#VALUE!</v>
      </c>
      <c r="L28" s="54"/>
      <c r="M28" s="103"/>
      <c r="N28" s="103"/>
      <c r="O28" s="20" t="s">
        <v>139</v>
      </c>
      <c r="P28" s="54"/>
      <c r="Q28" s="146" t="s">
        <v>311</v>
      </c>
      <c r="R28" s="159">
        <v>0.05</v>
      </c>
      <c r="S28" s="159"/>
      <c r="T28" s="159"/>
      <c r="U28" s="20" t="s">
        <v>310</v>
      </c>
      <c r="V28" s="54"/>
    </row>
    <row r="29" spans="10:22" ht="45" customHeight="1" x14ac:dyDescent="0.25">
      <c r="J29" s="146" t="s">
        <v>312</v>
      </c>
      <c r="K29" s="103"/>
      <c r="L29" s="103" t="e">
        <f>S29*$D$5</f>
        <v>#VALUE!</v>
      </c>
      <c r="M29" s="103"/>
      <c r="N29" s="103"/>
      <c r="O29" s="236" t="s">
        <v>139</v>
      </c>
      <c r="P29" s="54"/>
      <c r="Q29" s="146" t="s">
        <v>312</v>
      </c>
      <c r="R29" s="159"/>
      <c r="S29" s="159">
        <v>1.1023170704821535E-2</v>
      </c>
      <c r="T29" s="159"/>
      <c r="U29" s="20"/>
      <c r="V29" s="54"/>
    </row>
    <row r="30" spans="10:22" ht="21.75" customHeight="1" x14ac:dyDescent="0.25">
      <c r="J30" s="146" t="s">
        <v>313</v>
      </c>
      <c r="K30" s="103" t="e">
        <f>R30*$D$5</f>
        <v>#VALUE!</v>
      </c>
      <c r="L30" s="103"/>
      <c r="M30" s="103"/>
      <c r="N30" s="103"/>
      <c r="O30" s="20" t="s">
        <v>139</v>
      </c>
      <c r="P30" s="54"/>
      <c r="Q30" s="146" t="s">
        <v>313</v>
      </c>
      <c r="R30" s="159">
        <v>2.204634140964307E-2</v>
      </c>
      <c r="S30" s="159"/>
      <c r="T30" s="159"/>
      <c r="U30" s="20" t="s">
        <v>310</v>
      </c>
      <c r="V30" s="54"/>
    </row>
    <row r="31" spans="10:22" x14ac:dyDescent="0.25">
      <c r="J31" s="146" t="s">
        <v>314</v>
      </c>
      <c r="K31" s="103" t="e">
        <f>R31*$D$5</f>
        <v>#VALUE!</v>
      </c>
      <c r="L31" s="103"/>
      <c r="M31" s="103"/>
      <c r="N31" s="103"/>
      <c r="O31" s="20" t="s">
        <v>139</v>
      </c>
      <c r="P31" s="54"/>
      <c r="Q31" s="146" t="s">
        <v>314</v>
      </c>
      <c r="R31" s="159">
        <v>4.4092682819286142E-3</v>
      </c>
      <c r="S31" s="159"/>
      <c r="T31" s="159"/>
      <c r="U31" s="20" t="s">
        <v>310</v>
      </c>
      <c r="V31" s="54"/>
    </row>
    <row r="32" spans="10:22" ht="33.75" customHeight="1" thickBot="1" x14ac:dyDescent="0.3">
      <c r="J32" s="242" t="s">
        <v>320</v>
      </c>
      <c r="K32" s="243"/>
      <c r="L32" s="243"/>
      <c r="M32" s="243" t="e">
        <f>T32*$D$5</f>
        <v>#VALUE!</v>
      </c>
      <c r="N32" s="243"/>
      <c r="O32" s="244" t="s">
        <v>139</v>
      </c>
      <c r="P32" s="54"/>
      <c r="Q32" s="121" t="s">
        <v>321</v>
      </c>
      <c r="R32" s="160"/>
      <c r="S32" s="160"/>
      <c r="T32" s="160">
        <v>-1.1023170704821535E-2</v>
      </c>
      <c r="U32" s="122" t="s">
        <v>310</v>
      </c>
      <c r="V32" s="54"/>
    </row>
    <row r="33" spans="10:21" x14ac:dyDescent="0.25">
      <c r="J33" s="245" t="s">
        <v>297</v>
      </c>
      <c r="K33" s="246" t="e">
        <f>SUM(K27:K32)</f>
        <v>#VALUE!</v>
      </c>
      <c r="L33" s="246" t="e">
        <f>SUM(L27:L32)</f>
        <v>#VALUE!</v>
      </c>
      <c r="M33" s="246" t="e">
        <f>SUM(M27:M32)</f>
        <v>#VALUE!</v>
      </c>
      <c r="N33" s="246"/>
      <c r="O33" s="247" t="s">
        <v>139</v>
      </c>
      <c r="P33" s="54"/>
      <c r="Q33" s="54"/>
      <c r="S33" s="54"/>
      <c r="T33" s="54"/>
      <c r="U33" s="54"/>
    </row>
    <row r="34" spans="10:21" s="54" customFormat="1" ht="15.75" thickBot="1" x14ac:dyDescent="0.3">
      <c r="J34" s="248" t="s">
        <v>133</v>
      </c>
      <c r="K34" s="249"/>
      <c r="L34" s="249"/>
      <c r="M34" s="249"/>
      <c r="N34" s="249" t="e">
        <f>SUM(K33:M33)</f>
        <v>#VALUE!</v>
      </c>
      <c r="O34" s="250" t="s">
        <v>139</v>
      </c>
      <c r="R34" s="56"/>
    </row>
    <row r="35" spans="10:21" s="54" customFormat="1" x14ac:dyDescent="0.25">
      <c r="J35" s="56"/>
      <c r="R35" s="56"/>
    </row>
    <row r="36" spans="10:21" ht="21" customHeight="1" x14ac:dyDescent="0.25">
      <c r="J36" s="356" t="s">
        <v>322</v>
      </c>
      <c r="K36" s="356"/>
      <c r="L36" s="356"/>
      <c r="M36" s="356"/>
      <c r="N36" s="356"/>
      <c r="O36" s="356"/>
      <c r="P36" s="54"/>
      <c r="Q36" s="356" t="s">
        <v>323</v>
      </c>
      <c r="R36" s="356"/>
      <c r="S36" s="356"/>
      <c r="T36" s="356"/>
      <c r="U36" s="356"/>
    </row>
    <row r="37" spans="10:21" ht="15.75" thickBot="1" x14ac:dyDescent="0.3">
      <c r="K37" s="54"/>
      <c r="L37" s="54"/>
      <c r="M37" s="54"/>
      <c r="O37" s="54"/>
      <c r="P37" s="54"/>
      <c r="Q37" s="54"/>
      <c r="S37" s="54"/>
      <c r="T37" s="54"/>
      <c r="U37" s="54"/>
    </row>
    <row r="38" spans="10:21" x14ac:dyDescent="0.25">
      <c r="J38" s="428" t="s">
        <v>1</v>
      </c>
      <c r="K38" s="419" t="s">
        <v>324</v>
      </c>
      <c r="L38" s="420"/>
      <c r="M38" s="421"/>
      <c r="N38" s="216"/>
      <c r="O38" s="430" t="s">
        <v>304</v>
      </c>
      <c r="P38" s="54"/>
      <c r="Q38" s="423" t="s">
        <v>1</v>
      </c>
      <c r="R38" s="425" t="s">
        <v>324</v>
      </c>
      <c r="S38" s="425"/>
      <c r="T38" s="425"/>
      <c r="U38" s="426" t="s">
        <v>304</v>
      </c>
    </row>
    <row r="39" spans="10:21" ht="45" x14ac:dyDescent="0.25">
      <c r="J39" s="429"/>
      <c r="K39" s="156" t="s">
        <v>307</v>
      </c>
      <c r="L39" s="156" t="s">
        <v>308</v>
      </c>
      <c r="M39" s="161" t="s">
        <v>58</v>
      </c>
      <c r="N39" s="161" t="s">
        <v>133</v>
      </c>
      <c r="O39" s="431"/>
      <c r="P39" s="54"/>
      <c r="Q39" s="424"/>
      <c r="R39" s="156" t="s">
        <v>307</v>
      </c>
      <c r="S39" s="156" t="s">
        <v>308</v>
      </c>
      <c r="T39" s="156" t="s">
        <v>58</v>
      </c>
      <c r="U39" s="427"/>
    </row>
    <row r="40" spans="10:21" x14ac:dyDescent="0.25">
      <c r="J40" s="235" t="s">
        <v>325</v>
      </c>
      <c r="K40" s="238"/>
      <c r="L40" s="238" t="e">
        <f>S40*$E$5</f>
        <v>#VALUE!</v>
      </c>
      <c r="M40" s="238"/>
      <c r="N40" s="238"/>
      <c r="O40" s="236" t="s">
        <v>139</v>
      </c>
      <c r="P40" s="54"/>
      <c r="Q40" s="163" t="s">
        <v>325</v>
      </c>
      <c r="R40" s="143"/>
      <c r="S40" s="143">
        <v>0.20599999999999999</v>
      </c>
      <c r="T40" s="143"/>
      <c r="U40" s="164" t="s">
        <v>310</v>
      </c>
    </row>
    <row r="41" spans="10:21" x14ac:dyDescent="0.25">
      <c r="J41" s="235" t="s">
        <v>326</v>
      </c>
      <c r="K41" s="238" t="e">
        <f>R41*$E$5</f>
        <v>#VALUE!</v>
      </c>
      <c r="L41" s="238"/>
      <c r="M41" s="238"/>
      <c r="N41" s="238"/>
      <c r="O41" s="236" t="s">
        <v>139</v>
      </c>
      <c r="P41" s="54"/>
      <c r="Q41" s="163" t="s">
        <v>326</v>
      </c>
      <c r="R41" s="168">
        <v>0.06</v>
      </c>
      <c r="S41" s="143"/>
      <c r="T41" s="143"/>
      <c r="U41" s="164" t="s">
        <v>310</v>
      </c>
    </row>
    <row r="42" spans="10:21" ht="60" x14ac:dyDescent="0.25">
      <c r="J42" s="237" t="s">
        <v>312</v>
      </c>
      <c r="K42" s="238"/>
      <c r="L42" s="238" t="e">
        <f>S42*$E$5</f>
        <v>#VALUE!</v>
      </c>
      <c r="M42" s="238"/>
      <c r="N42" s="238"/>
      <c r="O42" s="236" t="s">
        <v>139</v>
      </c>
      <c r="P42" s="54"/>
      <c r="Q42" s="169" t="s">
        <v>312</v>
      </c>
      <c r="R42" s="143"/>
      <c r="S42" s="168">
        <v>2.204634140964307E-2</v>
      </c>
      <c r="T42" s="143"/>
      <c r="U42" s="164"/>
    </row>
    <row r="43" spans="10:21" x14ac:dyDescent="0.25">
      <c r="J43" s="237" t="s">
        <v>313</v>
      </c>
      <c r="K43" s="238" t="e">
        <f>R43*$E$5</f>
        <v>#VALUE!</v>
      </c>
      <c r="L43" s="238"/>
      <c r="M43" s="238"/>
      <c r="N43" s="238"/>
      <c r="O43" s="236" t="s">
        <v>139</v>
      </c>
      <c r="P43" s="54"/>
      <c r="Q43" s="163" t="s">
        <v>313</v>
      </c>
      <c r="R43" s="168">
        <v>2.204634140964307E-2</v>
      </c>
      <c r="S43" s="143"/>
      <c r="T43" s="143"/>
      <c r="U43" s="164" t="s">
        <v>310</v>
      </c>
    </row>
    <row r="44" spans="10:21" x14ac:dyDescent="0.25">
      <c r="J44" s="237" t="s">
        <v>314</v>
      </c>
      <c r="K44" s="238" t="e">
        <f>R44*$E$5</f>
        <v>#VALUE!</v>
      </c>
      <c r="L44" s="238"/>
      <c r="M44" s="238"/>
      <c r="N44" s="238"/>
      <c r="O44" s="236" t="s">
        <v>139</v>
      </c>
      <c r="P44" s="54"/>
      <c r="Q44" s="163" t="s">
        <v>314</v>
      </c>
      <c r="R44" s="168">
        <v>4.4092682819286142E-3</v>
      </c>
      <c r="S44" s="143"/>
      <c r="T44" s="143"/>
      <c r="U44" s="164" t="s">
        <v>310</v>
      </c>
    </row>
    <row r="45" spans="10:21" ht="28.5" customHeight="1" x14ac:dyDescent="0.25">
      <c r="J45" s="237" t="s">
        <v>320</v>
      </c>
      <c r="K45" s="238"/>
      <c r="L45" s="238"/>
      <c r="M45" s="238"/>
      <c r="N45" s="238"/>
      <c r="O45" s="236" t="s">
        <v>139</v>
      </c>
      <c r="P45" s="54"/>
      <c r="Q45" s="163" t="s">
        <v>320</v>
      </c>
      <c r="R45" s="143"/>
      <c r="S45" s="143"/>
      <c r="T45" s="143"/>
      <c r="U45" s="164" t="s">
        <v>310</v>
      </c>
    </row>
    <row r="46" spans="10:21" ht="30.75" thickBot="1" x14ac:dyDescent="0.3">
      <c r="J46" s="267" t="s">
        <v>327</v>
      </c>
      <c r="K46" s="240"/>
      <c r="L46" s="240"/>
      <c r="M46" s="240"/>
      <c r="N46" s="240"/>
      <c r="O46" s="241" t="s">
        <v>139</v>
      </c>
      <c r="P46" s="54"/>
      <c r="Q46" s="165" t="s">
        <v>327</v>
      </c>
      <c r="R46" s="166"/>
      <c r="S46" s="166"/>
      <c r="T46" s="166"/>
      <c r="U46" s="167" t="s">
        <v>310</v>
      </c>
    </row>
    <row r="47" spans="10:21" x14ac:dyDescent="0.25">
      <c r="J47" s="251" t="s">
        <v>297</v>
      </c>
      <c r="K47" s="252" t="e">
        <f>SUM(K40:K46)</f>
        <v>#VALUE!</v>
      </c>
      <c r="L47" s="252" t="e">
        <f>SUM(L40:L46)</f>
        <v>#VALUE!</v>
      </c>
      <c r="M47" s="252">
        <f>SUM(M40:M46)</f>
        <v>0</v>
      </c>
      <c r="N47" s="252"/>
      <c r="O47" s="247" t="s">
        <v>139</v>
      </c>
      <c r="P47" s="54"/>
      <c r="Q47" s="54"/>
      <c r="S47" s="54"/>
      <c r="T47" s="54"/>
      <c r="U47" s="54"/>
    </row>
    <row r="48" spans="10:21" ht="15.75" thickBot="1" x14ac:dyDescent="0.3">
      <c r="J48" s="253" t="s">
        <v>133</v>
      </c>
      <c r="K48" s="254"/>
      <c r="L48" s="254"/>
      <c r="M48" s="255"/>
      <c r="N48" s="255" t="e">
        <f>SUM(K47:M47)</f>
        <v>#VALUE!</v>
      </c>
      <c r="O48" s="250" t="s">
        <v>139</v>
      </c>
      <c r="P48" s="54"/>
      <c r="Q48" s="54"/>
      <c r="S48" s="54"/>
      <c r="T48" s="54"/>
      <c r="U48" s="54"/>
    </row>
    <row r="49" spans="10:21" s="54" customFormat="1" x14ac:dyDescent="0.25">
      <c r="J49" s="56"/>
      <c r="R49" s="56"/>
    </row>
    <row r="50" spans="10:21" x14ac:dyDescent="0.25">
      <c r="J50" s="356" t="s">
        <v>328</v>
      </c>
      <c r="K50" s="356"/>
      <c r="L50" s="356"/>
      <c r="M50" s="356"/>
      <c r="N50" s="356"/>
      <c r="O50" s="356"/>
      <c r="P50" s="54"/>
      <c r="Q50" s="356" t="s">
        <v>329</v>
      </c>
      <c r="R50" s="356"/>
      <c r="S50" s="356"/>
      <c r="T50" s="356"/>
      <c r="U50" s="356"/>
    </row>
    <row r="51" spans="10:21" ht="15.75" thickBot="1" x14ac:dyDescent="0.3">
      <c r="K51" s="54"/>
      <c r="L51" s="54"/>
      <c r="M51" s="54"/>
      <c r="O51" s="54"/>
      <c r="P51" s="54"/>
      <c r="Q51" s="54"/>
      <c r="S51" s="54"/>
      <c r="T51" s="54"/>
      <c r="U51" s="54"/>
    </row>
    <row r="52" spans="10:21" x14ac:dyDescent="0.25">
      <c r="J52" s="423" t="s">
        <v>1</v>
      </c>
      <c r="K52" s="425" t="s">
        <v>295</v>
      </c>
      <c r="L52" s="425"/>
      <c r="M52" s="425"/>
      <c r="N52" s="216"/>
      <c r="O52" s="426" t="s">
        <v>304</v>
      </c>
      <c r="P52" s="54"/>
      <c r="Q52" s="423" t="s">
        <v>1</v>
      </c>
      <c r="R52" s="425" t="s">
        <v>295</v>
      </c>
      <c r="S52" s="425"/>
      <c r="T52" s="425"/>
      <c r="U52" s="426" t="s">
        <v>304</v>
      </c>
    </row>
    <row r="53" spans="10:21" ht="45" x14ac:dyDescent="0.25">
      <c r="J53" s="424"/>
      <c r="K53" s="156" t="s">
        <v>307</v>
      </c>
      <c r="L53" s="156" t="s">
        <v>308</v>
      </c>
      <c r="M53" s="161" t="s">
        <v>58</v>
      </c>
      <c r="N53" s="161" t="s">
        <v>133</v>
      </c>
      <c r="O53" s="427"/>
      <c r="P53" s="54"/>
      <c r="Q53" s="424"/>
      <c r="R53" s="156" t="s">
        <v>307</v>
      </c>
      <c r="S53" s="156" t="s">
        <v>308</v>
      </c>
      <c r="T53" s="156" t="s">
        <v>58</v>
      </c>
      <c r="U53" s="427"/>
    </row>
    <row r="54" spans="10:21" x14ac:dyDescent="0.25">
      <c r="J54" s="235" t="s">
        <v>330</v>
      </c>
      <c r="K54" s="238" t="e">
        <f>R54*$F$5</f>
        <v>#VALUE!</v>
      </c>
      <c r="L54" s="103"/>
      <c r="M54" s="103"/>
      <c r="N54" s="103"/>
      <c r="O54" s="20" t="s">
        <v>139</v>
      </c>
      <c r="P54" s="54"/>
      <c r="Q54" s="163" t="s">
        <v>330</v>
      </c>
      <c r="R54" s="168">
        <v>4.409268281928614E-2</v>
      </c>
      <c r="S54" s="168"/>
      <c r="T54" s="168"/>
      <c r="U54" s="164" t="s">
        <v>310</v>
      </c>
    </row>
    <row r="55" spans="10:21" ht="30" x14ac:dyDescent="0.25">
      <c r="J55" s="237" t="s">
        <v>331</v>
      </c>
      <c r="K55" s="238"/>
      <c r="L55" s="238" t="e">
        <f>S55*$F$5</f>
        <v>#VALUE!</v>
      </c>
      <c r="M55" s="238"/>
      <c r="N55" s="238"/>
      <c r="O55" s="236" t="s">
        <v>139</v>
      </c>
      <c r="P55" s="54"/>
      <c r="Q55" s="169" t="s">
        <v>331</v>
      </c>
      <c r="R55" s="168"/>
      <c r="S55" s="171" t="e">
        <f>'Calculation Factors m3 trans'!E3/'Calculation Factors m3 trans'!L3*-1</f>
        <v>#VALUE!</v>
      </c>
      <c r="T55" s="168"/>
      <c r="U55" s="164" t="s">
        <v>310</v>
      </c>
    </row>
    <row r="56" spans="10:21" x14ac:dyDescent="0.25">
      <c r="J56" s="235" t="s">
        <v>320</v>
      </c>
      <c r="K56" s="238"/>
      <c r="L56" s="238"/>
      <c r="M56" s="238" t="e">
        <f>T56*$F$5</f>
        <v>#VALUE!</v>
      </c>
      <c r="N56" s="238"/>
      <c r="O56" s="236" t="s">
        <v>139</v>
      </c>
      <c r="P56" s="54"/>
      <c r="Q56" s="163" t="s">
        <v>320</v>
      </c>
      <c r="R56" s="168"/>
      <c r="S56" s="168"/>
      <c r="T56" s="168">
        <v>-0.69445975440375673</v>
      </c>
      <c r="U56" s="164" t="s">
        <v>310</v>
      </c>
    </row>
    <row r="57" spans="10:21" x14ac:dyDescent="0.25">
      <c r="J57" s="235" t="s">
        <v>332</v>
      </c>
      <c r="K57" s="238"/>
      <c r="L57" s="238"/>
      <c r="M57" s="238"/>
      <c r="N57" s="238"/>
      <c r="O57" s="236" t="s">
        <v>139</v>
      </c>
      <c r="P57" s="54"/>
      <c r="Q57" s="163" t="s">
        <v>332</v>
      </c>
      <c r="R57" s="168"/>
      <c r="S57" s="168"/>
      <c r="T57" s="168"/>
      <c r="U57" s="164" t="s">
        <v>310</v>
      </c>
    </row>
    <row r="58" spans="10:21" x14ac:dyDescent="0.25">
      <c r="J58" s="235" t="s">
        <v>333</v>
      </c>
      <c r="K58" s="238"/>
      <c r="L58" s="238"/>
      <c r="M58" s="238"/>
      <c r="N58" s="238"/>
      <c r="O58" s="236" t="s">
        <v>139</v>
      </c>
      <c r="P58" s="54"/>
      <c r="Q58" s="163" t="s">
        <v>333</v>
      </c>
      <c r="R58" s="168"/>
      <c r="S58" s="168"/>
      <c r="T58" s="168"/>
      <c r="U58" s="164" t="s">
        <v>310</v>
      </c>
    </row>
    <row r="59" spans="10:21" ht="15.75" thickBot="1" x14ac:dyDescent="0.3">
      <c r="J59" s="239" t="s">
        <v>314</v>
      </c>
      <c r="K59" s="240" t="e">
        <f>R59*$F$5</f>
        <v>#VALUE!</v>
      </c>
      <c r="L59" s="240"/>
      <c r="M59" s="240"/>
      <c r="N59" s="240"/>
      <c r="O59" s="241" t="s">
        <v>139</v>
      </c>
      <c r="P59" s="54"/>
      <c r="Q59" s="165" t="s">
        <v>314</v>
      </c>
      <c r="R59" s="170">
        <v>1.1023170704821535E-2</v>
      </c>
      <c r="S59" s="170"/>
      <c r="T59" s="170"/>
      <c r="U59" s="167" t="s">
        <v>310</v>
      </c>
    </row>
    <row r="60" spans="10:21" x14ac:dyDescent="0.25">
      <c r="J60" s="251" t="s">
        <v>297</v>
      </c>
      <c r="K60" s="252" t="e">
        <f>SUM(K54:K59)</f>
        <v>#VALUE!</v>
      </c>
      <c r="L60" s="252" t="e">
        <f>SUM(L54:L59)</f>
        <v>#VALUE!</v>
      </c>
      <c r="M60" s="252" t="e">
        <f>SUM(M54:M59)</f>
        <v>#VALUE!</v>
      </c>
      <c r="N60" s="252"/>
      <c r="O60" s="247" t="s">
        <v>139</v>
      </c>
      <c r="P60" s="54"/>
      <c r="Q60" s="54"/>
      <c r="S60" s="54"/>
      <c r="T60" s="54"/>
      <c r="U60" s="54"/>
    </row>
    <row r="61" spans="10:21" s="54" customFormat="1" ht="15.75" thickBot="1" x14ac:dyDescent="0.3">
      <c r="J61" s="253" t="s">
        <v>133</v>
      </c>
      <c r="K61" s="255"/>
      <c r="L61" s="255"/>
      <c r="M61" s="255"/>
      <c r="N61" s="255" t="e">
        <f>SUM(K60:M60)</f>
        <v>#VALUE!</v>
      </c>
      <c r="O61" s="250" t="s">
        <v>139</v>
      </c>
      <c r="R61" s="56"/>
    </row>
    <row r="62" spans="10:21" ht="65.25" customHeight="1" x14ac:dyDescent="0.25">
      <c r="K62" s="54"/>
      <c r="L62" s="54"/>
      <c r="M62" s="54"/>
      <c r="O62" s="54"/>
      <c r="P62" s="54"/>
      <c r="Q62" s="54"/>
      <c r="S62" s="54"/>
      <c r="T62" s="54"/>
      <c r="U62" s="54"/>
    </row>
    <row r="63" spans="10:21" ht="14.25" customHeight="1" x14ac:dyDescent="0.25">
      <c r="J63" s="356" t="s">
        <v>334</v>
      </c>
      <c r="K63" s="356"/>
      <c r="L63" s="356"/>
      <c r="M63" s="356"/>
      <c r="N63" s="356"/>
      <c r="O63" s="356"/>
      <c r="P63" s="54"/>
      <c r="Q63" s="356" t="s">
        <v>335</v>
      </c>
      <c r="R63" s="356"/>
      <c r="S63" s="356"/>
      <c r="T63" s="356"/>
      <c r="U63" s="356"/>
    </row>
    <row r="64" spans="10:21" ht="15.75" thickBot="1" x14ac:dyDescent="0.3">
      <c r="K64" s="54"/>
      <c r="L64" s="54"/>
      <c r="M64" s="54"/>
      <c r="O64" s="54"/>
      <c r="P64" s="54"/>
      <c r="Q64" s="54"/>
      <c r="S64" s="54"/>
      <c r="T64" s="54"/>
      <c r="U64" s="54"/>
    </row>
    <row r="65" spans="9:21" x14ac:dyDescent="0.25">
      <c r="I65" s="54"/>
      <c r="J65" s="423" t="s">
        <v>1</v>
      </c>
      <c r="K65" s="425" t="s">
        <v>296</v>
      </c>
      <c r="L65" s="425"/>
      <c r="M65" s="425"/>
      <c r="N65" s="216"/>
      <c r="O65" s="426" t="s">
        <v>304</v>
      </c>
      <c r="P65" s="54"/>
      <c r="Q65" s="423" t="s">
        <v>1</v>
      </c>
      <c r="R65" s="425" t="s">
        <v>296</v>
      </c>
      <c r="S65" s="425"/>
      <c r="T65" s="425"/>
      <c r="U65" s="426" t="s">
        <v>304</v>
      </c>
    </row>
    <row r="66" spans="9:21" ht="45" x14ac:dyDescent="0.25">
      <c r="I66" s="54"/>
      <c r="J66" s="424"/>
      <c r="K66" s="156" t="s">
        <v>307</v>
      </c>
      <c r="L66" s="156" t="s">
        <v>308</v>
      </c>
      <c r="M66" s="161" t="s">
        <v>58</v>
      </c>
      <c r="N66" s="161" t="s">
        <v>133</v>
      </c>
      <c r="O66" s="427"/>
      <c r="P66" s="54"/>
      <c r="Q66" s="424"/>
      <c r="R66" s="156" t="s">
        <v>307</v>
      </c>
      <c r="S66" s="156" t="s">
        <v>308</v>
      </c>
      <c r="T66" s="156" t="s">
        <v>58</v>
      </c>
      <c r="U66" s="427"/>
    </row>
    <row r="67" spans="9:21" ht="30" x14ac:dyDescent="0.25">
      <c r="I67" s="54"/>
      <c r="J67" s="235" t="s">
        <v>336</v>
      </c>
      <c r="K67" s="238" t="e">
        <f>R67*$G$5</f>
        <v>#VALUE!</v>
      </c>
      <c r="L67" s="238"/>
      <c r="M67" s="238"/>
      <c r="N67" s="238"/>
      <c r="O67" s="236" t="s">
        <v>139</v>
      </c>
      <c r="P67" s="54"/>
      <c r="Q67" s="146" t="s">
        <v>337</v>
      </c>
      <c r="R67" s="168">
        <v>0.36376463325911068</v>
      </c>
      <c r="S67" s="168"/>
      <c r="T67" s="168"/>
      <c r="U67" s="20" t="s">
        <v>310</v>
      </c>
    </row>
    <row r="68" spans="9:21" ht="30.75" thickBot="1" x14ac:dyDescent="0.3">
      <c r="I68" s="54"/>
      <c r="J68" s="239" t="s">
        <v>338</v>
      </c>
      <c r="K68" s="240"/>
      <c r="L68" s="240"/>
      <c r="M68" s="240" t="e">
        <f>T68*$G$5</f>
        <v>#VALUE!</v>
      </c>
      <c r="N68" s="240"/>
      <c r="O68" s="241" t="s">
        <v>139</v>
      </c>
      <c r="P68" s="54"/>
      <c r="Q68" s="121" t="s">
        <v>339</v>
      </c>
      <c r="R68" s="170"/>
      <c r="S68" s="170"/>
      <c r="T68" s="170">
        <v>-0.12125487775303689</v>
      </c>
      <c r="U68" s="122" t="s">
        <v>310</v>
      </c>
    </row>
    <row r="69" spans="9:21" x14ac:dyDescent="0.25">
      <c r="I69" s="54"/>
      <c r="J69" s="251" t="s">
        <v>297</v>
      </c>
      <c r="K69" s="252" t="e">
        <f>SUM(K67:K68)</f>
        <v>#VALUE!</v>
      </c>
      <c r="L69" s="252">
        <f>SUM(L67:L68)</f>
        <v>0</v>
      </c>
      <c r="M69" s="252" t="e">
        <f>SUM(M67:M68)</f>
        <v>#VALUE!</v>
      </c>
      <c r="N69" s="252"/>
      <c r="O69" s="247" t="s">
        <v>139</v>
      </c>
      <c r="P69" s="54"/>
      <c r="Q69" s="54"/>
      <c r="S69" s="54"/>
      <c r="T69" s="54"/>
      <c r="U69" s="54"/>
    </row>
    <row r="70" spans="9:21" s="54" customFormat="1" ht="15.75" thickBot="1" x14ac:dyDescent="0.3">
      <c r="J70" s="253" t="s">
        <v>133</v>
      </c>
      <c r="K70" s="255"/>
      <c r="L70" s="255"/>
      <c r="M70" s="255"/>
      <c r="N70" s="255" t="e">
        <f>SUM(K69:M69)</f>
        <v>#VALUE!</v>
      </c>
      <c r="O70" s="250" t="s">
        <v>139</v>
      </c>
      <c r="R70" s="56"/>
    </row>
    <row r="71" spans="9:21" ht="113.25" customHeight="1" x14ac:dyDescent="0.25">
      <c r="I71" s="54"/>
      <c r="K71" s="54"/>
      <c r="L71" s="54"/>
      <c r="M71" s="54"/>
      <c r="O71" s="54"/>
      <c r="P71" s="54"/>
      <c r="Q71" s="54"/>
      <c r="S71" s="54"/>
      <c r="T71" s="54"/>
      <c r="U71" s="54"/>
    </row>
    <row r="72" spans="9:21" ht="14.25" customHeight="1" x14ac:dyDescent="0.25">
      <c r="I72" s="54"/>
      <c r="J72" s="356" t="s">
        <v>340</v>
      </c>
      <c r="K72" s="356"/>
      <c r="L72" s="356"/>
      <c r="M72" s="356"/>
      <c r="N72" s="356"/>
      <c r="O72" s="356"/>
      <c r="P72" s="54"/>
      <c r="Q72" s="356" t="s">
        <v>341</v>
      </c>
      <c r="R72" s="356"/>
      <c r="S72" s="356"/>
      <c r="T72" s="356"/>
      <c r="U72" s="356"/>
    </row>
    <row r="73" spans="9:21" ht="15.75" thickBot="1" x14ac:dyDescent="0.3">
      <c r="I73" s="54"/>
      <c r="K73" s="54"/>
      <c r="L73" s="54"/>
      <c r="M73" s="54"/>
      <c r="O73" s="54"/>
      <c r="P73" s="54"/>
      <c r="Q73" s="54"/>
      <c r="S73" s="54"/>
      <c r="T73" s="54"/>
      <c r="U73" s="54"/>
    </row>
    <row r="74" spans="9:21" x14ac:dyDescent="0.25">
      <c r="I74" s="54"/>
      <c r="J74" s="432" t="s">
        <v>1</v>
      </c>
      <c r="K74" s="434" t="s">
        <v>342</v>
      </c>
      <c r="L74" s="434"/>
      <c r="M74" s="434"/>
      <c r="N74" s="268"/>
      <c r="O74" s="435" t="s">
        <v>304</v>
      </c>
      <c r="P74" s="54"/>
      <c r="Q74" s="423" t="s">
        <v>1</v>
      </c>
      <c r="R74" s="425" t="s">
        <v>342</v>
      </c>
      <c r="S74" s="425"/>
      <c r="T74" s="425"/>
      <c r="U74" s="426" t="s">
        <v>304</v>
      </c>
    </row>
    <row r="75" spans="9:21" ht="45" x14ac:dyDescent="0.25">
      <c r="I75" s="54"/>
      <c r="J75" s="433"/>
      <c r="K75" s="156" t="s">
        <v>307</v>
      </c>
      <c r="L75" s="156" t="s">
        <v>308</v>
      </c>
      <c r="M75" s="234" t="s">
        <v>58</v>
      </c>
      <c r="N75" s="234" t="s">
        <v>133</v>
      </c>
      <c r="O75" s="436"/>
      <c r="P75" s="54"/>
      <c r="Q75" s="424"/>
      <c r="R75" s="156" t="s">
        <v>307</v>
      </c>
      <c r="S75" s="156" t="s">
        <v>308</v>
      </c>
      <c r="T75" s="161" t="s">
        <v>58</v>
      </c>
      <c r="U75" s="427"/>
    </row>
    <row r="76" spans="9:21" x14ac:dyDescent="0.25">
      <c r="I76" s="54"/>
      <c r="J76" s="235" t="s">
        <v>325</v>
      </c>
      <c r="K76" s="238" t="e">
        <f>R76*$C$5</f>
        <v>#VALUE!</v>
      </c>
      <c r="L76" s="238" t="e">
        <f>S76*$C$5</f>
        <v>#VALUE!</v>
      </c>
      <c r="M76" s="238"/>
      <c r="N76" s="238"/>
      <c r="O76" s="236" t="s">
        <v>139</v>
      </c>
      <c r="P76" s="54"/>
      <c r="Q76" s="120" t="s">
        <v>325</v>
      </c>
      <c r="R76" s="168">
        <v>4.7244094488188976E-2</v>
      </c>
      <c r="S76" s="168">
        <v>0.34645669291338582</v>
      </c>
      <c r="T76" s="168"/>
      <c r="U76" s="20" t="s">
        <v>310</v>
      </c>
    </row>
    <row r="77" spans="9:21" x14ac:dyDescent="0.25">
      <c r="I77" s="54"/>
      <c r="J77" s="235" t="s">
        <v>326</v>
      </c>
      <c r="K77" s="238" t="e">
        <f>R77*$C$5</f>
        <v>#VALUE!</v>
      </c>
      <c r="L77" s="238"/>
      <c r="M77" s="238"/>
      <c r="N77" s="238"/>
      <c r="O77" s="236" t="s">
        <v>139</v>
      </c>
      <c r="P77" s="54"/>
      <c r="Q77" s="120" t="s">
        <v>326</v>
      </c>
      <c r="R77" s="168">
        <v>1.0236220472440944</v>
      </c>
      <c r="S77" s="168"/>
      <c r="T77" s="168"/>
      <c r="U77" s="20" t="s">
        <v>310</v>
      </c>
    </row>
    <row r="78" spans="9:21" x14ac:dyDescent="0.25">
      <c r="I78" s="54"/>
      <c r="J78" s="235" t="s">
        <v>320</v>
      </c>
      <c r="K78" s="238"/>
      <c r="L78" s="238"/>
      <c r="M78" s="238" t="e">
        <f>T78*$C$5</f>
        <v>#VALUE!</v>
      </c>
      <c r="N78" s="238"/>
      <c r="O78" s="236" t="s">
        <v>139</v>
      </c>
      <c r="P78" s="54"/>
      <c r="Q78" s="120" t="s">
        <v>320</v>
      </c>
      <c r="R78" s="168"/>
      <c r="S78" s="168"/>
      <c r="T78" s="168">
        <v>-6.2992125984251968E-2</v>
      </c>
      <c r="U78" s="20" t="s">
        <v>310</v>
      </c>
    </row>
    <row r="79" spans="9:21" ht="15.75" thickBot="1" x14ac:dyDescent="0.3">
      <c r="I79" s="54"/>
      <c r="J79" s="239" t="s">
        <v>327</v>
      </c>
      <c r="K79" s="240"/>
      <c r="L79" s="240"/>
      <c r="M79" s="240" t="e">
        <f>T79*$C$5</f>
        <v>#VALUE!</v>
      </c>
      <c r="N79" s="240"/>
      <c r="O79" s="241" t="s">
        <v>139</v>
      </c>
      <c r="P79" s="54"/>
      <c r="Q79" s="162" t="s">
        <v>327</v>
      </c>
      <c r="R79" s="170"/>
      <c r="S79" s="170"/>
      <c r="T79" s="170">
        <v>-1.5748031496062992E-2</v>
      </c>
      <c r="U79" s="122" t="s">
        <v>310</v>
      </c>
    </row>
    <row r="80" spans="9:21" x14ac:dyDescent="0.25">
      <c r="I80" s="54"/>
      <c r="J80" s="245" t="s">
        <v>297</v>
      </c>
      <c r="K80" s="246" t="e">
        <f>SUM(K76:K79)</f>
        <v>#VALUE!</v>
      </c>
      <c r="L80" s="246" t="e">
        <f t="shared" ref="L80:M80" si="1">SUM(L76:L79)</f>
        <v>#VALUE!</v>
      </c>
      <c r="M80" s="246" t="e">
        <f t="shared" si="1"/>
        <v>#VALUE!</v>
      </c>
      <c r="N80" s="246"/>
      <c r="O80" s="280" t="s">
        <v>139</v>
      </c>
      <c r="P80" s="54"/>
      <c r="Q80" s="54"/>
      <c r="S80" s="54"/>
      <c r="T80" s="54"/>
      <c r="U80" s="54"/>
    </row>
    <row r="81" spans="9:21" s="54" customFormat="1" ht="15.75" thickBot="1" x14ac:dyDescent="0.3">
      <c r="J81" s="248" t="s">
        <v>133</v>
      </c>
      <c r="K81" s="249"/>
      <c r="L81" s="249"/>
      <c r="M81" s="249"/>
      <c r="N81" s="249" t="e">
        <f>SUM(K80:M80)</f>
        <v>#VALUE!</v>
      </c>
      <c r="O81" s="256" t="s">
        <v>139</v>
      </c>
      <c r="R81" s="56"/>
    </row>
    <row r="82" spans="9:21" ht="97.5" customHeight="1" x14ac:dyDescent="0.25">
      <c r="I82" s="54"/>
      <c r="K82" s="54"/>
      <c r="L82" s="54"/>
      <c r="M82" s="54"/>
      <c r="O82" s="54"/>
      <c r="P82" s="54"/>
      <c r="Q82" s="54"/>
      <c r="S82" s="54"/>
      <c r="T82" s="54"/>
      <c r="U82" s="54"/>
    </row>
    <row r="83" spans="9:21" x14ac:dyDescent="0.25">
      <c r="I83" s="54"/>
      <c r="J83" s="356" t="s">
        <v>343</v>
      </c>
      <c r="K83" s="356"/>
      <c r="L83" s="356"/>
      <c r="M83" s="356"/>
      <c r="N83" s="356"/>
      <c r="O83" s="356"/>
      <c r="P83" s="54"/>
      <c r="Q83" s="356" t="s">
        <v>344</v>
      </c>
      <c r="R83" s="356"/>
      <c r="S83" s="356"/>
      <c r="T83" s="356"/>
      <c r="U83" s="356"/>
    </row>
    <row r="84" spans="9:21" ht="15.75" thickBot="1" x14ac:dyDescent="0.3">
      <c r="I84" s="54"/>
      <c r="K84" s="54"/>
      <c r="L84" s="54"/>
      <c r="M84" s="54"/>
      <c r="O84" s="54"/>
      <c r="P84" s="54"/>
      <c r="Q84" s="54"/>
      <c r="S84" s="54"/>
      <c r="T84" s="54"/>
      <c r="U84" s="54"/>
    </row>
    <row r="85" spans="9:21" x14ac:dyDescent="0.25">
      <c r="I85" s="54"/>
      <c r="J85" s="423" t="s">
        <v>1</v>
      </c>
      <c r="K85" s="425" t="s">
        <v>345</v>
      </c>
      <c r="L85" s="425"/>
      <c r="M85" s="425"/>
      <c r="N85" s="216"/>
      <c r="O85" s="426" t="s">
        <v>304</v>
      </c>
      <c r="P85" s="54"/>
      <c r="Q85" s="423" t="s">
        <v>1</v>
      </c>
      <c r="R85" s="425" t="s">
        <v>346</v>
      </c>
      <c r="S85" s="425"/>
      <c r="T85" s="425"/>
      <c r="U85" s="426" t="s">
        <v>304</v>
      </c>
    </row>
    <row r="86" spans="9:21" ht="45" x14ac:dyDescent="0.25">
      <c r="I86" s="54"/>
      <c r="J86" s="424"/>
      <c r="K86" s="156" t="s">
        <v>307</v>
      </c>
      <c r="L86" s="156" t="s">
        <v>308</v>
      </c>
      <c r="M86" s="161" t="s">
        <v>58</v>
      </c>
      <c r="N86" s="161" t="s">
        <v>133</v>
      </c>
      <c r="O86" s="427"/>
      <c r="P86" s="54"/>
      <c r="Q86" s="424"/>
      <c r="R86" s="156" t="s">
        <v>307</v>
      </c>
      <c r="S86" s="156" t="s">
        <v>308</v>
      </c>
      <c r="T86" s="161" t="s">
        <v>58</v>
      </c>
      <c r="U86" s="427"/>
    </row>
    <row r="87" spans="9:21" x14ac:dyDescent="0.25">
      <c r="I87" s="54"/>
      <c r="J87" s="235" t="s">
        <v>325</v>
      </c>
      <c r="K87" s="238"/>
      <c r="L87" s="238" t="e">
        <f>S87*$F$5</f>
        <v>#VALUE!</v>
      </c>
      <c r="M87" s="238"/>
      <c r="N87" s="238"/>
      <c r="O87" s="236" t="s">
        <v>139</v>
      </c>
      <c r="P87" s="54"/>
      <c r="Q87" s="120" t="s">
        <v>325</v>
      </c>
      <c r="R87" s="8"/>
      <c r="S87" s="168">
        <v>1.2727272727272729</v>
      </c>
      <c r="T87" s="168"/>
      <c r="U87" s="20" t="s">
        <v>310</v>
      </c>
    </row>
    <row r="88" spans="9:21" x14ac:dyDescent="0.25">
      <c r="I88" s="54"/>
      <c r="J88" s="235" t="s">
        <v>326</v>
      </c>
      <c r="K88" s="281"/>
      <c r="L88" s="281"/>
      <c r="M88" s="238"/>
      <c r="N88" s="238"/>
      <c r="O88" s="236" t="s">
        <v>139</v>
      </c>
      <c r="P88" s="54"/>
      <c r="Q88" s="120" t="s">
        <v>326</v>
      </c>
      <c r="R88" s="142"/>
      <c r="S88" s="172"/>
      <c r="T88" s="168"/>
      <c r="U88" s="20" t="s">
        <v>310</v>
      </c>
    </row>
    <row r="89" spans="9:21" x14ac:dyDescent="0.25">
      <c r="I89" s="54"/>
      <c r="J89" s="235" t="s">
        <v>320</v>
      </c>
      <c r="K89" s="238"/>
      <c r="L89" s="238"/>
      <c r="M89" s="238" t="e">
        <f>T89*$F$5</f>
        <v>#VALUE!</v>
      </c>
      <c r="N89" s="238"/>
      <c r="O89" s="236" t="s">
        <v>139</v>
      </c>
      <c r="P89" s="54"/>
      <c r="Q89" s="120" t="s">
        <v>320</v>
      </c>
      <c r="R89" s="8"/>
      <c r="S89" s="168"/>
      <c r="T89" s="168">
        <v>-0.36363636363636365</v>
      </c>
      <c r="U89" s="20" t="s">
        <v>310</v>
      </c>
    </row>
    <row r="90" spans="9:21" x14ac:dyDescent="0.25">
      <c r="I90" s="54"/>
      <c r="J90" s="235" t="s">
        <v>332</v>
      </c>
      <c r="K90" s="238"/>
      <c r="L90" s="238"/>
      <c r="M90" s="238" t="e">
        <f>T90*$F$5</f>
        <v>#VALUE!</v>
      </c>
      <c r="N90" s="238"/>
      <c r="O90" s="236" t="s">
        <v>139</v>
      </c>
      <c r="P90" s="54"/>
      <c r="Q90" s="120" t="s">
        <v>332</v>
      </c>
      <c r="R90" s="8"/>
      <c r="S90" s="168"/>
      <c r="T90" s="168">
        <v>-4.5454545454545456E-2</v>
      </c>
      <c r="U90" s="20" t="s">
        <v>310</v>
      </c>
    </row>
    <row r="91" spans="9:21" ht="15.75" thickBot="1" x14ac:dyDescent="0.3">
      <c r="I91" s="54"/>
      <c r="J91" s="239" t="s">
        <v>327</v>
      </c>
      <c r="K91" s="240"/>
      <c r="L91" s="240"/>
      <c r="M91" s="240" t="e">
        <f>T91*$F$5</f>
        <v>#VALUE!</v>
      </c>
      <c r="N91" s="240"/>
      <c r="O91" s="241" t="s">
        <v>139</v>
      </c>
      <c r="P91" s="54"/>
      <c r="Q91" s="162" t="s">
        <v>347</v>
      </c>
      <c r="R91" s="17"/>
      <c r="S91" s="170"/>
      <c r="T91" s="170">
        <v>-4.5454545454545456E-2</v>
      </c>
      <c r="U91" s="122" t="s">
        <v>310</v>
      </c>
    </row>
    <row r="92" spans="9:21" x14ac:dyDescent="0.25">
      <c r="I92" s="54"/>
      <c r="J92" s="245" t="s">
        <v>297</v>
      </c>
      <c r="K92" s="246">
        <f>SUM(K87:K91)</f>
        <v>0</v>
      </c>
      <c r="L92" s="246" t="e">
        <f t="shared" ref="L92:M92" si="2">SUM(L87:L91)</f>
        <v>#VALUE!</v>
      </c>
      <c r="M92" s="246" t="e">
        <f t="shared" si="2"/>
        <v>#VALUE!</v>
      </c>
      <c r="N92" s="246"/>
      <c r="O92" s="257" t="s">
        <v>139</v>
      </c>
      <c r="P92" s="54"/>
      <c r="Q92" s="54"/>
      <c r="S92" s="54"/>
      <c r="T92" s="54"/>
      <c r="U92" s="54"/>
    </row>
    <row r="93" spans="9:21" s="54" customFormat="1" ht="15.75" thickBot="1" x14ac:dyDescent="0.3">
      <c r="J93" s="248" t="s">
        <v>133</v>
      </c>
      <c r="K93" s="249"/>
      <c r="L93" s="249"/>
      <c r="M93" s="249"/>
      <c r="N93" s="249" t="e">
        <f>SUM(K92:M92)</f>
        <v>#VALUE!</v>
      </c>
      <c r="O93" s="256" t="s">
        <v>139</v>
      </c>
      <c r="R93" s="56"/>
    </row>
    <row r="94" spans="9:21" ht="81" customHeight="1" x14ac:dyDescent="0.25">
      <c r="I94" s="54"/>
      <c r="K94" s="54"/>
      <c r="L94" s="54"/>
      <c r="M94" s="54"/>
      <c r="O94" s="54"/>
      <c r="P94" s="54"/>
      <c r="Q94" s="54"/>
      <c r="S94" s="54"/>
      <c r="T94" s="54"/>
      <c r="U94" s="54"/>
    </row>
    <row r="95" spans="9:21" x14ac:dyDescent="0.25">
      <c r="I95" s="54"/>
      <c r="J95" s="356" t="s">
        <v>348</v>
      </c>
      <c r="K95" s="356"/>
      <c r="L95" s="356"/>
      <c r="M95" s="356"/>
      <c r="N95" s="356"/>
      <c r="O95" s="356"/>
      <c r="P95" s="54"/>
      <c r="Q95" s="356" t="s">
        <v>349</v>
      </c>
      <c r="R95" s="356"/>
      <c r="S95" s="356"/>
      <c r="T95" s="356"/>
      <c r="U95" s="356"/>
    </row>
    <row r="96" spans="9:21" ht="15.75" thickBot="1" x14ac:dyDescent="0.3">
      <c r="I96" s="54"/>
      <c r="K96" s="54"/>
      <c r="L96" s="54"/>
      <c r="M96" s="54"/>
      <c r="O96" s="54"/>
      <c r="P96" s="54"/>
      <c r="Q96" s="54"/>
      <c r="S96" s="54"/>
      <c r="T96" s="54"/>
      <c r="U96" s="54"/>
    </row>
    <row r="97" spans="10:21" x14ac:dyDescent="0.25">
      <c r="J97" s="423" t="s">
        <v>1</v>
      </c>
      <c r="K97" s="425" t="s">
        <v>350</v>
      </c>
      <c r="L97" s="425"/>
      <c r="M97" s="425"/>
      <c r="N97" s="216"/>
      <c r="O97" s="426" t="s">
        <v>304</v>
      </c>
      <c r="P97" s="54"/>
      <c r="Q97" s="423" t="s">
        <v>1</v>
      </c>
      <c r="R97" s="425" t="s">
        <v>350</v>
      </c>
      <c r="S97" s="425"/>
      <c r="T97" s="425"/>
      <c r="U97" s="426" t="s">
        <v>304</v>
      </c>
    </row>
    <row r="98" spans="10:21" ht="45" x14ac:dyDescent="0.25">
      <c r="J98" s="424"/>
      <c r="K98" s="156" t="s">
        <v>307</v>
      </c>
      <c r="L98" s="156" t="s">
        <v>308</v>
      </c>
      <c r="M98" s="161" t="s">
        <v>58</v>
      </c>
      <c r="N98" s="161" t="s">
        <v>133</v>
      </c>
      <c r="O98" s="427"/>
      <c r="P98" s="54"/>
      <c r="Q98" s="424"/>
      <c r="R98" s="156" t="s">
        <v>307</v>
      </c>
      <c r="S98" s="156" t="s">
        <v>308</v>
      </c>
      <c r="T98" s="161" t="s">
        <v>58</v>
      </c>
      <c r="U98" s="427"/>
    </row>
    <row r="99" spans="10:21" x14ac:dyDescent="0.25">
      <c r="J99" s="235" t="s">
        <v>351</v>
      </c>
      <c r="K99" s="238"/>
      <c r="L99" s="238"/>
      <c r="M99" s="238" t="e">
        <f>T99*$G$5</f>
        <v>#VALUE!</v>
      </c>
      <c r="N99" s="238"/>
      <c r="O99" s="236" t="s">
        <v>139</v>
      </c>
      <c r="P99" s="54"/>
      <c r="Q99" s="163" t="s">
        <v>351</v>
      </c>
      <c r="R99" s="173"/>
      <c r="S99" s="143"/>
      <c r="T99" s="168">
        <v>-0.13793103448275865</v>
      </c>
      <c r="U99" s="164" t="s">
        <v>310</v>
      </c>
    </row>
    <row r="100" spans="10:21" s="54" customFormat="1" x14ac:dyDescent="0.25">
      <c r="J100" s="235" t="s">
        <v>352</v>
      </c>
      <c r="K100" s="238"/>
      <c r="L100" s="238"/>
      <c r="M100" s="238" t="e">
        <f>T100*$G$5</f>
        <v>#VALUE!</v>
      </c>
      <c r="N100" s="238"/>
      <c r="O100" s="236" t="s">
        <v>139</v>
      </c>
      <c r="Q100" s="163" t="s">
        <v>353</v>
      </c>
      <c r="R100" s="143"/>
      <c r="S100" s="143"/>
      <c r="T100" s="168">
        <v>-0.34482758620689657</v>
      </c>
      <c r="U100" s="164"/>
    </row>
    <row r="101" spans="10:21" ht="15.75" thickBot="1" x14ac:dyDescent="0.3">
      <c r="J101" s="239" t="s">
        <v>354</v>
      </c>
      <c r="K101" s="240"/>
      <c r="L101" s="240"/>
      <c r="M101" s="240" t="e">
        <f>T101*$G$5</f>
        <v>#VALUE!</v>
      </c>
      <c r="N101" s="240"/>
      <c r="O101" s="241" t="s">
        <v>139</v>
      </c>
      <c r="P101" s="54"/>
      <c r="Q101" s="165" t="s">
        <v>354</v>
      </c>
      <c r="R101" s="174"/>
      <c r="S101" s="166"/>
      <c r="T101" s="170">
        <v>2.3448275862068968</v>
      </c>
      <c r="U101" s="167" t="s">
        <v>310</v>
      </c>
    </row>
    <row r="102" spans="10:21" x14ac:dyDescent="0.25">
      <c r="J102" s="245" t="s">
        <v>297</v>
      </c>
      <c r="K102" s="246">
        <f>SUM(K99:K101)</f>
        <v>0</v>
      </c>
      <c r="L102" s="246">
        <f>SUM(L99:L101)</f>
        <v>0</v>
      </c>
      <c r="M102" s="246" t="e">
        <f>SUM(M99:M101)</f>
        <v>#VALUE!</v>
      </c>
      <c r="N102" s="246"/>
      <c r="O102" s="247" t="s">
        <v>139</v>
      </c>
      <c r="P102" s="54"/>
      <c r="Q102" s="54"/>
      <c r="S102" s="54"/>
      <c r="T102" s="54"/>
      <c r="U102" s="54"/>
    </row>
    <row r="103" spans="10:21" ht="15.75" thickBot="1" x14ac:dyDescent="0.3">
      <c r="J103" s="248" t="s">
        <v>133</v>
      </c>
      <c r="K103" s="249"/>
      <c r="L103" s="249"/>
      <c r="M103" s="249"/>
      <c r="N103" s="249" t="e">
        <f>SUM(K102:M102)</f>
        <v>#VALUE!</v>
      </c>
      <c r="O103" s="250" t="s">
        <v>139</v>
      </c>
      <c r="P103" s="54"/>
      <c r="Q103" s="54"/>
      <c r="S103" s="54"/>
      <c r="T103" s="54"/>
      <c r="U103" s="54"/>
    </row>
  </sheetData>
  <mergeCells count="64">
    <mergeCell ref="J95:O95"/>
    <mergeCell ref="Q95:U95"/>
    <mergeCell ref="J13:J14"/>
    <mergeCell ref="O13:O14"/>
    <mergeCell ref="K13:N13"/>
    <mergeCell ref="K25:N25"/>
    <mergeCell ref="J25:J26"/>
    <mergeCell ref="O25:O26"/>
    <mergeCell ref="Q85:Q86"/>
    <mergeCell ref="R85:T85"/>
    <mergeCell ref="U85:U86"/>
    <mergeCell ref="J83:O83"/>
    <mergeCell ref="Q83:U83"/>
    <mergeCell ref="J85:J86"/>
    <mergeCell ref="K85:M85"/>
    <mergeCell ref="O85:O86"/>
    <mergeCell ref="Q97:Q98"/>
    <mergeCell ref="R97:T97"/>
    <mergeCell ref="U97:U98"/>
    <mergeCell ref="J97:J98"/>
    <mergeCell ref="K97:M97"/>
    <mergeCell ref="O97:O98"/>
    <mergeCell ref="Q63:U63"/>
    <mergeCell ref="J63:O63"/>
    <mergeCell ref="Q74:Q75"/>
    <mergeCell ref="R74:T74"/>
    <mergeCell ref="U74:U75"/>
    <mergeCell ref="Q72:U72"/>
    <mergeCell ref="J74:J75"/>
    <mergeCell ref="K74:M74"/>
    <mergeCell ref="O74:O75"/>
    <mergeCell ref="J72:O72"/>
    <mergeCell ref="Q65:Q66"/>
    <mergeCell ref="R65:T65"/>
    <mergeCell ref="U65:U66"/>
    <mergeCell ref="J65:J66"/>
    <mergeCell ref="K65:M65"/>
    <mergeCell ref="O65:O66"/>
    <mergeCell ref="Q52:Q53"/>
    <mergeCell ref="R52:T52"/>
    <mergeCell ref="U52:U53"/>
    <mergeCell ref="Q50:U50"/>
    <mergeCell ref="J52:J53"/>
    <mergeCell ref="K52:M52"/>
    <mergeCell ref="O52:O53"/>
    <mergeCell ref="J50:O50"/>
    <mergeCell ref="Q38:Q39"/>
    <mergeCell ref="R38:T38"/>
    <mergeCell ref="U38:U39"/>
    <mergeCell ref="Q36:U36"/>
    <mergeCell ref="J36:O36"/>
    <mergeCell ref="J38:J39"/>
    <mergeCell ref="K38:M38"/>
    <mergeCell ref="O38:O39"/>
    <mergeCell ref="J11:O11"/>
    <mergeCell ref="Q23:U23"/>
    <mergeCell ref="J23:O23"/>
    <mergeCell ref="Q13:Q14"/>
    <mergeCell ref="U13:U14"/>
    <mergeCell ref="Q25:Q26"/>
    <mergeCell ref="U25:U26"/>
    <mergeCell ref="R25:T25"/>
    <mergeCell ref="R13:T13"/>
    <mergeCell ref="Q11:U11"/>
  </mergeCells>
  <pageMargins left="0.7" right="0.7" top="0.75" bottom="0.75" header="0.3" footer="0.3"/>
  <pageSetup orientation="portrait" horizontalDpi="360" verticalDpi="360" r:id="rId1"/>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A4947-EB04-4E7B-AC3E-151534C45D1A}">
  <dimension ref="B1:G10"/>
  <sheetViews>
    <sheetView workbookViewId="0"/>
  </sheetViews>
  <sheetFormatPr defaultRowHeight="15" x14ac:dyDescent="0.25"/>
  <cols>
    <col min="1" max="1" width="3.5703125" customWidth="1"/>
    <col min="2" max="2" width="17.140625" customWidth="1"/>
    <col min="3" max="3" width="19.85546875" style="54" bestFit="1" customWidth="1"/>
    <col min="4" max="4" width="17.5703125" customWidth="1"/>
    <col min="5" max="5" width="17.140625" customWidth="1"/>
    <col min="6" max="6" width="11.42578125" customWidth="1"/>
    <col min="9" max="9" width="0" hidden="1" customWidth="1"/>
  </cols>
  <sheetData>
    <row r="1" spans="2:7" ht="15.75" thickBot="1" x14ac:dyDescent="0.3">
      <c r="B1" s="54"/>
      <c r="D1" s="54"/>
      <c r="E1" s="54"/>
      <c r="F1" s="54"/>
      <c r="G1" s="54"/>
    </row>
    <row r="2" spans="2:7" ht="60" x14ac:dyDescent="0.25">
      <c r="B2" s="302" t="s">
        <v>248</v>
      </c>
      <c r="C2" s="303" t="s">
        <v>355</v>
      </c>
      <c r="D2" s="304" t="s">
        <v>356</v>
      </c>
      <c r="E2" s="304" t="s">
        <v>215</v>
      </c>
      <c r="F2" s="304" t="s">
        <v>42</v>
      </c>
      <c r="G2" s="305" t="s">
        <v>206</v>
      </c>
    </row>
    <row r="3" spans="2:7" x14ac:dyDescent="0.25">
      <c r="B3" s="120" t="s">
        <v>17</v>
      </c>
      <c r="C3" s="8" t="s">
        <v>357</v>
      </c>
      <c r="D3" s="8">
        <f>'Calculation Factors m3 trans'!N8/'Calculation Factors m3 trans'!Y8</f>
        <v>0.53725074044711574</v>
      </c>
      <c r="E3" s="8">
        <f>'Calculation Factors m3 trans'!O8/'Calculation Factors m3 trans'!Y8</f>
        <v>0.50384199406644481</v>
      </c>
      <c r="F3" s="8">
        <f>'Calculation Factors m3 trans'!Q8/'Calculation Factors m3 trans'!Y8</f>
        <v>8.3107920013755027E-2</v>
      </c>
      <c r="G3" s="20">
        <v>546</v>
      </c>
    </row>
    <row r="4" spans="2:7" x14ac:dyDescent="0.25">
      <c r="B4" s="120" t="s">
        <v>17</v>
      </c>
      <c r="C4" s="8" t="s">
        <v>358</v>
      </c>
      <c r="D4" s="8"/>
      <c r="E4" s="8">
        <f>'Calculation Factors m3 trans'!O9/'Calculation Factors m3 trans'!Y9</f>
        <v>0.50380946320542352</v>
      </c>
      <c r="F4" s="8">
        <f>'Calculation Factors m3 trans'!Q9/'Calculation Factors m3 trans'!Y9</f>
        <v>-0.15256408419530376</v>
      </c>
      <c r="G4" s="20"/>
    </row>
    <row r="5" spans="2:7" x14ac:dyDescent="0.25">
      <c r="B5" s="120" t="s">
        <v>359</v>
      </c>
      <c r="C5" s="8" t="s">
        <v>357</v>
      </c>
      <c r="D5" s="8">
        <f>'Calculation Factors m3 trans'!N24/'Calculation Factors m3 trans'!Y24</f>
        <v>0.66648691542502081</v>
      </c>
      <c r="E5" s="8">
        <f>'Calculation Factors m3 trans'!O24/'Calculation Factors m3 trans'!Y24</f>
        <v>0.49507599369780469</v>
      </c>
      <c r="F5" s="8">
        <f>'Calculation Factors m3 trans'!Q24/'Calculation Factors m3 trans'!Y24</f>
        <v>9.2724763255717407E-2</v>
      </c>
      <c r="G5" s="20">
        <v>433.3</v>
      </c>
    </row>
    <row r="6" spans="2:7" x14ac:dyDescent="0.25">
      <c r="B6" s="120" t="s">
        <v>359</v>
      </c>
      <c r="C6" s="8" t="s">
        <v>358</v>
      </c>
      <c r="D6" s="8"/>
      <c r="E6" s="8">
        <f>'Calculation Factors m3 trans'!O25/'Calculation Factors m3 trans'!Y25</f>
        <v>0.49507599369780469</v>
      </c>
      <c r="F6" s="8">
        <f>'Calculation Factors m3 trans'!Q25/'Calculation Factors m3 trans'!Y25</f>
        <v>-0.17022904701373606</v>
      </c>
      <c r="G6" s="20"/>
    </row>
    <row r="7" spans="2:7" x14ac:dyDescent="0.25">
      <c r="B7" s="120" t="s">
        <v>25</v>
      </c>
      <c r="C7" s="8" t="s">
        <v>357</v>
      </c>
      <c r="D7" s="8">
        <f>'Calculation Factors m3 trans'!O47/'Calculation Factors m3 trans'!Y47</f>
        <v>0.49472271366320125</v>
      </c>
      <c r="E7" s="8">
        <f>'Calculation Factors m3 trans'!O47/'Calculation Factors m3 trans'!Y47</f>
        <v>0.49472271366320125</v>
      </c>
      <c r="F7" s="8">
        <f>'Calculation Factors m3 trans'!Q47/'Calculation Factors m3 trans'!Y47</f>
        <v>8.9851888137462588E-2</v>
      </c>
      <c r="G7" s="20"/>
    </row>
    <row r="8" spans="2:7" x14ac:dyDescent="0.25">
      <c r="B8" s="120" t="s">
        <v>25</v>
      </c>
      <c r="C8" s="8" t="s">
        <v>358</v>
      </c>
      <c r="D8" s="8"/>
      <c r="E8" s="8">
        <f>'Calculation Factors m3 trans'!O48/'Calculation Factors m3 trans'!Y48</f>
        <v>0.49463414557360136</v>
      </c>
      <c r="F8" s="8">
        <f>'Calculation Factors m3 trans'!Q48/'Calculation Factors m3 trans'!Y48</f>
        <v>-0.16953186441030713</v>
      </c>
      <c r="G8" s="20"/>
    </row>
    <row r="9" spans="2:7" x14ac:dyDescent="0.25">
      <c r="B9" s="120" t="s">
        <v>360</v>
      </c>
      <c r="C9" s="8" t="s">
        <v>357</v>
      </c>
      <c r="D9" s="8">
        <f>'Calculation Factors m3 trans'!N57/'Calculation Factors m3 trans'!Y57</f>
        <v>0.56894967892921211</v>
      </c>
      <c r="E9" s="8">
        <f>'Calculation Factors m3 trans'!O57/'Calculation Factors m3 trans'!Y57</f>
        <v>0.51914218783589239</v>
      </c>
      <c r="F9" s="8">
        <f>'Calculation Factors m3 trans'!Q57/'Calculation Factors m3 trans'!Y57</f>
        <v>0.11977887977456991</v>
      </c>
      <c r="G9" s="20"/>
    </row>
    <row r="10" spans="2:7" ht="15.75" thickBot="1" x14ac:dyDescent="0.3">
      <c r="B10" s="162" t="s">
        <v>360</v>
      </c>
      <c r="C10" s="17" t="s">
        <v>358</v>
      </c>
      <c r="D10" s="17"/>
      <c r="E10" s="17">
        <f>'Calculation Factors m3 trans'!O58/'Calculation Factors m3 trans'!Y58</f>
        <v>0.51904181235647073</v>
      </c>
      <c r="F10" s="17">
        <f>'Calculation Factors m3 trans'!Q58/'Calculation Factors m3 trans'!Y58</f>
        <v>-0.17154471544715444</v>
      </c>
      <c r="G10" s="12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8C8B-7AF7-495E-9037-668181CCF612}">
  <dimension ref="B1:S38"/>
  <sheetViews>
    <sheetView workbookViewId="0"/>
  </sheetViews>
  <sheetFormatPr defaultRowHeight="15" x14ac:dyDescent="0.25"/>
  <cols>
    <col min="2" max="2" width="51.85546875" style="16" customWidth="1"/>
    <col min="3" max="3" width="15" customWidth="1"/>
    <col min="4" max="4" width="11.140625" bestFit="1" customWidth="1"/>
    <col min="5" max="5" width="14.7109375" customWidth="1"/>
    <col min="6" max="6" width="12.42578125" customWidth="1"/>
    <col min="11" max="11" width="14.5703125" customWidth="1"/>
    <col min="13" max="13" width="12" customWidth="1"/>
    <col min="14" max="14" width="14.28515625" customWidth="1"/>
    <col min="19" max="19" width="15.28515625" customWidth="1"/>
  </cols>
  <sheetData>
    <row r="1" spans="2:17" s="54" customFormat="1" ht="15.75" thickBot="1" x14ac:dyDescent="0.3">
      <c r="B1" s="56"/>
    </row>
    <row r="2" spans="2:17" x14ac:dyDescent="0.25">
      <c r="B2" s="306" t="s">
        <v>361</v>
      </c>
      <c r="C2" s="307">
        <f>'Scenario 1 - Calc Sheet'!B45</f>
        <v>0</v>
      </c>
      <c r="D2" s="54"/>
      <c r="E2" s="54"/>
      <c r="F2" s="54"/>
      <c r="G2" s="54"/>
      <c r="H2" s="54"/>
      <c r="I2" s="54"/>
      <c r="J2" s="54"/>
      <c r="K2" s="54"/>
      <c r="L2" s="54"/>
      <c r="M2" s="54"/>
      <c r="N2" s="54"/>
      <c r="O2" s="54"/>
      <c r="P2" s="54"/>
      <c r="Q2" s="54"/>
    </row>
    <row r="3" spans="2:17" x14ac:dyDescent="0.25">
      <c r="B3" s="127" t="s">
        <v>362</v>
      </c>
      <c r="C3" s="40" cm="1">
        <f t="array" ref="C3">_xlfn.XLOOKUP(C2,_xlfn.ANCHORARRAY(B20),C20:C38,"NA",0)</f>
        <v>0</v>
      </c>
      <c r="D3" s="54"/>
      <c r="E3" s="54"/>
      <c r="F3" s="54"/>
      <c r="G3" s="54"/>
      <c r="H3" s="54"/>
      <c r="I3" s="54"/>
      <c r="J3" s="54"/>
      <c r="K3" s="54"/>
      <c r="L3" s="54"/>
      <c r="M3" s="54"/>
      <c r="N3" s="51"/>
      <c r="O3" s="54"/>
      <c r="P3" s="54"/>
      <c r="Q3" s="54"/>
    </row>
    <row r="4" spans="2:17" s="53" customFormat="1" x14ac:dyDescent="0.25">
      <c r="B4" s="127" t="s">
        <v>363</v>
      </c>
      <c r="C4" s="40" t="e">
        <f>C3*'Scenario 1 - Calc Sheet'!B25</f>
        <v>#VALUE!</v>
      </c>
      <c r="D4" s="54"/>
      <c r="E4" s="54"/>
      <c r="F4" s="54"/>
      <c r="G4" s="54"/>
      <c r="H4" s="54"/>
      <c r="I4" s="54"/>
      <c r="J4" s="54"/>
      <c r="K4" s="54"/>
      <c r="L4" s="54"/>
      <c r="M4" s="54"/>
      <c r="N4" s="49"/>
      <c r="O4" s="54"/>
      <c r="P4" s="54"/>
      <c r="Q4" s="54"/>
    </row>
    <row r="5" spans="2:17" s="48" customFormat="1" x14ac:dyDescent="0.25">
      <c r="B5" s="127" t="s">
        <v>364</v>
      </c>
      <c r="C5" s="310" cm="1">
        <f t="array" ref="C5">_xlfn.XLOOKUP(C2,_xlfn.ANCHORARRAY(B20),E20:E38,"NA",0)</f>
        <v>0</v>
      </c>
      <c r="D5" s="54"/>
      <c r="E5" s="54"/>
      <c r="F5" s="54"/>
      <c r="G5" s="54"/>
      <c r="H5" s="54"/>
      <c r="I5" s="54"/>
      <c r="J5" s="54"/>
      <c r="K5" s="54"/>
      <c r="L5" s="54"/>
      <c r="M5" s="54"/>
      <c r="N5" s="49"/>
      <c r="O5" s="54"/>
      <c r="P5" s="54"/>
      <c r="Q5" s="54"/>
    </row>
    <row r="6" spans="2:17" s="53" customFormat="1" ht="15.75" thickBot="1" x14ac:dyDescent="0.3">
      <c r="B6" s="128" t="s">
        <v>436</v>
      </c>
      <c r="C6" s="43" cm="1">
        <f t="array" ref="C6">_xlfn.XLOOKUP(C2,_xlfn.ANCHORARRAY(B20),F20:F38,"NA",0)</f>
        <v>0</v>
      </c>
      <c r="D6" s="54"/>
      <c r="E6" s="54"/>
      <c r="F6" s="54"/>
      <c r="G6" s="54"/>
      <c r="H6" s="54"/>
      <c r="I6" s="54"/>
      <c r="J6" s="54"/>
      <c r="K6" s="54"/>
      <c r="L6" s="54"/>
      <c r="M6" s="49"/>
      <c r="N6" s="49"/>
      <c r="O6" s="54"/>
      <c r="P6" s="54"/>
      <c r="Q6" s="54"/>
    </row>
    <row r="7" spans="2:17" s="54" customFormat="1" ht="15.75" thickBot="1" x14ac:dyDescent="0.3">
      <c r="B7" s="56"/>
      <c r="M7" s="49"/>
      <c r="N7" s="49"/>
    </row>
    <row r="8" spans="2:17" s="53" customFormat="1" x14ac:dyDescent="0.25">
      <c r="B8" s="306" t="s">
        <v>365</v>
      </c>
      <c r="C8" s="308" t="s">
        <v>366</v>
      </c>
      <c r="D8" s="308"/>
      <c r="E8" s="308" t="s">
        <v>367</v>
      </c>
      <c r="F8" s="309" t="s">
        <v>368</v>
      </c>
      <c r="G8" s="54"/>
      <c r="H8" s="54"/>
      <c r="I8" s="54"/>
      <c r="J8" s="54"/>
      <c r="K8" s="54"/>
      <c r="L8" s="54"/>
      <c r="M8" s="54"/>
      <c r="N8" s="54"/>
      <c r="O8" s="54"/>
      <c r="P8" s="54"/>
      <c r="Q8" s="54"/>
    </row>
    <row r="9" spans="2:17" s="48" customFormat="1" x14ac:dyDescent="0.25">
      <c r="B9" s="130" t="s">
        <v>159</v>
      </c>
      <c r="C9" s="38">
        <v>5.4589544794126595E-5</v>
      </c>
      <c r="D9" s="123"/>
      <c r="E9" s="38">
        <f>'Scenario 1 - Calc Sheet'!C60*1.609344</f>
        <v>0</v>
      </c>
      <c r="F9" s="40" t="e">
        <f>C9*E9*C4</f>
        <v>#VALUE!</v>
      </c>
      <c r="G9" s="54"/>
      <c r="H9" s="54"/>
      <c r="I9" s="54"/>
      <c r="J9" s="54"/>
      <c r="K9" s="54"/>
      <c r="L9" s="54"/>
      <c r="M9" s="54"/>
      <c r="N9" s="11"/>
      <c r="O9" s="54"/>
      <c r="P9" s="54"/>
      <c r="Q9" s="54"/>
    </row>
    <row r="10" spans="2:17" s="48" customFormat="1" x14ac:dyDescent="0.25">
      <c r="B10" s="130" t="s">
        <v>161</v>
      </c>
      <c r="C10" s="38">
        <v>3.3293623473340956E-5</v>
      </c>
      <c r="D10" s="123"/>
      <c r="E10" s="38">
        <f>'Scenario 1 - Calc Sheet'!C61*1.609344</f>
        <v>0</v>
      </c>
      <c r="F10" s="40" t="e">
        <f>C10*E10*C4</f>
        <v>#VALUE!</v>
      </c>
      <c r="G10" s="54"/>
      <c r="H10" s="54"/>
      <c r="I10" s="54"/>
      <c r="J10" s="54"/>
      <c r="K10" s="54"/>
      <c r="L10" s="54"/>
      <c r="M10" s="54"/>
      <c r="N10" s="54"/>
      <c r="O10" s="54"/>
      <c r="P10" s="54"/>
      <c r="Q10" s="54"/>
    </row>
    <row r="11" spans="2:17" s="48" customFormat="1" x14ac:dyDescent="0.25">
      <c r="B11" s="130" t="s">
        <v>162</v>
      </c>
      <c r="C11" s="38">
        <v>2.3995404305110587E-5</v>
      </c>
      <c r="D11" s="123"/>
      <c r="E11" s="38">
        <f>'Scenario 1 - Calc Sheet'!C62*1.609344</f>
        <v>0</v>
      </c>
      <c r="F11" s="40" t="e">
        <f>C11*E11*C4</f>
        <v>#VALUE!</v>
      </c>
      <c r="G11" s="54"/>
      <c r="H11" s="54"/>
      <c r="I11" s="54"/>
      <c r="J11" s="54"/>
      <c r="K11" s="54"/>
      <c r="L11" s="54"/>
      <c r="M11" s="54"/>
      <c r="N11" s="54"/>
      <c r="O11" s="54"/>
      <c r="P11" s="54"/>
      <c r="Q11" s="54"/>
    </row>
    <row r="12" spans="2:17" s="48" customFormat="1" x14ac:dyDescent="0.25">
      <c r="B12" s="130" t="s">
        <v>163</v>
      </c>
      <c r="C12" s="38">
        <v>4.3091746897927795E-5</v>
      </c>
      <c r="D12" s="123"/>
      <c r="E12" s="38">
        <f>'Scenario 1 - Calc Sheet'!C63*1.609344</f>
        <v>0</v>
      </c>
      <c r="F12" s="40" t="e">
        <f>C12*E12*C4</f>
        <v>#VALUE!</v>
      </c>
      <c r="G12" s="54"/>
      <c r="H12" s="54"/>
      <c r="I12" s="54"/>
      <c r="J12" s="54"/>
      <c r="K12" s="54"/>
      <c r="L12" s="54"/>
      <c r="M12" s="54"/>
      <c r="N12" s="54"/>
      <c r="O12" s="54"/>
      <c r="P12" s="54"/>
      <c r="Q12" s="54"/>
    </row>
    <row r="13" spans="2:17" s="53" customFormat="1" ht="15.75" thickBot="1" x14ac:dyDescent="0.3">
      <c r="B13" s="131" t="s">
        <v>369</v>
      </c>
      <c r="C13" s="42"/>
      <c r="D13" s="42"/>
      <c r="E13" s="42"/>
      <c r="F13" s="43" t="e">
        <f>SUM(F9:F12)</f>
        <v>#VALUE!</v>
      </c>
      <c r="G13" s="54"/>
      <c r="H13" s="54"/>
      <c r="I13" s="54"/>
      <c r="J13" s="54"/>
      <c r="K13" s="54"/>
      <c r="L13" s="54"/>
      <c r="M13" s="54"/>
      <c r="N13" s="54"/>
      <c r="O13" s="54"/>
      <c r="P13" s="54"/>
      <c r="Q13" s="54"/>
    </row>
    <row r="14" spans="2:17" s="53" customFormat="1" ht="15.75" thickBot="1" x14ac:dyDescent="0.3">
      <c r="B14" s="54"/>
      <c r="C14" s="54"/>
      <c r="D14" s="54"/>
      <c r="E14" s="54"/>
      <c r="F14" s="54"/>
      <c r="G14" s="54"/>
      <c r="H14" s="54"/>
      <c r="I14" s="54"/>
      <c r="J14" s="54"/>
      <c r="K14" s="54"/>
      <c r="L14" s="54"/>
      <c r="M14" s="54"/>
      <c r="N14" s="54"/>
      <c r="O14" s="54"/>
      <c r="P14" s="54"/>
      <c r="Q14" s="54"/>
    </row>
    <row r="15" spans="2:17" s="53" customFormat="1" ht="15.75" thickBot="1" x14ac:dyDescent="0.3">
      <c r="B15" s="129" t="s">
        <v>370</v>
      </c>
      <c r="C15" s="312" t="e">
        <f>_xlfn.XLOOKUP(C6,F20:F30,E20:E30)</f>
        <v>#N/A</v>
      </c>
      <c r="D15" s="125" t="str">
        <f>_xlfn.XLOOKUP(C6,B9:B12,C9:C12,"NA",0)</f>
        <v>NA</v>
      </c>
      <c r="E15" s="312" t="e">
        <f>C15*1.609344</f>
        <v>#N/A</v>
      </c>
      <c r="F15" s="126" t="e">
        <f>D15*E15*C4</f>
        <v>#VALUE!</v>
      </c>
      <c r="G15" s="54"/>
      <c r="H15" s="54"/>
      <c r="I15" s="54"/>
      <c r="J15" s="54"/>
      <c r="K15" s="54"/>
      <c r="L15" s="54"/>
      <c r="M15" s="54"/>
      <c r="N15" s="54"/>
      <c r="O15" s="54"/>
      <c r="P15" s="54"/>
      <c r="Q15" s="54"/>
    </row>
    <row r="16" spans="2:17" s="53" customFormat="1" x14ac:dyDescent="0.25">
      <c r="B16" s="54"/>
      <c r="C16" s="54"/>
      <c r="D16" s="54"/>
      <c r="E16" s="54"/>
      <c r="F16" s="54"/>
      <c r="G16" s="54"/>
      <c r="H16" s="54"/>
      <c r="I16" s="54"/>
      <c r="J16" s="54"/>
      <c r="K16" s="54"/>
      <c r="L16" s="54"/>
      <c r="M16" s="54"/>
      <c r="N16" s="54"/>
      <c r="O16" s="54"/>
      <c r="P16" s="54"/>
      <c r="Q16" s="54"/>
    </row>
    <row r="17" spans="2:19" s="53" customFormat="1" x14ac:dyDescent="0.25">
      <c r="B17" s="54"/>
      <c r="C17" s="54"/>
      <c r="D17" s="54"/>
      <c r="E17" s="54"/>
      <c r="F17" s="54"/>
      <c r="G17" s="54"/>
      <c r="H17" s="54"/>
      <c r="I17" s="54"/>
      <c r="J17" s="54"/>
      <c r="K17" s="54"/>
      <c r="L17" s="54"/>
      <c r="M17" s="54"/>
      <c r="N17" s="54"/>
      <c r="O17" s="54"/>
      <c r="P17" s="54"/>
      <c r="Q17" s="54"/>
    </row>
    <row r="18" spans="2:19" s="48" customFormat="1" ht="15.75" thickBot="1" x14ac:dyDescent="0.3">
      <c r="B18" s="56"/>
      <c r="C18" s="54"/>
      <c r="D18" s="54"/>
      <c r="E18" s="54"/>
      <c r="F18" s="54"/>
      <c r="G18" s="54"/>
      <c r="H18" s="54"/>
      <c r="I18" s="54"/>
      <c r="J18" s="54"/>
      <c r="K18" s="54"/>
      <c r="L18" s="54"/>
      <c r="M18" s="54"/>
      <c r="N18" s="54"/>
      <c r="O18" s="54"/>
      <c r="P18" s="54"/>
      <c r="Q18" s="54"/>
      <c r="R18" s="54"/>
      <c r="S18" s="50"/>
    </row>
    <row r="19" spans="2:19" x14ac:dyDescent="0.25">
      <c r="B19" s="306" t="s">
        <v>194</v>
      </c>
      <c r="C19" s="308" t="s">
        <v>371</v>
      </c>
      <c r="D19" s="308" t="s">
        <v>372</v>
      </c>
      <c r="E19" s="308" t="s">
        <v>373</v>
      </c>
      <c r="F19" s="309" t="s">
        <v>374</v>
      </c>
      <c r="G19" s="54"/>
      <c r="H19" s="54"/>
      <c r="I19" s="54"/>
      <c r="J19" s="54"/>
      <c r="K19" s="54"/>
      <c r="L19" s="54"/>
      <c r="M19" s="54"/>
      <c r="N19" s="54"/>
      <c r="O19" s="54"/>
      <c r="P19" s="54"/>
      <c r="Q19" s="54"/>
      <c r="R19" s="54"/>
      <c r="S19" s="50"/>
    </row>
    <row r="20" spans="2:19" ht="30" x14ac:dyDescent="0.25">
      <c r="B20" s="124" t="str" cm="1">
        <f t="array" ref="B20:B38">_xlfn.UNIQUE('Calculation Factors m3 trans'!C8:C64)</f>
        <v>Tally's Glulam Proxy (AWC/CWC North American Glued Laminated Timbers 2013)</v>
      </c>
      <c r="C20" s="311">
        <f>15.12/0.02831685</f>
        <v>533.95769656582559</v>
      </c>
      <c r="D20" s="311">
        <v>468</v>
      </c>
      <c r="E20" s="311">
        <f>D20*0.62137119</f>
        <v>290.80171691999999</v>
      </c>
      <c r="F20" s="40" t="s">
        <v>159</v>
      </c>
      <c r="G20" s="54"/>
      <c r="H20" s="54"/>
      <c r="I20" s="54"/>
      <c r="J20" s="54"/>
      <c r="K20" s="54"/>
      <c r="L20" s="54"/>
      <c r="M20" s="54"/>
      <c r="N20" s="54"/>
      <c r="O20" s="54"/>
      <c r="P20" s="54"/>
      <c r="Q20" s="54"/>
      <c r="R20" s="54"/>
      <c r="S20" s="50"/>
    </row>
    <row r="21" spans="2:19" x14ac:dyDescent="0.25">
      <c r="B21" s="124" t="str">
        <v>KLH EPD 2012 (57mm thick)</v>
      </c>
      <c r="C21" s="311">
        <f>13.6/0.02831685</f>
        <v>480.27940960947279</v>
      </c>
      <c r="D21" s="311">
        <v>468</v>
      </c>
      <c r="E21" s="311">
        <f t="shared" ref="E21:E37" si="0">D21*0.62137119</f>
        <v>290.80171691999999</v>
      </c>
      <c r="F21" s="40" t="s">
        <v>159</v>
      </c>
      <c r="G21" s="54"/>
      <c r="H21" s="54"/>
      <c r="I21" s="54"/>
      <c r="J21" s="54"/>
      <c r="K21" s="54"/>
      <c r="L21" s="54"/>
      <c r="M21" s="54"/>
      <c r="N21" s="49"/>
      <c r="O21" s="54"/>
      <c r="P21" s="54"/>
      <c r="Q21" s="54"/>
      <c r="R21" s="54"/>
      <c r="S21" s="50"/>
    </row>
    <row r="22" spans="2:19" x14ac:dyDescent="0.25">
      <c r="B22" s="124" t="str">
        <v>KLH EPD 2012 (320 mm thick)</v>
      </c>
      <c r="C22" s="311"/>
      <c r="D22" s="311">
        <v>468</v>
      </c>
      <c r="E22" s="311">
        <f t="shared" si="0"/>
        <v>290.80171691999999</v>
      </c>
      <c r="F22" s="40" t="s">
        <v>159</v>
      </c>
      <c r="G22" s="54"/>
      <c r="H22" s="54"/>
      <c r="I22" s="54"/>
      <c r="J22" s="54"/>
      <c r="K22" s="54"/>
      <c r="L22" s="54"/>
      <c r="M22" s="54"/>
      <c r="N22" s="49"/>
      <c r="O22" s="54"/>
      <c r="P22" s="54"/>
      <c r="Q22" s="54"/>
      <c r="R22" s="54"/>
      <c r="S22" s="50"/>
    </row>
    <row r="23" spans="2:19" ht="45" x14ac:dyDescent="0.25">
      <c r="B23" s="124" t="str">
        <v>Structurlam - Crosslam CLT EPD for Cross Laminated Timber produced by Structurlam in Okanagan Falls, BC 2020</v>
      </c>
      <c r="C23" s="311">
        <v>481</v>
      </c>
      <c r="D23" s="311">
        <v>468</v>
      </c>
      <c r="E23" s="311">
        <f t="shared" si="0"/>
        <v>290.80171691999999</v>
      </c>
      <c r="F23" s="40" t="s">
        <v>159</v>
      </c>
      <c r="G23" s="54"/>
      <c r="H23" s="54"/>
      <c r="I23" s="54"/>
      <c r="J23" s="54"/>
      <c r="K23" s="54"/>
      <c r="L23" s="54"/>
      <c r="M23" s="54"/>
      <c r="N23" s="54"/>
      <c r="O23" s="54"/>
      <c r="P23" s="54"/>
      <c r="Q23" s="54"/>
      <c r="R23" s="54"/>
      <c r="S23" s="54"/>
    </row>
    <row r="24" spans="2:19" ht="30" x14ac:dyDescent="0.25">
      <c r="B24" s="124" t="str">
        <v>Nordic X-Lam (CLT) Environmental Product Declaration 2018</v>
      </c>
      <c r="C24" s="311">
        <v>410.46</v>
      </c>
      <c r="D24" s="311">
        <v>468</v>
      </c>
      <c r="E24" s="311">
        <f t="shared" si="0"/>
        <v>290.80171691999999</v>
      </c>
      <c r="F24" s="40" t="s">
        <v>159</v>
      </c>
      <c r="G24" s="54"/>
      <c r="H24" s="54"/>
      <c r="I24" s="54"/>
      <c r="J24" s="54"/>
      <c r="K24" s="54"/>
      <c r="L24" s="54"/>
      <c r="M24" s="54"/>
      <c r="N24" s="54"/>
      <c r="O24" s="54"/>
      <c r="P24" s="54"/>
      <c r="Q24" s="54"/>
      <c r="R24" s="54"/>
      <c r="S24" s="54"/>
    </row>
    <row r="25" spans="2:19" ht="30" x14ac:dyDescent="0.25">
      <c r="B25" s="124" t="str">
        <v>Tally - AWC/CWC North American Glued Laminated Timbers 2013</v>
      </c>
      <c r="C25" s="311">
        <v>525</v>
      </c>
      <c r="D25" s="311">
        <v>468</v>
      </c>
      <c r="E25" s="311">
        <f t="shared" si="0"/>
        <v>290.80171691999999</v>
      </c>
      <c r="F25" s="40" t="s">
        <v>159</v>
      </c>
      <c r="G25" s="54"/>
      <c r="H25" s="54"/>
      <c r="I25" s="54"/>
      <c r="J25" s="54"/>
      <c r="K25" s="54"/>
      <c r="L25" s="54"/>
      <c r="M25" s="54"/>
      <c r="N25" s="54"/>
      <c r="O25" s="57"/>
      <c r="P25" s="54"/>
      <c r="Q25" s="54"/>
      <c r="R25" s="54"/>
      <c r="S25" s="54"/>
    </row>
    <row r="26" spans="2:19" ht="30" x14ac:dyDescent="0.25">
      <c r="B26" s="124" t="str">
        <v>AWC/CWC North American Glued Laminated Timbers 2013</v>
      </c>
      <c r="C26" s="311">
        <v>548</v>
      </c>
      <c r="D26" s="311">
        <v>468</v>
      </c>
      <c r="E26" s="311">
        <f t="shared" si="0"/>
        <v>290.80171691999999</v>
      </c>
      <c r="F26" s="40" t="s">
        <v>159</v>
      </c>
      <c r="G26" s="54"/>
      <c r="H26" s="54"/>
      <c r="I26" s="54"/>
      <c r="J26" s="54"/>
      <c r="K26" s="54"/>
      <c r="L26" s="54"/>
      <c r="M26" s="54"/>
      <c r="N26" s="54"/>
      <c r="O26" s="54"/>
      <c r="P26" s="54"/>
      <c r="Q26" s="54"/>
      <c r="R26" s="54"/>
      <c r="S26" s="54"/>
    </row>
    <row r="27" spans="2:19" ht="30" x14ac:dyDescent="0.25">
      <c r="B27" s="124" t="str">
        <v>AWC/CWC North American Glued Laminated Timbers 2020</v>
      </c>
      <c r="C27" s="311">
        <v>481</v>
      </c>
      <c r="D27" s="311">
        <v>468</v>
      </c>
      <c r="E27" s="311">
        <f t="shared" si="0"/>
        <v>290.80171691999999</v>
      </c>
      <c r="F27" s="40" t="s">
        <v>159</v>
      </c>
      <c r="G27" s="54"/>
      <c r="H27" s="54"/>
      <c r="I27" s="54"/>
      <c r="J27" s="54"/>
      <c r="K27" s="54"/>
      <c r="L27" s="54"/>
      <c r="M27" s="54"/>
      <c r="N27" s="54"/>
      <c r="O27" s="54"/>
      <c r="P27" s="54"/>
      <c r="Q27" s="54"/>
      <c r="R27" s="54"/>
      <c r="S27" s="54"/>
    </row>
    <row r="28" spans="2:19" ht="30" x14ac:dyDescent="0.25">
      <c r="B28" s="124" t="str">
        <v>Corrim Report LCA of PNW Glued Laminated Timbers 2017</v>
      </c>
      <c r="C28" s="311">
        <v>510.7</v>
      </c>
      <c r="D28" s="311">
        <v>468</v>
      </c>
      <c r="E28" s="311">
        <f t="shared" si="0"/>
        <v>290.80171691999999</v>
      </c>
      <c r="F28" s="40" t="s">
        <v>159</v>
      </c>
      <c r="G28" s="54"/>
      <c r="H28" s="54"/>
      <c r="I28" s="54"/>
      <c r="J28" s="54"/>
      <c r="K28" s="54"/>
      <c r="L28" s="54"/>
      <c r="M28" s="54"/>
      <c r="N28" s="54"/>
      <c r="O28" s="54"/>
      <c r="P28" s="54"/>
      <c r="Q28" s="54"/>
      <c r="R28" s="54"/>
      <c r="S28" s="54"/>
    </row>
    <row r="29" spans="2:19" ht="30" x14ac:dyDescent="0.25">
      <c r="B29" s="124" t="str">
        <v>Corrim Report: LCA For the Production of Southeast Glued Laminated Timbers 2017</v>
      </c>
      <c r="C29" s="311">
        <v>590</v>
      </c>
      <c r="D29" s="311">
        <v>468</v>
      </c>
      <c r="E29" s="311">
        <f t="shared" si="0"/>
        <v>290.80171691999999</v>
      </c>
      <c r="F29" s="40" t="s">
        <v>159</v>
      </c>
      <c r="G29" s="54"/>
      <c r="H29" s="54"/>
      <c r="I29" s="54"/>
      <c r="J29" s="54"/>
      <c r="K29" s="54"/>
      <c r="L29" s="54"/>
      <c r="M29" s="54"/>
      <c r="N29" s="54"/>
      <c r="O29" s="54"/>
      <c r="P29" s="54"/>
      <c r="Q29" s="54"/>
      <c r="R29" s="54"/>
      <c r="S29" s="54"/>
    </row>
    <row r="30" spans="2:19" ht="45" x14ac:dyDescent="0.25">
      <c r="B30" s="124" t="str">
        <v>Athena Sustainable Materials Insitute - A Cradle-to-Gate Life Cycle Assessment
of Canadian Glulam (2019)</v>
      </c>
      <c r="C30" s="311">
        <v>428</v>
      </c>
      <c r="D30" s="311">
        <v>468</v>
      </c>
      <c r="E30" s="311">
        <f t="shared" si="0"/>
        <v>290.80171691999999</v>
      </c>
      <c r="F30" s="40" t="s">
        <v>159</v>
      </c>
      <c r="G30" s="54"/>
      <c r="H30" s="54"/>
      <c r="I30" s="54"/>
      <c r="J30" s="54"/>
      <c r="K30" s="54"/>
      <c r="L30" s="54"/>
      <c r="M30" s="54"/>
      <c r="N30" s="54"/>
      <c r="O30" s="54"/>
      <c r="P30" s="54"/>
      <c r="Q30" s="54"/>
      <c r="R30" s="54"/>
      <c r="S30" s="54"/>
    </row>
    <row r="31" spans="2:19" x14ac:dyDescent="0.25">
      <c r="B31" s="124" t="str">
        <v>Tally's OSB Proxy (Oriented strand board CORRIM 2011)</v>
      </c>
      <c r="C31" s="311">
        <v>1091.2</v>
      </c>
      <c r="D31" s="311">
        <v>468</v>
      </c>
      <c r="E31" s="311">
        <f t="shared" si="0"/>
        <v>290.80171691999999</v>
      </c>
      <c r="F31" s="40" t="s">
        <v>159</v>
      </c>
      <c r="G31" s="54"/>
      <c r="H31" s="54"/>
      <c r="I31" s="54"/>
      <c r="J31" s="54"/>
      <c r="K31" s="54"/>
      <c r="L31" s="54"/>
      <c r="M31" s="54"/>
      <c r="N31" s="54"/>
      <c r="O31" s="54"/>
      <c r="P31" s="54"/>
      <c r="Q31" s="54"/>
      <c r="R31" s="54"/>
      <c r="S31" s="54"/>
    </row>
    <row r="32" spans="2:19" ht="30" x14ac:dyDescent="0.25">
      <c r="B32" s="124" t="str">
        <v>Tally - AWC/CWC North American Laminated veneer Lumber 2013</v>
      </c>
      <c r="C32" s="311">
        <v>547.4</v>
      </c>
      <c r="D32" s="311">
        <v>468</v>
      </c>
      <c r="E32" s="311">
        <f t="shared" si="0"/>
        <v>290.80171691999999</v>
      </c>
      <c r="F32" s="40" t="s">
        <v>159</v>
      </c>
      <c r="G32" s="54"/>
      <c r="H32" s="54"/>
      <c r="I32" s="54"/>
      <c r="J32" s="54"/>
      <c r="K32" s="54"/>
      <c r="L32" s="54"/>
      <c r="M32" s="54"/>
      <c r="N32" s="54"/>
      <c r="O32" s="54"/>
      <c r="P32" s="54"/>
      <c r="Q32" s="54"/>
      <c r="R32" s="54"/>
      <c r="S32" s="54"/>
    </row>
    <row r="33" spans="2:19" x14ac:dyDescent="0.25">
      <c r="B33" s="124" t="str">
        <v>AWC/CWC Laminated Veneer Lumber 2020</v>
      </c>
      <c r="C33" s="311">
        <v>544.5</v>
      </c>
      <c r="D33" s="311">
        <v>468</v>
      </c>
      <c r="E33" s="311">
        <f t="shared" si="0"/>
        <v>290.80171691999999</v>
      </c>
      <c r="F33" s="40" t="s">
        <v>159</v>
      </c>
      <c r="G33" s="54"/>
      <c r="H33" s="54"/>
      <c r="I33" s="54"/>
      <c r="J33" s="54"/>
      <c r="K33" s="54"/>
      <c r="L33" s="54"/>
      <c r="M33" s="54"/>
      <c r="N33" s="54"/>
      <c r="O33" s="54"/>
      <c r="P33" s="54"/>
      <c r="Q33" s="54"/>
      <c r="R33" s="54"/>
      <c r="S33" s="54"/>
    </row>
    <row r="34" spans="2:19" ht="30" x14ac:dyDescent="0.25">
      <c r="B34" s="124" t="str">
        <v>Tally's LVL Proxy (AWC/CWC North American Laminated veneer Lumber 2013  )</v>
      </c>
      <c r="C34" s="311">
        <v>628.6</v>
      </c>
      <c r="D34" s="311">
        <v>468</v>
      </c>
      <c r="E34" s="311">
        <f t="shared" si="0"/>
        <v>290.80171691999999</v>
      </c>
      <c r="F34" s="40" t="s">
        <v>159</v>
      </c>
    </row>
    <row r="35" spans="2:19" ht="30" x14ac:dyDescent="0.25">
      <c r="B35" s="124" t="str">
        <v>Tally - US: Dry rough lumber, at kiln, PNW and SE USLCI/PE (2009)</v>
      </c>
      <c r="C35" s="311">
        <v>529.70000000000005</v>
      </c>
      <c r="D35" s="311">
        <v>383</v>
      </c>
      <c r="E35" s="311">
        <f t="shared" si="0"/>
        <v>237.98516576999998</v>
      </c>
      <c r="F35" s="40" t="s">
        <v>159</v>
      </c>
    </row>
    <row r="36" spans="2:19" ht="30" x14ac:dyDescent="0.25">
      <c r="B36" s="124" t="str">
        <v>Tally - AWC/CWC North American Softwood lumber 2013</v>
      </c>
      <c r="C36" s="311">
        <v>434.4</v>
      </c>
      <c r="D36" s="311">
        <v>383</v>
      </c>
      <c r="E36" s="311">
        <f t="shared" si="0"/>
        <v>237.98516576999998</v>
      </c>
      <c r="F36" s="40" t="s">
        <v>159</v>
      </c>
    </row>
    <row r="37" spans="2:19" x14ac:dyDescent="0.25">
      <c r="B37" s="124" t="str">
        <v>AWC/CWC North American Softwood lumber 2020</v>
      </c>
      <c r="C37" s="311">
        <v>460.18</v>
      </c>
      <c r="D37" s="311">
        <v>383</v>
      </c>
      <c r="E37" s="311">
        <f t="shared" si="0"/>
        <v>237.98516576999998</v>
      </c>
      <c r="F37" s="40" t="s">
        <v>159</v>
      </c>
    </row>
    <row r="38" spans="2:19" ht="15.75" thickBot="1" x14ac:dyDescent="0.3">
      <c r="B38" s="34">
        <v>0</v>
      </c>
      <c r="C38" s="42"/>
      <c r="D38" s="42"/>
      <c r="E38" s="42"/>
      <c r="F38" s="43"/>
    </row>
  </sheetData>
  <conditionalFormatting sqref="N4 N7">
    <cfRule type="dataBar" priority="5">
      <dataBar>
        <cfvo type="min"/>
        <cfvo type="max"/>
        <color rgb="FF638EC6"/>
      </dataBar>
      <extLst>
        <ext xmlns:x14="http://schemas.microsoft.com/office/spreadsheetml/2009/9/main" uri="{B025F937-C7B1-47D3-B67F-A62EFF666E3E}">
          <x14:id>{4FA23BC0-862F-41F0-AA24-58038DF4927D}</x14:id>
        </ext>
      </extLst>
    </cfRule>
  </conditionalFormatting>
  <conditionalFormatting sqref="N5">
    <cfRule type="dataBar" priority="4">
      <dataBar>
        <cfvo type="min"/>
        <cfvo type="max"/>
        <color rgb="FF638EC6"/>
      </dataBar>
      <extLst>
        <ext xmlns:x14="http://schemas.microsoft.com/office/spreadsheetml/2009/9/main" uri="{B025F937-C7B1-47D3-B67F-A62EFF666E3E}">
          <x14:id>{9790B681-B7C0-4559-B1F2-5E034DA73942}</x14:id>
        </ext>
      </extLst>
    </cfRule>
  </conditionalFormatting>
  <conditionalFormatting sqref="N6">
    <cfRule type="dataBar" priority="3">
      <dataBar>
        <cfvo type="min"/>
        <cfvo type="max"/>
        <color rgb="FF638EC6"/>
      </dataBar>
      <extLst>
        <ext xmlns:x14="http://schemas.microsoft.com/office/spreadsheetml/2009/9/main" uri="{B025F937-C7B1-47D3-B67F-A62EFF666E3E}">
          <x14:id>{8B7E04D4-2B62-4C15-B8B6-630DFC5EADF9}</x14:id>
        </ext>
      </extLst>
    </cfRule>
  </conditionalFormatting>
  <conditionalFormatting sqref="O25">
    <cfRule type="dataBar" priority="2">
      <dataBar>
        <cfvo type="min"/>
        <cfvo type="max"/>
        <color rgb="FF638EC6"/>
      </dataBar>
      <extLst>
        <ext xmlns:x14="http://schemas.microsoft.com/office/spreadsheetml/2009/9/main" uri="{B025F937-C7B1-47D3-B67F-A62EFF666E3E}">
          <x14:id>{6792ACE8-CA8B-4801-93FD-C199C9B93EC5}</x14:id>
        </ext>
      </extLst>
    </cfRule>
  </conditionalFormatting>
  <conditionalFormatting sqref="B9:B13">
    <cfRule type="duplicateValues" dxfId="0" priority="1"/>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4FA23BC0-862F-41F0-AA24-58038DF4927D}">
            <x14:dataBar minLength="0" maxLength="100">
              <x14:cfvo type="min"/>
              <x14:cfvo type="max"/>
              <x14:negativeFillColor rgb="FFFF0000"/>
              <x14:axisColor rgb="FF000000"/>
            </x14:dataBar>
          </x14:cfRule>
          <xm:sqref>N4 N7</xm:sqref>
        </x14:conditionalFormatting>
        <x14:conditionalFormatting xmlns:xm="http://schemas.microsoft.com/office/excel/2006/main">
          <x14:cfRule type="dataBar" id="{9790B681-B7C0-4559-B1F2-5E034DA73942}">
            <x14:dataBar minLength="0" maxLength="100">
              <x14:cfvo type="min"/>
              <x14:cfvo type="max"/>
              <x14:negativeFillColor rgb="FFFF0000"/>
              <x14:axisColor rgb="FF000000"/>
            </x14:dataBar>
          </x14:cfRule>
          <xm:sqref>N5</xm:sqref>
        </x14:conditionalFormatting>
        <x14:conditionalFormatting xmlns:xm="http://schemas.microsoft.com/office/excel/2006/main">
          <x14:cfRule type="dataBar" id="{8B7E04D4-2B62-4C15-B8B6-630DFC5EADF9}">
            <x14:dataBar minLength="0" maxLength="100">
              <x14:cfvo type="min"/>
              <x14:cfvo type="max"/>
              <x14:negativeFillColor rgb="FFFF0000"/>
              <x14:axisColor rgb="FF000000"/>
            </x14:dataBar>
          </x14:cfRule>
          <xm:sqref>N6</xm:sqref>
        </x14:conditionalFormatting>
        <x14:conditionalFormatting xmlns:xm="http://schemas.microsoft.com/office/excel/2006/main">
          <x14:cfRule type="dataBar" id="{6792ACE8-CA8B-4801-93FD-C199C9B93EC5}">
            <x14:dataBar minLength="0" maxLength="100">
              <x14:cfvo type="min"/>
              <x14:cfvo type="max"/>
              <x14:negativeFillColor rgb="FFFF0000"/>
              <x14:axisColor rgb="FF000000"/>
            </x14:dataBar>
          </x14:cfRule>
          <xm:sqref>O25</xm:sqref>
        </x14:conditionalFormatting>
      </x14:conditionalFormatting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03EFB-288E-42D8-8F1B-1221E5092114}">
  <dimension ref="B1:BI37"/>
  <sheetViews>
    <sheetView workbookViewId="0"/>
  </sheetViews>
  <sheetFormatPr defaultRowHeight="15" x14ac:dyDescent="0.25"/>
  <cols>
    <col min="2" max="2" width="11.42578125" customWidth="1"/>
    <col min="3" max="3" width="11.42578125" style="21" customWidth="1"/>
    <col min="4" max="4" width="19.5703125" customWidth="1"/>
    <col min="5" max="5" width="24.7109375" customWidth="1"/>
    <col min="6" max="6" width="20.42578125" customWidth="1"/>
    <col min="7" max="7" width="13.42578125" customWidth="1"/>
    <col min="9" max="12" width="9" style="54"/>
    <col min="13" max="13" width="14" customWidth="1"/>
    <col min="14" max="14" width="17.140625" customWidth="1"/>
    <col min="16" max="16" width="11.28515625" style="21" customWidth="1"/>
    <col min="17" max="17" width="9" style="21"/>
    <col min="18" max="18" width="12.85546875" style="21" customWidth="1"/>
    <col min="19" max="19" width="9" style="21"/>
    <col min="27" max="27" width="19.7109375" customWidth="1"/>
  </cols>
  <sheetData>
    <row r="1" spans="2:61" s="54" customFormat="1" ht="15.75" thickBot="1" x14ac:dyDescent="0.3">
      <c r="N1" s="54" t="s">
        <v>375</v>
      </c>
    </row>
    <row r="2" spans="2:61" x14ac:dyDescent="0.25">
      <c r="B2" s="54"/>
      <c r="C2" s="54"/>
      <c r="D2" s="54"/>
      <c r="E2" s="54"/>
      <c r="F2" s="54"/>
      <c r="G2" s="54"/>
      <c r="H2" s="54"/>
      <c r="M2" s="54"/>
      <c r="N2" s="227" t="s">
        <v>376</v>
      </c>
      <c r="O2" s="225" t="s">
        <v>377</v>
      </c>
      <c r="P2" s="225" t="s">
        <v>378</v>
      </c>
      <c r="Q2" s="225" t="s">
        <v>379</v>
      </c>
      <c r="R2" s="226" t="s">
        <v>380</v>
      </c>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c r="AU2" s="54"/>
      <c r="AV2" s="54"/>
      <c r="AW2" s="54"/>
      <c r="AX2" s="54"/>
      <c r="AY2" s="54"/>
      <c r="AZ2" s="54"/>
      <c r="BA2" s="54"/>
      <c r="BB2" s="54"/>
      <c r="BC2" s="54"/>
      <c r="BD2" s="54"/>
      <c r="BE2" s="54"/>
      <c r="BF2" s="54"/>
      <c r="BG2" s="54"/>
      <c r="BH2" s="54"/>
      <c r="BI2" s="54"/>
    </row>
    <row r="3" spans="2:61" ht="15.75" thickBot="1" x14ac:dyDescent="0.3">
      <c r="B3" s="54"/>
      <c r="C3" s="54"/>
      <c r="D3" s="54"/>
      <c r="E3" s="54"/>
      <c r="F3" s="54"/>
      <c r="G3" s="54"/>
      <c r="H3" s="54"/>
      <c r="M3" s="54"/>
      <c r="N3" s="443" t="s">
        <v>387</v>
      </c>
      <c r="O3" s="444"/>
      <c r="P3" s="444"/>
      <c r="Q3" s="444"/>
      <c r="R3" s="445"/>
      <c r="S3" s="54"/>
      <c r="T3" s="54"/>
      <c r="U3" s="54"/>
      <c r="V3" s="54"/>
      <c r="W3" s="54"/>
      <c r="X3" s="54"/>
      <c r="Y3" s="54"/>
      <c r="Z3" s="54"/>
      <c r="AA3" s="54"/>
      <c r="AB3" s="54"/>
      <c r="AC3" s="54" t="s">
        <v>381</v>
      </c>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row>
    <row r="4" spans="2:61" ht="15.75" thickBot="1" x14ac:dyDescent="0.3">
      <c r="B4" s="54"/>
      <c r="C4" s="54"/>
      <c r="D4" s="54"/>
      <c r="E4" s="54"/>
      <c r="F4" s="54"/>
      <c r="G4" s="54"/>
      <c r="H4" s="54"/>
      <c r="M4" s="54"/>
      <c r="N4" s="54"/>
      <c r="O4" s="54"/>
      <c r="P4" s="54"/>
      <c r="Q4" s="54"/>
      <c r="R4" s="54"/>
      <c r="S4" s="54"/>
      <c r="T4" s="54"/>
      <c r="U4" s="54"/>
      <c r="V4" s="54"/>
      <c r="W4" s="54"/>
      <c r="X4" s="54"/>
      <c r="Y4" s="54"/>
      <c r="Z4" s="54"/>
      <c r="AA4" s="54"/>
      <c r="AB4" s="38"/>
      <c r="AC4" s="38"/>
      <c r="AD4" s="218"/>
      <c r="AE4" s="205"/>
      <c r="AF4" s="205"/>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row>
    <row r="5" spans="2:61" x14ac:dyDescent="0.25">
      <c r="B5" s="220" t="s">
        <v>69</v>
      </c>
      <c r="C5" s="221" t="s">
        <v>198</v>
      </c>
      <c r="D5" s="221" t="s">
        <v>382</v>
      </c>
      <c r="E5" s="221" t="s">
        <v>169</v>
      </c>
      <c r="F5" s="221" t="s">
        <v>383</v>
      </c>
      <c r="G5" s="222" t="s">
        <v>384</v>
      </c>
      <c r="H5" s="56"/>
      <c r="I5" s="56"/>
      <c r="J5" s="56"/>
      <c r="K5" s="56"/>
      <c r="L5" s="56"/>
      <c r="M5" s="54"/>
      <c r="N5" s="223" t="s">
        <v>385</v>
      </c>
      <c r="O5" s="224" t="s">
        <v>51</v>
      </c>
      <c r="P5" s="228" t="s">
        <v>386</v>
      </c>
      <c r="Q5" s="54"/>
      <c r="R5" s="54"/>
      <c r="S5" s="54"/>
      <c r="T5" s="54"/>
      <c r="U5" s="54"/>
      <c r="V5" s="54"/>
      <c r="W5" s="54"/>
      <c r="X5" s="54"/>
      <c r="Y5" s="54"/>
      <c r="Z5" s="54"/>
      <c r="AA5" s="54"/>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row>
    <row r="6" spans="2:61" ht="15.75" thickBot="1" x14ac:dyDescent="0.3">
      <c r="B6" s="441"/>
      <c r="C6" s="446" t="s">
        <v>387</v>
      </c>
      <c r="D6" s="446"/>
      <c r="E6" s="446"/>
      <c r="F6" s="446"/>
      <c r="G6" s="447"/>
      <c r="H6" s="56"/>
      <c r="I6" s="56"/>
      <c r="J6" s="56"/>
      <c r="K6" s="56"/>
      <c r="L6" s="56"/>
      <c r="M6" s="54"/>
      <c r="N6" s="41"/>
      <c r="O6" s="42">
        <f>'Scenario 1 - Calc Sheet'!B100</f>
        <v>0</v>
      </c>
      <c r="P6" s="43" t="e">
        <f>O6*'Calculation Factors m3 trans'!G3*'Scenario 1 - Calc Sheet'!B25</f>
        <v>#VALUE!</v>
      </c>
      <c r="Q6" s="54"/>
      <c r="R6" s="54"/>
      <c r="S6" s="54"/>
      <c r="T6" s="54"/>
      <c r="U6" s="54"/>
      <c r="V6" s="54"/>
      <c r="W6" s="54"/>
      <c r="X6" s="54"/>
      <c r="Y6" s="54"/>
      <c r="Z6" s="54"/>
      <c r="AA6" s="54"/>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row>
    <row r="7" spans="2:61" x14ac:dyDescent="0.25">
      <c r="B7" s="441"/>
      <c r="C7" s="446"/>
      <c r="D7" s="446"/>
      <c r="E7" s="446"/>
      <c r="F7" s="446"/>
      <c r="G7" s="447"/>
      <c r="H7" s="56"/>
      <c r="I7" s="56"/>
      <c r="J7" s="56"/>
      <c r="K7" s="56"/>
      <c r="L7" s="56"/>
      <c r="M7" s="54"/>
      <c r="N7" s="54"/>
      <c r="O7" s="54"/>
      <c r="P7" s="54"/>
      <c r="Q7" s="54"/>
      <c r="R7" s="54"/>
      <c r="S7" s="54"/>
      <c r="T7" s="54"/>
      <c r="U7" s="54"/>
      <c r="V7" s="54"/>
      <c r="W7" s="54"/>
      <c r="X7" s="54"/>
      <c r="Y7" s="54"/>
      <c r="Z7" s="54"/>
      <c r="AA7" s="54"/>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row>
    <row r="8" spans="2:61" s="21" customFormat="1" x14ac:dyDescent="0.25">
      <c r="B8" s="441"/>
      <c r="C8" s="446"/>
      <c r="D8" s="446"/>
      <c r="E8" s="446"/>
      <c r="F8" s="446"/>
      <c r="G8" s="447"/>
      <c r="H8" s="56"/>
      <c r="I8" s="56"/>
      <c r="J8" s="56"/>
      <c r="K8" s="56"/>
      <c r="L8" s="56"/>
      <c r="M8" s="54"/>
      <c r="N8" s="54"/>
      <c r="O8" s="54"/>
      <c r="P8" s="54"/>
      <c r="Q8" s="54"/>
      <c r="R8" s="54"/>
      <c r="S8" s="54"/>
      <c r="T8" s="54"/>
      <c r="U8" s="54"/>
      <c r="V8" s="54"/>
      <c r="W8" s="54"/>
      <c r="X8" s="54"/>
      <c r="Y8" s="54"/>
      <c r="Z8" s="54"/>
      <c r="AA8" s="54"/>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row>
    <row r="9" spans="2:61" x14ac:dyDescent="0.25">
      <c r="B9" s="441"/>
      <c r="C9" s="446"/>
      <c r="D9" s="446"/>
      <c r="E9" s="446"/>
      <c r="F9" s="446"/>
      <c r="G9" s="447"/>
      <c r="H9" s="56"/>
      <c r="I9" s="56"/>
      <c r="J9" s="56"/>
      <c r="K9" s="56"/>
      <c r="L9" s="56"/>
      <c r="M9" s="54"/>
      <c r="N9" s="54"/>
      <c r="O9" s="54"/>
      <c r="P9" s="54"/>
      <c r="Q9" s="54"/>
      <c r="R9" s="450"/>
      <c r="S9" s="450"/>
      <c r="T9" s="54"/>
      <c r="U9" s="54"/>
      <c r="V9" s="54"/>
      <c r="W9" s="54"/>
      <c r="X9" s="54"/>
      <c r="Y9" s="54"/>
      <c r="Z9" s="54"/>
      <c r="AA9" s="54"/>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row>
    <row r="10" spans="2:61" x14ac:dyDescent="0.25">
      <c r="B10" s="441"/>
      <c r="C10" s="446"/>
      <c r="D10" s="446"/>
      <c r="E10" s="446"/>
      <c r="F10" s="446"/>
      <c r="G10" s="447"/>
      <c r="H10" s="56"/>
      <c r="I10" s="56"/>
      <c r="J10" s="56"/>
      <c r="K10" s="56"/>
      <c r="L10" s="56"/>
      <c r="M10" s="54"/>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row>
    <row r="11" spans="2:61" s="21" customFormat="1" x14ac:dyDescent="0.25">
      <c r="B11" s="441"/>
      <c r="C11" s="446"/>
      <c r="D11" s="446"/>
      <c r="E11" s="446"/>
      <c r="F11" s="446"/>
      <c r="G11" s="447"/>
      <c r="H11" s="56"/>
      <c r="I11" s="56"/>
      <c r="J11" s="56"/>
      <c r="K11" s="56"/>
      <c r="L11" s="56"/>
      <c r="M11" s="54"/>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row>
    <row r="12" spans="2:61" s="21" customFormat="1" x14ac:dyDescent="0.25">
      <c r="B12" s="441"/>
      <c r="C12" s="446"/>
      <c r="D12" s="446"/>
      <c r="E12" s="446"/>
      <c r="F12" s="446"/>
      <c r="G12" s="447"/>
      <c r="H12" s="56"/>
      <c r="I12" s="56"/>
      <c r="J12" s="56"/>
      <c r="K12" s="56"/>
      <c r="L12" s="56"/>
      <c r="M12" s="54"/>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row>
    <row r="13" spans="2:61" s="21" customFormat="1" ht="15.75" thickBot="1" x14ac:dyDescent="0.3">
      <c r="B13" s="442"/>
      <c r="C13" s="448"/>
      <c r="D13" s="448"/>
      <c r="E13" s="448"/>
      <c r="F13" s="448"/>
      <c r="G13" s="449"/>
      <c r="H13" s="56"/>
      <c r="I13" s="56"/>
      <c r="J13" s="56"/>
      <c r="K13" s="56"/>
      <c r="L13" s="56"/>
      <c r="M13" s="54"/>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row>
    <row r="14" spans="2:61" s="21" customFormat="1" ht="15.75" thickBot="1" x14ac:dyDescent="0.3">
      <c r="B14" s="38"/>
      <c r="C14" s="38"/>
      <c r="D14" s="38"/>
      <c r="E14" s="38"/>
      <c r="F14" s="38"/>
      <c r="G14" s="38"/>
      <c r="H14" s="56"/>
      <c r="I14" s="56"/>
      <c r="J14" s="56"/>
      <c r="K14" s="56"/>
      <c r="L14" s="56"/>
      <c r="M14" s="54"/>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row>
    <row r="15" spans="2:61" x14ac:dyDescent="0.25">
      <c r="B15" s="223"/>
      <c r="C15" s="224"/>
      <c r="D15" s="221" t="s">
        <v>382</v>
      </c>
      <c r="E15" s="221" t="s">
        <v>388</v>
      </c>
      <c r="F15" s="221" t="s">
        <v>389</v>
      </c>
      <c r="G15" s="221" t="s">
        <v>390</v>
      </c>
      <c r="H15" s="225" t="s">
        <v>376</v>
      </c>
      <c r="I15" s="225" t="s">
        <v>377</v>
      </c>
      <c r="J15" s="225" t="s">
        <v>378</v>
      </c>
      <c r="K15" s="225" t="s">
        <v>379</v>
      </c>
      <c r="L15" s="226" t="s">
        <v>380</v>
      </c>
      <c r="M15" s="54"/>
      <c r="N15" s="38"/>
      <c r="O15" s="132"/>
      <c r="P15" s="132"/>
      <c r="Q15" s="132"/>
      <c r="R15" s="132"/>
      <c r="S15" s="132"/>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row>
    <row r="16" spans="2:61" x14ac:dyDescent="0.25">
      <c r="B16" s="441"/>
      <c r="C16" s="446" t="s">
        <v>387</v>
      </c>
      <c r="D16" s="446"/>
      <c r="E16" s="446"/>
      <c r="F16" s="446"/>
      <c r="G16" s="446"/>
      <c r="H16" s="446"/>
      <c r="I16" s="446"/>
      <c r="J16" s="446"/>
      <c r="K16" s="446"/>
      <c r="L16" s="447"/>
      <c r="M16" s="54"/>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row>
    <row r="17" spans="2:61" x14ac:dyDescent="0.25">
      <c r="B17" s="441"/>
      <c r="C17" s="446"/>
      <c r="D17" s="446"/>
      <c r="E17" s="446"/>
      <c r="F17" s="446"/>
      <c r="G17" s="446"/>
      <c r="H17" s="446"/>
      <c r="I17" s="446"/>
      <c r="J17" s="446"/>
      <c r="K17" s="446"/>
      <c r="L17" s="447"/>
      <c r="M17" s="54"/>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38"/>
      <c r="BG17" s="38"/>
      <c r="BH17" s="38"/>
      <c r="BI17" s="38"/>
    </row>
    <row r="18" spans="2:61" x14ac:dyDescent="0.25">
      <c r="B18" s="441"/>
      <c r="C18" s="446"/>
      <c r="D18" s="446"/>
      <c r="E18" s="446"/>
      <c r="F18" s="446"/>
      <c r="G18" s="446"/>
      <c r="H18" s="446"/>
      <c r="I18" s="446"/>
      <c r="J18" s="446"/>
      <c r="K18" s="446"/>
      <c r="L18" s="447"/>
      <c r="M18" s="54"/>
      <c r="N18" s="38"/>
      <c r="O18" s="38"/>
      <c r="P18" s="38"/>
      <c r="Q18" s="38"/>
      <c r="R18" s="38"/>
      <c r="S18" s="38"/>
      <c r="T18" s="38"/>
      <c r="U18" s="38"/>
      <c r="V18" s="38"/>
      <c r="W18" s="38"/>
      <c r="X18" s="38"/>
      <c r="Y18" s="38"/>
      <c r="Z18" s="38"/>
      <c r="AA18" s="38"/>
      <c r="AB18" s="38"/>
      <c r="AC18" s="38"/>
      <c r="AD18" s="38"/>
      <c r="AE18" s="38"/>
      <c r="AF18" s="38"/>
      <c r="AG18" s="38"/>
      <c r="AH18" s="38"/>
      <c r="AI18" s="219"/>
      <c r="AJ18" s="38"/>
      <c r="AK18" s="38"/>
      <c r="AL18" s="38"/>
      <c r="AM18" s="38"/>
      <c r="AN18" s="38"/>
      <c r="AO18" s="38"/>
      <c r="AP18" s="38"/>
      <c r="AQ18" s="38"/>
      <c r="AR18" s="38"/>
      <c r="AS18" s="38"/>
      <c r="AT18" s="38"/>
      <c r="AU18" s="38"/>
      <c r="AV18" s="38"/>
      <c r="AW18" s="38"/>
      <c r="AX18" s="219"/>
      <c r="AY18" s="219"/>
      <c r="AZ18" s="38"/>
      <c r="BA18" s="38"/>
      <c r="BB18" s="38"/>
      <c r="BC18" s="38"/>
      <c r="BD18" s="38"/>
      <c r="BE18" s="38"/>
      <c r="BF18" s="38"/>
      <c r="BG18" s="38"/>
      <c r="BH18" s="38"/>
      <c r="BI18" s="38"/>
    </row>
    <row r="19" spans="2:61" x14ac:dyDescent="0.25">
      <c r="B19" s="441"/>
      <c r="C19" s="446"/>
      <c r="D19" s="446"/>
      <c r="E19" s="446"/>
      <c r="F19" s="446"/>
      <c r="G19" s="446"/>
      <c r="H19" s="446"/>
      <c r="I19" s="446"/>
      <c r="J19" s="446"/>
      <c r="K19" s="446"/>
      <c r="L19" s="447"/>
      <c r="M19" s="54"/>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219"/>
      <c r="AY19" s="219"/>
      <c r="AZ19" s="38"/>
      <c r="BA19" s="38"/>
      <c r="BB19" s="38"/>
      <c r="BC19" s="38"/>
      <c r="BD19" s="38"/>
      <c r="BE19" s="38"/>
      <c r="BF19" s="38"/>
      <c r="BG19" s="38"/>
      <c r="BH19" s="38"/>
      <c r="BI19" s="38"/>
    </row>
    <row r="20" spans="2:61" x14ac:dyDescent="0.25">
      <c r="B20" s="441"/>
      <c r="C20" s="446"/>
      <c r="D20" s="446"/>
      <c r="E20" s="446"/>
      <c r="F20" s="446"/>
      <c r="G20" s="446"/>
      <c r="H20" s="446"/>
      <c r="I20" s="446"/>
      <c r="J20" s="446"/>
      <c r="K20" s="446"/>
      <c r="L20" s="447"/>
      <c r="M20" s="54"/>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8"/>
      <c r="BA20" s="38"/>
      <c r="BB20" s="38"/>
      <c r="BC20" s="38"/>
      <c r="BD20" s="38"/>
      <c r="BE20" s="38"/>
      <c r="BF20" s="38"/>
      <c r="BG20" s="38"/>
      <c r="BH20" s="38"/>
      <c r="BI20" s="38"/>
    </row>
    <row r="21" spans="2:61" x14ac:dyDescent="0.25">
      <c r="B21" s="441"/>
      <c r="C21" s="446"/>
      <c r="D21" s="446"/>
      <c r="E21" s="446"/>
      <c r="F21" s="446"/>
      <c r="G21" s="446"/>
      <c r="H21" s="446"/>
      <c r="I21" s="446"/>
      <c r="J21" s="446"/>
      <c r="K21" s="446"/>
      <c r="L21" s="447"/>
      <c r="M21" s="54"/>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c r="BE21" s="38"/>
      <c r="BF21" s="38"/>
      <c r="BG21" s="38"/>
      <c r="BH21" s="38"/>
      <c r="BI21" s="38"/>
    </row>
    <row r="22" spans="2:61" x14ac:dyDescent="0.25">
      <c r="B22" s="441"/>
      <c r="C22" s="446"/>
      <c r="D22" s="446"/>
      <c r="E22" s="446"/>
      <c r="F22" s="446"/>
      <c r="G22" s="446"/>
      <c r="H22" s="446"/>
      <c r="I22" s="446"/>
      <c r="J22" s="446"/>
      <c r="K22" s="446"/>
      <c r="L22" s="447"/>
      <c r="M22" s="54"/>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c r="BC22" s="38"/>
      <c r="BD22" s="38"/>
      <c r="BE22" s="38"/>
      <c r="BF22" s="38"/>
      <c r="BG22" s="38"/>
      <c r="BH22" s="38"/>
      <c r="BI22" s="38"/>
    </row>
    <row r="23" spans="2:61" ht="15.75" thickBot="1" x14ac:dyDescent="0.3">
      <c r="B23" s="442"/>
      <c r="C23" s="448"/>
      <c r="D23" s="448"/>
      <c r="E23" s="448"/>
      <c r="F23" s="448"/>
      <c r="G23" s="448"/>
      <c r="H23" s="448"/>
      <c r="I23" s="448"/>
      <c r="J23" s="448"/>
      <c r="K23" s="448"/>
      <c r="L23" s="449"/>
      <c r="M23" s="54"/>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8"/>
      <c r="BE23" s="38"/>
      <c r="BF23" s="38"/>
      <c r="BG23" s="38"/>
      <c r="BH23" s="38"/>
      <c r="BI23" s="38"/>
    </row>
    <row r="24" spans="2:61" ht="15.75" thickBot="1" x14ac:dyDescent="0.3">
      <c r="B24" s="54"/>
      <c r="C24" s="54"/>
      <c r="D24" s="54"/>
      <c r="E24" s="54"/>
      <c r="F24" s="54"/>
      <c r="G24" s="54"/>
      <c r="H24" s="54"/>
      <c r="M24" s="54"/>
      <c r="N24" s="38"/>
      <c r="O24" s="38"/>
      <c r="P24" s="38"/>
      <c r="Q24" s="38"/>
      <c r="R24" s="367"/>
      <c r="S24" s="367"/>
      <c r="T24" s="367"/>
      <c r="U24" s="367"/>
      <c r="V24" s="367"/>
      <c r="W24" s="367"/>
      <c r="X24" s="367"/>
      <c r="Y24" s="367"/>
      <c r="Z24" s="367"/>
      <c r="AA24" s="367"/>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8"/>
      <c r="BE24" s="38"/>
      <c r="BF24" s="38"/>
      <c r="BG24" s="38"/>
      <c r="BH24" s="38"/>
      <c r="BI24" s="38"/>
    </row>
    <row r="25" spans="2:61" x14ac:dyDescent="0.25">
      <c r="B25" s="223"/>
      <c r="C25" s="224"/>
      <c r="D25" s="221" t="s">
        <v>382</v>
      </c>
      <c r="E25" s="221" t="s">
        <v>169</v>
      </c>
      <c r="F25" s="221" t="s">
        <v>391</v>
      </c>
      <c r="G25" s="225" t="s">
        <v>392</v>
      </c>
      <c r="H25" s="225" t="s">
        <v>393</v>
      </c>
      <c r="I25" s="225" t="s">
        <v>378</v>
      </c>
      <c r="J25" s="225" t="s">
        <v>394</v>
      </c>
      <c r="K25" s="226" t="s">
        <v>395</v>
      </c>
      <c r="M25" s="54"/>
      <c r="N25" s="38"/>
      <c r="O25" s="38"/>
      <c r="P25" s="38"/>
      <c r="Q25" s="38"/>
      <c r="R25" s="132"/>
      <c r="S25" s="132"/>
      <c r="T25" s="132"/>
      <c r="U25" s="132"/>
      <c r="V25" s="132"/>
      <c r="W25" s="132"/>
      <c r="X25" s="132"/>
      <c r="Y25" s="132"/>
      <c r="Z25" s="132"/>
      <c r="AA25" s="132"/>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8"/>
      <c r="BA25" s="38"/>
      <c r="BB25" s="38"/>
      <c r="BC25" s="38"/>
      <c r="BD25" s="38"/>
      <c r="BE25" s="38"/>
      <c r="BF25" s="38"/>
      <c r="BG25" s="38"/>
      <c r="BH25" s="38"/>
      <c r="BI25" s="38"/>
    </row>
    <row r="26" spans="2:61" x14ac:dyDescent="0.25">
      <c r="B26" s="441"/>
      <c r="C26" s="446" t="s">
        <v>387</v>
      </c>
      <c r="D26" s="446"/>
      <c r="E26" s="446"/>
      <c r="F26" s="446"/>
      <c r="G26" s="446"/>
      <c r="H26" s="446"/>
      <c r="I26" s="446"/>
      <c r="J26" s="446"/>
      <c r="K26" s="447"/>
      <c r="M26" s="54"/>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38"/>
      <c r="BG26" s="38"/>
      <c r="BH26" s="38"/>
      <c r="BI26" s="38"/>
    </row>
    <row r="27" spans="2:61" x14ac:dyDescent="0.25">
      <c r="B27" s="441"/>
      <c r="C27" s="446"/>
      <c r="D27" s="446"/>
      <c r="E27" s="446"/>
      <c r="F27" s="446"/>
      <c r="G27" s="446"/>
      <c r="H27" s="446"/>
      <c r="I27" s="446"/>
      <c r="J27" s="446"/>
      <c r="K27" s="447"/>
      <c r="M27" s="54"/>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c r="BE27" s="38"/>
      <c r="BF27" s="38"/>
      <c r="BG27" s="38"/>
      <c r="BH27" s="38"/>
      <c r="BI27" s="38"/>
    </row>
    <row r="28" spans="2:61" x14ac:dyDescent="0.25">
      <c r="B28" s="441"/>
      <c r="C28" s="446"/>
      <c r="D28" s="446"/>
      <c r="E28" s="446"/>
      <c r="F28" s="446"/>
      <c r="G28" s="446"/>
      <c r="H28" s="446"/>
      <c r="I28" s="446"/>
      <c r="J28" s="446"/>
      <c r="K28" s="447"/>
      <c r="M28" s="54"/>
      <c r="N28" s="38"/>
      <c r="O28" s="38"/>
      <c r="P28" s="38"/>
      <c r="Q28" s="38"/>
      <c r="R28" s="38"/>
      <c r="S28" s="38"/>
      <c r="T28" s="38"/>
      <c r="U28" s="38"/>
      <c r="V28" s="38"/>
      <c r="W28" s="38"/>
      <c r="X28" s="38"/>
      <c r="Y28" s="38"/>
      <c r="Z28" s="38"/>
      <c r="AA28" s="38"/>
      <c r="AB28" s="38"/>
      <c r="AC28" s="54"/>
      <c r="AD28" s="54"/>
      <c r="AE28" s="54"/>
      <c r="AF28" s="54"/>
      <c r="AG28" s="54"/>
      <c r="AH28" s="54"/>
      <c r="AI28" s="54"/>
      <c r="AJ28" s="54"/>
      <c r="AK28" s="54"/>
      <c r="AL28" s="54"/>
      <c r="AM28" s="54"/>
      <c r="AN28" s="54"/>
      <c r="AO28" s="54"/>
      <c r="AP28" s="54"/>
      <c r="AQ28" s="54"/>
      <c r="AR28" s="54"/>
      <c r="AS28" s="54"/>
      <c r="AT28" s="54"/>
      <c r="AU28" s="54"/>
      <c r="AV28" s="54"/>
      <c r="AW28" s="54"/>
      <c r="AX28" s="54"/>
      <c r="AY28" s="54"/>
      <c r="AZ28" s="54"/>
      <c r="BA28" s="54"/>
      <c r="BB28" s="54"/>
      <c r="BC28" s="54"/>
      <c r="BD28" s="54"/>
      <c r="BE28" s="54"/>
      <c r="BF28" s="54"/>
      <c r="BG28" s="54"/>
      <c r="BH28" s="54"/>
      <c r="BI28" s="54"/>
    </row>
    <row r="29" spans="2:61" x14ac:dyDescent="0.25">
      <c r="B29" s="441"/>
      <c r="C29" s="446"/>
      <c r="D29" s="446"/>
      <c r="E29" s="446"/>
      <c r="F29" s="446"/>
      <c r="G29" s="446"/>
      <c r="H29" s="446"/>
      <c r="I29" s="446"/>
      <c r="J29" s="446"/>
      <c r="K29" s="447"/>
      <c r="M29" s="54"/>
      <c r="N29" s="38"/>
      <c r="O29" s="38"/>
      <c r="P29" s="38"/>
      <c r="Q29" s="38"/>
      <c r="R29" s="38"/>
      <c r="S29" s="38"/>
      <c r="T29" s="38"/>
      <c r="U29" s="133"/>
      <c r="V29" s="38"/>
      <c r="W29" s="38"/>
      <c r="X29" s="38"/>
      <c r="Y29" s="38"/>
      <c r="Z29" s="38"/>
      <c r="AA29" s="38"/>
      <c r="AB29" s="38"/>
      <c r="AC29" s="54"/>
      <c r="AD29" s="54"/>
      <c r="AE29" s="54"/>
      <c r="AF29" s="54"/>
      <c r="AG29" s="54"/>
      <c r="AH29" s="54"/>
      <c r="AI29" s="54"/>
      <c r="AJ29" s="54"/>
      <c r="AK29" s="54"/>
      <c r="AL29" s="54"/>
      <c r="AM29" s="54"/>
      <c r="AN29" s="54"/>
      <c r="AO29" s="54"/>
      <c r="AP29" s="54"/>
      <c r="AQ29" s="54"/>
      <c r="AR29" s="54"/>
      <c r="AS29" s="54"/>
      <c r="AT29" s="54"/>
      <c r="AU29" s="54"/>
      <c r="AV29" s="54"/>
      <c r="AW29" s="54"/>
      <c r="AX29" s="54"/>
      <c r="AY29" s="54"/>
      <c r="AZ29" s="54"/>
      <c r="BA29" s="54"/>
      <c r="BB29" s="54"/>
      <c r="BC29" s="54"/>
      <c r="BD29" s="54"/>
      <c r="BE29" s="54"/>
      <c r="BF29" s="54"/>
      <c r="BG29" s="54"/>
      <c r="BH29" s="54"/>
      <c r="BI29" s="54"/>
    </row>
    <row r="30" spans="2:61" x14ac:dyDescent="0.25">
      <c r="B30" s="441"/>
      <c r="C30" s="446"/>
      <c r="D30" s="446"/>
      <c r="E30" s="446"/>
      <c r="F30" s="446"/>
      <c r="G30" s="446"/>
      <c r="H30" s="446"/>
      <c r="I30" s="446"/>
      <c r="J30" s="446"/>
      <c r="K30" s="447"/>
      <c r="M30" s="54"/>
      <c r="N30" s="38"/>
      <c r="O30" s="38"/>
      <c r="P30" s="38"/>
      <c r="Q30" s="38"/>
      <c r="R30" s="38"/>
      <c r="S30" s="38"/>
      <c r="T30" s="38"/>
      <c r="U30" s="38"/>
      <c r="V30" s="38"/>
      <c r="W30" s="38"/>
      <c r="X30" s="38"/>
      <c r="Y30" s="38"/>
      <c r="Z30" s="38"/>
      <c r="AA30" s="38"/>
      <c r="AB30" s="38"/>
      <c r="AC30" s="54"/>
      <c r="AD30" s="54"/>
      <c r="AE30" s="54"/>
      <c r="AF30" s="54"/>
      <c r="AG30" s="54"/>
      <c r="AH30" s="54"/>
      <c r="AI30" s="54"/>
      <c r="AJ30" s="54"/>
      <c r="AK30" s="54"/>
      <c r="AL30" s="54"/>
      <c r="AM30" s="54"/>
      <c r="AN30" s="54"/>
      <c r="AO30" s="54"/>
      <c r="AP30" s="54"/>
      <c r="AQ30" s="54"/>
      <c r="AR30" s="54"/>
      <c r="AS30" s="54"/>
      <c r="AT30" s="54"/>
      <c r="AU30" s="54"/>
      <c r="AV30" s="54"/>
      <c r="AW30" s="54"/>
      <c r="AX30" s="54"/>
      <c r="AY30" s="54"/>
      <c r="AZ30" s="54"/>
      <c r="BA30" s="54"/>
      <c r="BB30" s="54"/>
      <c r="BC30" s="54"/>
      <c r="BD30" s="54"/>
      <c r="BE30" s="54"/>
      <c r="BF30" s="54"/>
      <c r="BG30" s="54"/>
      <c r="BH30" s="54"/>
      <c r="BI30" s="54"/>
    </row>
    <row r="31" spans="2:61" x14ac:dyDescent="0.25">
      <c r="B31" s="441"/>
      <c r="C31" s="446"/>
      <c r="D31" s="446"/>
      <c r="E31" s="446"/>
      <c r="F31" s="446"/>
      <c r="G31" s="446"/>
      <c r="H31" s="446"/>
      <c r="I31" s="446"/>
      <c r="J31" s="446"/>
      <c r="K31" s="447"/>
      <c r="M31" s="54"/>
      <c r="N31" s="38"/>
      <c r="O31" s="38"/>
      <c r="P31" s="38"/>
      <c r="Q31" s="38"/>
      <c r="R31" s="38"/>
      <c r="S31" s="38"/>
      <c r="T31" s="38"/>
      <c r="U31" s="38"/>
      <c r="V31" s="38"/>
      <c r="W31" s="38"/>
      <c r="X31" s="38"/>
      <c r="Y31" s="38"/>
      <c r="Z31" s="38"/>
      <c r="AA31" s="38"/>
      <c r="AB31" s="38"/>
      <c r="AC31" s="54"/>
      <c r="AD31" s="54"/>
      <c r="AE31" s="54"/>
      <c r="AF31" s="54"/>
      <c r="AG31" s="54"/>
      <c r="AH31" s="54"/>
      <c r="AI31" s="54"/>
      <c r="AJ31" s="54"/>
      <c r="AK31" s="54"/>
      <c r="AL31" s="54"/>
      <c r="AM31" s="54"/>
      <c r="AN31" s="54"/>
      <c r="AO31" s="54"/>
      <c r="AP31" s="54"/>
      <c r="AQ31" s="54"/>
      <c r="AR31" s="54"/>
      <c r="AS31" s="54"/>
      <c r="AT31" s="54"/>
      <c r="AU31" s="54"/>
      <c r="AV31" s="54"/>
      <c r="AW31" s="54"/>
      <c r="AX31" s="54"/>
      <c r="AY31" s="54"/>
      <c r="AZ31" s="54"/>
      <c r="BA31" s="54"/>
      <c r="BB31" s="54"/>
      <c r="BC31" s="54"/>
      <c r="BD31" s="54"/>
      <c r="BE31" s="54"/>
      <c r="BF31" s="54"/>
      <c r="BG31" s="54"/>
      <c r="BH31" s="54"/>
      <c r="BI31" s="54"/>
    </row>
    <row r="32" spans="2:61" x14ac:dyDescent="0.25">
      <c r="B32" s="441"/>
      <c r="C32" s="446"/>
      <c r="D32" s="446"/>
      <c r="E32" s="446"/>
      <c r="F32" s="446"/>
      <c r="G32" s="446"/>
      <c r="H32" s="446"/>
      <c r="I32" s="446"/>
      <c r="J32" s="446"/>
      <c r="K32" s="447"/>
      <c r="M32" s="54"/>
      <c r="N32" s="38"/>
      <c r="O32" s="38"/>
      <c r="P32" s="38"/>
      <c r="Q32" s="38"/>
      <c r="R32" s="38"/>
      <c r="S32" s="38"/>
      <c r="T32" s="38"/>
      <c r="U32" s="38"/>
      <c r="V32" s="38"/>
      <c r="W32" s="38"/>
      <c r="X32" s="38"/>
      <c r="Y32" s="38"/>
      <c r="Z32" s="38"/>
      <c r="AA32" s="38"/>
      <c r="AB32" s="38"/>
      <c r="AC32" s="54"/>
      <c r="AD32" s="54"/>
      <c r="AE32" s="54"/>
      <c r="AF32" s="54"/>
      <c r="AG32" s="54"/>
      <c r="AH32" s="54"/>
      <c r="AI32" s="54"/>
      <c r="AJ32" s="54"/>
      <c r="AK32" s="54"/>
      <c r="AL32" s="54"/>
      <c r="AM32" s="54"/>
      <c r="AN32" s="54"/>
      <c r="AO32" s="54"/>
      <c r="AP32" s="54"/>
      <c r="AQ32" s="54"/>
      <c r="AR32" s="54"/>
      <c r="AS32" s="54"/>
      <c r="AT32" s="54"/>
      <c r="AU32" s="54"/>
      <c r="AV32" s="54"/>
      <c r="AW32" s="54"/>
      <c r="AX32" s="54"/>
      <c r="AY32" s="54"/>
      <c r="AZ32" s="54"/>
      <c r="BA32" s="54"/>
      <c r="BB32" s="54"/>
      <c r="BC32" s="54"/>
      <c r="BD32" s="54"/>
      <c r="BE32" s="54"/>
      <c r="BF32" s="54"/>
      <c r="BG32" s="54"/>
      <c r="BH32" s="54"/>
      <c r="BI32" s="54"/>
    </row>
    <row r="33" spans="2:28" x14ac:dyDescent="0.25">
      <c r="B33" s="441"/>
      <c r="C33" s="446"/>
      <c r="D33" s="446"/>
      <c r="E33" s="446"/>
      <c r="F33" s="446"/>
      <c r="G33" s="446"/>
      <c r="H33" s="446"/>
      <c r="I33" s="446"/>
      <c r="J33" s="446"/>
      <c r="K33" s="447"/>
      <c r="M33" s="54"/>
      <c r="N33" s="38"/>
      <c r="O33" s="38"/>
      <c r="P33" s="38"/>
      <c r="Q33" s="38"/>
      <c r="R33" s="38"/>
      <c r="S33" s="38"/>
      <c r="T33" s="38"/>
      <c r="U33" s="38"/>
      <c r="V33" s="38"/>
      <c r="W33" s="38"/>
      <c r="X33" s="38"/>
      <c r="Y33" s="38"/>
      <c r="Z33" s="38"/>
      <c r="AA33" s="38"/>
      <c r="AB33" s="38"/>
    </row>
    <row r="34" spans="2:28" x14ac:dyDescent="0.25">
      <c r="B34" s="441"/>
      <c r="C34" s="446"/>
      <c r="D34" s="446"/>
      <c r="E34" s="446"/>
      <c r="F34" s="446"/>
      <c r="G34" s="446"/>
      <c r="H34" s="446"/>
      <c r="I34" s="446"/>
      <c r="J34" s="446"/>
      <c r="K34" s="447"/>
      <c r="M34" s="54"/>
      <c r="N34" s="38"/>
      <c r="O34" s="38"/>
      <c r="P34" s="38"/>
      <c r="Q34" s="38"/>
      <c r="R34" s="38"/>
      <c r="S34" s="38"/>
      <c r="T34" s="38"/>
      <c r="U34" s="38"/>
      <c r="V34" s="38"/>
      <c r="W34" s="38"/>
      <c r="X34" s="38"/>
      <c r="Y34" s="38"/>
      <c r="Z34" s="38"/>
      <c r="AA34" s="38"/>
      <c r="AB34" s="38"/>
    </row>
    <row r="35" spans="2:28" ht="15.75" thickBot="1" x14ac:dyDescent="0.3">
      <c r="B35" s="442"/>
      <c r="C35" s="448"/>
      <c r="D35" s="448"/>
      <c r="E35" s="448"/>
      <c r="F35" s="448"/>
      <c r="G35" s="448"/>
      <c r="H35" s="448"/>
      <c r="I35" s="448"/>
      <c r="J35" s="448"/>
      <c r="K35" s="449"/>
      <c r="M35" s="54"/>
      <c r="N35" s="54"/>
      <c r="O35" s="54"/>
      <c r="P35" s="54"/>
      <c r="Q35" s="54"/>
      <c r="R35" s="54"/>
      <c r="S35" s="54"/>
      <c r="T35" s="54"/>
      <c r="U35" s="54"/>
      <c r="V35" s="54"/>
      <c r="W35" s="54"/>
      <c r="X35" s="54"/>
      <c r="Y35" s="54"/>
      <c r="Z35" s="54"/>
      <c r="AA35" s="54"/>
      <c r="AB35" s="54"/>
    </row>
    <row r="37" spans="2:28" x14ac:dyDescent="0.25">
      <c r="B37" s="54" t="s">
        <v>181</v>
      </c>
      <c r="C37" s="54"/>
      <c r="D37" s="54"/>
      <c r="E37" s="54"/>
      <c r="F37" s="54"/>
      <c r="G37" s="54"/>
      <c r="H37" s="54"/>
      <c r="M37" s="54"/>
      <c r="N37" s="54"/>
      <c r="O37" s="54"/>
      <c r="P37" s="54"/>
      <c r="Q37" s="54"/>
      <c r="R37" s="54"/>
      <c r="S37" s="54"/>
      <c r="T37" s="54"/>
      <c r="U37" s="54"/>
      <c r="V37" s="54"/>
      <c r="W37" s="54"/>
      <c r="X37" s="54"/>
      <c r="Y37" s="54"/>
      <c r="Z37" s="54"/>
      <c r="AA37" s="54"/>
      <c r="AB37" s="54"/>
    </row>
  </sheetData>
  <mergeCells count="10">
    <mergeCell ref="B6:B13"/>
    <mergeCell ref="B16:B23"/>
    <mergeCell ref="B26:B35"/>
    <mergeCell ref="N3:R3"/>
    <mergeCell ref="W24:AA24"/>
    <mergeCell ref="C6:G13"/>
    <mergeCell ref="C16:L23"/>
    <mergeCell ref="C26:K35"/>
    <mergeCell ref="R9:S9"/>
    <mergeCell ref="R24:V2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E9E4F06B100964BAD9FA16659C9817B" ma:contentTypeVersion="4" ma:contentTypeDescription="Create a new document." ma:contentTypeScope="" ma:versionID="a93a04fd6f6aa5781bb0dab4940a7a01">
  <xsd:schema xmlns:xsd="http://www.w3.org/2001/XMLSchema" xmlns:xs="http://www.w3.org/2001/XMLSchema" xmlns:p="http://schemas.microsoft.com/office/2006/metadata/properties" xmlns:ns2="d2eaed21-1ee8-4128-8207-2d29c5f8c7b7" targetNamespace="http://schemas.microsoft.com/office/2006/metadata/properties" ma:root="true" ma:fieldsID="e179c2bd9464ff6fcde07d0749f0e7b3" ns2:_="">
    <xsd:import namespace="d2eaed21-1ee8-4128-8207-2d29c5f8c7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eaed21-1ee8-4128-8207-2d29c5f8c7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81E4EAC-0287-48F5-B4BD-B7B877E5FF56}">
  <ds:schemaRefs>
    <ds:schemaRef ds:uri="http://schemas.microsoft.com/sharepoint/v3/contenttype/forms"/>
  </ds:schemaRefs>
</ds:datastoreItem>
</file>

<file path=customXml/itemProps2.xml><?xml version="1.0" encoding="utf-8"?>
<ds:datastoreItem xmlns:ds="http://schemas.openxmlformats.org/officeDocument/2006/customXml" ds:itemID="{A3AFCA26-5D03-4EC3-8B7B-DA1A11909807}">
  <ds:schemaRefs>
    <ds:schemaRef ds:uri="http://schemas.microsoft.com/office/2006/metadata/properties"/>
    <ds:schemaRef ds:uri="http://purl.org/dc/dcmitype/"/>
    <ds:schemaRef ds:uri="d2eaed21-1ee8-4128-8207-2d29c5f8c7b7"/>
    <ds:schemaRef ds:uri="http://schemas.microsoft.com/office/2006/documentManagement/types"/>
    <ds:schemaRef ds:uri="http://purl.org/dc/elements/1.1/"/>
    <ds:schemaRef ds:uri="http://schemas.openxmlformats.org/package/2006/metadata/core-properties"/>
    <ds:schemaRef ds:uri="http://www.w3.org/XML/1998/namespace"/>
    <ds:schemaRef ds:uri="http://schemas.microsoft.com/office/infopath/2007/PartnerControls"/>
    <ds:schemaRef ds:uri="http://purl.org/dc/terms/"/>
  </ds:schemaRefs>
</ds:datastoreItem>
</file>

<file path=customXml/itemProps3.xml><?xml version="1.0" encoding="utf-8"?>
<ds:datastoreItem xmlns:ds="http://schemas.openxmlformats.org/officeDocument/2006/customXml" ds:itemID="{FE0E1759-1D52-4036-999D-1D32254D70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eaed21-1ee8-4128-8207-2d29c5f8c7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 NOT USE Carbon m3</vt:lpstr>
      <vt:lpstr>DO NOT USE Carbon</vt:lpstr>
      <vt:lpstr>Calculation Factors m3</vt:lpstr>
      <vt:lpstr>Disclaimers &amp; Credits</vt:lpstr>
      <vt:lpstr>Intro + Documentation</vt:lpstr>
      <vt:lpstr>Scenario 1 - Calc Sheet</vt:lpstr>
      <vt:lpstr>EPD Reference Library</vt:lpstr>
      <vt:lpstr>Sorting Tables</vt:lpstr>
      <vt:lpstr>Calculation Factors m3 trans</vt:lpstr>
      <vt:lpstr>Scope Diagram</vt:lpstr>
      <vt:lpstr>EOL Factors</vt:lpstr>
      <vt:lpstr>Tally C-D kg factors</vt:lpstr>
      <vt:lpstr>transportation factors</vt:lpstr>
      <vt:lpstr>A0 Factors</vt:lpstr>
    </vt:vector>
  </TitlesOfParts>
  <Manager/>
  <Company>ZGF Architects LLP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Dunn, Jacob</dc:creator>
  <cp:keywords/>
  <dc:description/>
  <cp:lastModifiedBy>Jacob D</cp:lastModifiedBy>
  <cp:revision/>
  <dcterms:created xsi:type="dcterms:W3CDTF">2020-11-09T19:06:14Z</dcterms:created>
  <dcterms:modified xsi:type="dcterms:W3CDTF">2021-08-12T15:37:28Z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0x010100AE9E4F06B100964BAD9FA16659C9817B</vt:lpwstr>
  </property>
</Properties>
</file>