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Z:\ZGFResources\PPT\02 Initiatives\Mass Timber Interest Group\Tool Development\UPStream Forestry + LCA Tool\Pilot\"/>
    </mc:Choice>
  </mc:AlternateContent>
  <xr:revisionPtr revIDLastSave="0" documentId="13_ncr:1_{0DE60C41-4ED8-4779-952E-C2406EB61302}" xr6:coauthVersionLast="45" xr6:coauthVersionMax="47" xr10:uidLastSave="{00000000-0000-0000-0000-000000000000}"/>
  <bookViews>
    <workbookView xWindow="-98" yWindow="-98" windowWidth="20715" windowHeight="13425" tabRatio="886" firstSheet="6" activeTab="13" xr2:uid="{F0FE5B9E-2C60-4025-A02D-F8C76E1724C4}"/>
    <workbookView xWindow="-98" yWindow="-98" windowWidth="20715" windowHeight="13425" firstSheet="3" activeTab="5" xr2:uid="{EDB88D78-A7B9-4F43-8F5A-FF4F77206B83}"/>
    <workbookView xWindow="9172" yWindow="1733" windowWidth="10801" windowHeight="5647" firstSheet="3" activeTab="5" xr2:uid="{E58C6AB2-8B68-4E4C-8AB5-0A30FF3A1CAA}"/>
  </bookViews>
  <sheets>
    <sheet name="DO NOT USE Carbon m3" sheetId="3" state="hidden" r:id="rId1"/>
    <sheet name="DO NOT USE Carbon" sheetId="1" state="hidden" r:id="rId2"/>
    <sheet name="Calculation Factors m3" sheetId="4" state="hidden" r:id="rId3"/>
    <sheet name="Disclaimers &amp; Credits" sheetId="14" r:id="rId4"/>
    <sheet name="Intro + Documentation" sheetId="13" r:id="rId5"/>
    <sheet name="Scenario 1 - Calc Sheet" sheetId="6" r:id="rId6"/>
    <sheet name="EPD Reference Library" sheetId="15" r:id="rId7"/>
    <sheet name="Sorting Tables" sheetId="8" r:id="rId8"/>
    <sheet name="Calculation Factors m3 trans" sheetId="7" r:id="rId9"/>
    <sheet name="Scope Diagram" sheetId="16" r:id="rId10"/>
    <sheet name="EOL Factors" sheetId="18" r:id="rId11"/>
    <sheet name="Tally C-D kg factors" sheetId="17" r:id="rId12"/>
    <sheet name="transportation factors" sheetId="11" r:id="rId13"/>
    <sheet name="A0 Factors" sheetId="9"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6" l="1"/>
  <c r="B49" i="6"/>
  <c r="B3" i="7" l="1"/>
  <c r="L3" i="7" s="1"/>
  <c r="G5" i="18" l="1"/>
  <c r="F5" i="18"/>
  <c r="E5" i="18"/>
  <c r="D5" i="18"/>
  <c r="C5" i="18"/>
  <c r="H5" i="18" s="1"/>
  <c r="G23" i="8"/>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8" i="7"/>
  <c r="H3" i="7"/>
  <c r="E9" i="8" a="1"/>
  <c r="E9" i="8" s="1"/>
  <c r="I9" i="8" a="1"/>
  <c r="I9" i="8" s="1"/>
  <c r="I8" i="7"/>
  <c r="N11" i="7"/>
  <c r="N10" i="7"/>
  <c r="I11" i="7"/>
  <c r="J11" i="7" s="1"/>
  <c r="I10" i="7"/>
  <c r="J10" i="7" s="1"/>
  <c r="G11" i="7"/>
  <c r="G10" i="7"/>
  <c r="F11" i="7"/>
  <c r="F10" i="7"/>
  <c r="T11" i="7"/>
  <c r="T10" i="7"/>
  <c r="G9" i="8" l="1" a="1"/>
  <c r="G9" i="8" s="1"/>
  <c r="J8" i="7" l="1"/>
  <c r="B77" i="6"/>
  <c r="C2" i="18"/>
  <c r="K92" i="18"/>
  <c r="L69" i="18"/>
  <c r="M47" i="18"/>
  <c r="M20" i="18"/>
  <c r="E8" i="18" l="1"/>
  <c r="G7" i="18"/>
  <c r="K102" i="18"/>
  <c r="L102" i="18" l="1"/>
  <c r="I3" i="7" l="1"/>
  <c r="I28" i="7"/>
  <c r="J28" i="7" s="1"/>
  <c r="D3" i="7"/>
  <c r="G9"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8" i="7"/>
  <c r="F9"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8" i="7"/>
  <c r="C3" i="7" s="1"/>
  <c r="E3" i="7" l="1"/>
  <c r="M56" i="18"/>
  <c r="S55" i="18" l="1"/>
  <c r="L55" i="18" s="1"/>
  <c r="L60" i="18" s="1"/>
  <c r="K67" i="18"/>
  <c r="K69" i="18" s="1"/>
  <c r="K77" i="18"/>
  <c r="K54" i="18"/>
  <c r="K59" i="18"/>
  <c r="M90" i="18"/>
  <c r="M91" i="18"/>
  <c r="L87" i="18"/>
  <c r="L92" i="18" s="1"/>
  <c r="M60" i="18"/>
  <c r="M89" i="18"/>
  <c r="G6" i="18" l="1"/>
  <c r="K44" i="18"/>
  <c r="K41" i="18"/>
  <c r="K31" i="18"/>
  <c r="K28" i="18"/>
  <c r="M79" i="18"/>
  <c r="K16" i="18"/>
  <c r="L29" i="18"/>
  <c r="M100" i="18"/>
  <c r="M32" i="18"/>
  <c r="M33" i="18" s="1"/>
  <c r="D8" i="18" s="1"/>
  <c r="L27" i="18"/>
  <c r="M99" i="18"/>
  <c r="L17" i="18"/>
  <c r="L15" i="18"/>
  <c r="L76" i="18"/>
  <c r="L80" i="18" s="1"/>
  <c r="M101" i="18"/>
  <c r="M68" i="18"/>
  <c r="M69" i="18" s="1"/>
  <c r="N70" i="18" s="1"/>
  <c r="K43" i="18"/>
  <c r="K76" i="18"/>
  <c r="K80" i="18" s="1"/>
  <c r="K18" i="18"/>
  <c r="M78" i="18"/>
  <c r="K19" i="18"/>
  <c r="L42" i="18"/>
  <c r="L40" i="18"/>
  <c r="K30" i="18"/>
  <c r="F7" i="18"/>
  <c r="K60" i="18"/>
  <c r="M92" i="18"/>
  <c r="F8" i="18" s="1"/>
  <c r="O6" i="9"/>
  <c r="L9" i="8" a="1"/>
  <c r="L9" i="8" s="1"/>
  <c r="M9" i="8" a="1"/>
  <c r="M9" i="8" s="1"/>
  <c r="E37" i="11"/>
  <c r="B20" i="11" a="1"/>
  <c r="B20" i="11" s="1"/>
  <c r="E30" i="11"/>
  <c r="E31" i="11"/>
  <c r="E32" i="11"/>
  <c r="E33" i="11"/>
  <c r="E34" i="11"/>
  <c r="E35" i="11"/>
  <c r="E36" i="11"/>
  <c r="J9" i="8" a="1"/>
  <c r="J9" i="8" s="1"/>
  <c r="H9" i="8" a="1"/>
  <c r="H9" i="8" s="1"/>
  <c r="F9" i="8" a="1"/>
  <c r="F9" i="8" s="1"/>
  <c r="C9" i="8" a="1"/>
  <c r="C9" i="8" s="1"/>
  <c r="D9" i="8" s="1" a="1"/>
  <c r="D9" i="8" s="1"/>
  <c r="B9" i="8" a="1"/>
  <c r="B9" i="8" s="1"/>
  <c r="I61" i="7"/>
  <c r="J61" i="7" s="1"/>
  <c r="I62" i="7"/>
  <c r="J62" i="7" s="1"/>
  <c r="I51" i="7"/>
  <c r="J51" i="7" s="1"/>
  <c r="I52" i="7"/>
  <c r="J52" i="7" s="1"/>
  <c r="I20" i="7"/>
  <c r="J20" i="7" s="1"/>
  <c r="I21" i="7"/>
  <c r="J21" i="7" s="1"/>
  <c r="M80" i="18" l="1"/>
  <c r="N93" i="18"/>
  <c r="F6" i="18"/>
  <c r="F9" i="18" s="1"/>
  <c r="N61" i="18"/>
  <c r="K33" i="18"/>
  <c r="D6" i="18" s="1"/>
  <c r="K47" i="18"/>
  <c r="L33" i="18"/>
  <c r="D7" i="18" s="1"/>
  <c r="L47" i="18"/>
  <c r="E7" i="18" s="1"/>
  <c r="K20" i="18"/>
  <c r="C6" i="18" s="1"/>
  <c r="L20" i="18"/>
  <c r="C7" i="18" s="1"/>
  <c r="M102" i="18"/>
  <c r="AB60" i="7"/>
  <c r="AB59" i="7"/>
  <c r="AB57" i="7"/>
  <c r="N81" i="18" l="1"/>
  <c r="C8" i="18"/>
  <c r="C9" i="18" s="1"/>
  <c r="G8" i="18"/>
  <c r="G9" i="18" s="1"/>
  <c r="N103" i="18"/>
  <c r="E6" i="18"/>
  <c r="E9" i="18" s="1"/>
  <c r="N48" i="18"/>
  <c r="N34" i="18"/>
  <c r="D9" i="18"/>
  <c r="N21" i="18"/>
  <c r="H7" i="18"/>
  <c r="F3" i="7" s="1"/>
  <c r="I60" i="7"/>
  <c r="J60" i="7" s="1"/>
  <c r="I59" i="7"/>
  <c r="J59" i="7" s="1"/>
  <c r="F10" i="17"/>
  <c r="Q60" i="7" s="1"/>
  <c r="E10" i="17"/>
  <c r="O60" i="7" s="1"/>
  <c r="F9" i="17"/>
  <c r="Q59" i="7" s="1"/>
  <c r="E9" i="17"/>
  <c r="O59" i="7" s="1"/>
  <c r="D9" i="17"/>
  <c r="N59" i="7" s="1"/>
  <c r="I58" i="7"/>
  <c r="J58" i="7" s="1"/>
  <c r="F8" i="17"/>
  <c r="Q50" i="7" s="1"/>
  <c r="E8" i="17"/>
  <c r="O50" i="7" s="1"/>
  <c r="F7" i="17"/>
  <c r="Q49" i="7" s="1"/>
  <c r="E7" i="17"/>
  <c r="O49" i="7" s="1"/>
  <c r="I23" i="7"/>
  <c r="J23" i="7" s="1"/>
  <c r="I22" i="7"/>
  <c r="J22" i="7" s="1"/>
  <c r="I50" i="7"/>
  <c r="J50" i="7" s="1"/>
  <c r="I49" i="7"/>
  <c r="J49" i="7" s="1"/>
  <c r="N44" i="7"/>
  <c r="I47" i="7"/>
  <c r="J47" i="7" s="1"/>
  <c r="I48" i="7"/>
  <c r="J48" i="7" s="1"/>
  <c r="D7" i="17"/>
  <c r="N49" i="7" s="1"/>
  <c r="E6" i="17"/>
  <c r="O38" i="7" s="1"/>
  <c r="H8" i="18" l="1"/>
  <c r="K3" i="7" s="1"/>
  <c r="H6" i="18"/>
  <c r="J3" i="7" s="1"/>
  <c r="O42" i="7"/>
  <c r="O34" i="7"/>
  <c r="F6" i="17"/>
  <c r="Q29" i="7" s="1"/>
  <c r="O29" i="7"/>
  <c r="F5" i="17"/>
  <c r="Q28" i="7" s="1"/>
  <c r="E5" i="17"/>
  <c r="O28" i="7" s="1"/>
  <c r="D5" i="17"/>
  <c r="N28" i="7" s="1"/>
  <c r="T15" i="7"/>
  <c r="S15" i="7"/>
  <c r="Q15" i="7"/>
  <c r="O15" i="7"/>
  <c r="I15" i="7"/>
  <c r="J15" i="7" s="1"/>
  <c r="T14" i="7"/>
  <c r="O14" i="7"/>
  <c r="I14" i="7"/>
  <c r="J14" i="7" s="1"/>
  <c r="H9" i="18" l="1"/>
  <c r="Q42" i="7"/>
  <c r="O33" i="7"/>
  <c r="Q34" i="7"/>
  <c r="Q38" i="7"/>
  <c r="N37" i="7"/>
  <c r="O37" i="7"/>
  <c r="N41" i="7"/>
  <c r="N33" i="7"/>
  <c r="O41" i="7"/>
  <c r="Q33" i="7"/>
  <c r="Q37" i="7"/>
  <c r="Q41" i="7"/>
  <c r="D3" i="17"/>
  <c r="F3" i="17"/>
  <c r="Q22" i="7" l="1"/>
  <c r="Q18" i="7"/>
  <c r="N22" i="7"/>
  <c r="N18" i="7"/>
  <c r="I56" i="7"/>
  <c r="J56" i="7" s="1"/>
  <c r="I54" i="7"/>
  <c r="J54" i="7" s="1"/>
  <c r="I46" i="7"/>
  <c r="J46" i="7" s="1"/>
  <c r="I28" i="6" l="1"/>
  <c r="J28" i="6"/>
  <c r="D81" i="6"/>
  <c r="D80" i="6"/>
  <c r="D77" i="6"/>
  <c r="D78" i="6"/>
  <c r="D79" i="6"/>
  <c r="J53" i="6"/>
  <c r="I52" i="6"/>
  <c r="E21" i="11"/>
  <c r="E22" i="11"/>
  <c r="E23" i="11"/>
  <c r="E24" i="11"/>
  <c r="E25" i="11"/>
  <c r="E26" i="11"/>
  <c r="E27" i="11"/>
  <c r="E28" i="11"/>
  <c r="E29" i="11"/>
  <c r="E20" i="11"/>
  <c r="E10" i="11"/>
  <c r="E11" i="11"/>
  <c r="E12" i="11"/>
  <c r="E9" i="11"/>
  <c r="B23" i="4"/>
  <c r="C2" i="11"/>
  <c r="C21" i="11"/>
  <c r="C20" i="11"/>
  <c r="N21" i="7"/>
  <c r="I16" i="7"/>
  <c r="J16" i="7" s="1"/>
  <c r="I17" i="7"/>
  <c r="J17" i="7" s="1"/>
  <c r="I19" i="7"/>
  <c r="J19" i="7" s="1"/>
  <c r="I18" i="7"/>
  <c r="J18" i="7" s="1"/>
  <c r="N17" i="7"/>
  <c r="I13" i="7"/>
  <c r="J13" i="7" s="1"/>
  <c r="C5" i="11" l="1" a="1"/>
  <c r="C5" i="11" s="1"/>
  <c r="C3" i="11" a="1"/>
  <c r="C3" i="11" s="1"/>
  <c r="C4" i="11" s="1"/>
  <c r="C6" i="11" a="1"/>
  <c r="C6" i="11" s="1"/>
  <c r="K19" i="1"/>
  <c r="J19" i="1"/>
  <c r="I19" i="1"/>
  <c r="I9" i="7"/>
  <c r="O8" i="7"/>
  <c r="E3" i="17" s="1"/>
  <c r="T8" i="7"/>
  <c r="J9" i="7" l="1"/>
  <c r="O22" i="7"/>
  <c r="O18" i="7"/>
  <c r="D15" i="11"/>
  <c r="C15" i="11"/>
  <c r="E15" i="11" s="1"/>
  <c r="O9" i="7"/>
  <c r="E4" i="17" s="1"/>
  <c r="Q9" i="7"/>
  <c r="F4" i="17" s="1"/>
  <c r="T9" i="7"/>
  <c r="I42" i="7"/>
  <c r="J42" i="7" s="1"/>
  <c r="I43" i="7"/>
  <c r="J43" i="7" s="1"/>
  <c r="I44" i="7"/>
  <c r="J44" i="7" s="1"/>
  <c r="I41" i="7"/>
  <c r="J41" i="7" s="1"/>
  <c r="C26" i="4"/>
  <c r="C25" i="4"/>
  <c r="N9" i="8" a="1"/>
  <c r="N9" i="8" s="1"/>
  <c r="O23" i="7" l="1"/>
  <c r="O19" i="7"/>
  <c r="Q19" i="7"/>
  <c r="Q23" i="7"/>
  <c r="F15" i="11"/>
  <c r="F11" i="11"/>
  <c r="F10" i="11"/>
  <c r="F12" i="11"/>
  <c r="F9" i="11"/>
  <c r="F13" i="11" l="1"/>
  <c r="K28" i="6" s="1"/>
  <c r="I12" i="7"/>
  <c r="I24" i="7"/>
  <c r="J24" i="7" s="1"/>
  <c r="I25" i="7"/>
  <c r="J25" i="7" s="1"/>
  <c r="I26" i="7"/>
  <c r="J26" i="7" s="1"/>
  <c r="I27" i="7"/>
  <c r="J27" i="7" s="1"/>
  <c r="I29" i="7"/>
  <c r="J29" i="7" s="1"/>
  <c r="I30" i="7"/>
  <c r="J30" i="7" s="1"/>
  <c r="I31" i="7"/>
  <c r="J31" i="7" s="1"/>
  <c r="I32" i="7"/>
  <c r="J32" i="7" s="1"/>
  <c r="I33" i="7"/>
  <c r="J33" i="7" s="1"/>
  <c r="I34" i="7"/>
  <c r="J34" i="7" s="1"/>
  <c r="I35" i="7"/>
  <c r="J35" i="7" s="1"/>
  <c r="I36" i="7"/>
  <c r="J36" i="7" s="1"/>
  <c r="I37" i="7"/>
  <c r="J37" i="7" s="1"/>
  <c r="I38" i="7"/>
  <c r="J38" i="7" s="1"/>
  <c r="I39" i="7"/>
  <c r="J39" i="7" s="1"/>
  <c r="I40" i="7"/>
  <c r="J40" i="7" s="1"/>
  <c r="I45" i="7"/>
  <c r="J45" i="7" s="1"/>
  <c r="I53" i="7"/>
  <c r="J53" i="7" s="1"/>
  <c r="I55" i="7"/>
  <c r="J55" i="7" s="1"/>
  <c r="I57" i="7"/>
  <c r="J57" i="7" s="1"/>
  <c r="C2" i="7"/>
  <c r="N40" i="7"/>
  <c r="N36" i="7"/>
  <c r="W10" i="4"/>
  <c r="T10" i="4"/>
  <c r="J12" i="7" l="1"/>
  <c r="N28" i="6" s="1"/>
  <c r="L28" i="6"/>
  <c r="G3" i="7"/>
  <c r="I29" i="6"/>
  <c r="K29" i="6"/>
  <c r="N29" i="6" l="1"/>
  <c r="M28" i="6"/>
  <c r="M29" i="6" s="1"/>
  <c r="L29" i="6"/>
  <c r="J29" i="6"/>
  <c r="P6" i="9"/>
  <c r="H28" i="6" s="1"/>
  <c r="O28" i="6" l="1"/>
  <c r="G13" i="3"/>
  <c r="H13" i="3"/>
  <c r="I13" i="3"/>
  <c r="J13" i="3"/>
  <c r="AR13" i="3"/>
  <c r="D13" i="3"/>
  <c r="E13" i="3"/>
  <c r="F13" i="3"/>
  <c r="C13" i="3"/>
  <c r="D11" i="3"/>
  <c r="E11" i="3"/>
  <c r="F11" i="3"/>
  <c r="J14" i="1"/>
  <c r="O8" i="3"/>
  <c r="AR15" i="3" l="1"/>
  <c r="C10" i="3"/>
  <c r="D10" i="3"/>
  <c r="E10" i="3"/>
  <c r="F10" i="3"/>
  <c r="G10" i="3"/>
  <c r="H10" i="3"/>
  <c r="I10" i="3"/>
  <c r="J10" i="3"/>
  <c r="C11" i="3"/>
  <c r="G11" i="3"/>
  <c r="H11" i="3"/>
  <c r="I11" i="3"/>
  <c r="J11" i="3"/>
  <c r="C14" i="3"/>
  <c r="D14" i="3"/>
  <c r="E14" i="3"/>
  <c r="F14" i="3"/>
  <c r="G14" i="3"/>
  <c r="H14" i="3"/>
  <c r="J14" i="3"/>
  <c r="C15" i="3"/>
  <c r="D15" i="3"/>
  <c r="E15" i="3"/>
  <c r="F15" i="3"/>
  <c r="G15" i="3"/>
  <c r="H15" i="3"/>
  <c r="I15" i="3"/>
  <c r="J15" i="3"/>
  <c r="C16" i="3"/>
  <c r="D16" i="3"/>
  <c r="E16" i="3"/>
  <c r="F16" i="3"/>
  <c r="G16" i="3"/>
  <c r="H16" i="3"/>
  <c r="I16" i="3"/>
  <c r="J16" i="3"/>
  <c r="C17" i="3"/>
  <c r="D17" i="3"/>
  <c r="E17" i="3"/>
  <c r="F17" i="3"/>
  <c r="G17" i="3"/>
  <c r="H17" i="3"/>
  <c r="I17" i="3"/>
  <c r="J17" i="3"/>
  <c r="C19" i="3"/>
  <c r="D19" i="3"/>
  <c r="E19" i="3"/>
  <c r="F19" i="3"/>
  <c r="G19" i="3"/>
  <c r="H19" i="3"/>
  <c r="C20" i="3"/>
  <c r="D20" i="3"/>
  <c r="E20" i="3"/>
  <c r="F20" i="3"/>
  <c r="G20" i="3"/>
  <c r="H20" i="3"/>
  <c r="D9" i="3"/>
  <c r="E9" i="3"/>
  <c r="F9" i="3"/>
  <c r="G9" i="3"/>
  <c r="H9" i="3"/>
  <c r="C9" i="3"/>
  <c r="N8" i="3"/>
  <c r="AR17" i="3"/>
  <c r="N17" i="3"/>
  <c r="N16" i="3"/>
  <c r="N15" i="3"/>
  <c r="X14" i="3"/>
  <c r="N6" i="1"/>
  <c r="M6" i="1"/>
  <c r="M12" i="1"/>
  <c r="M11" i="1"/>
  <c r="M10" i="1"/>
  <c r="M9" i="1"/>
  <c r="P12" i="1"/>
  <c r="P9" i="1"/>
  <c r="F6" i="1" l="1"/>
  <c r="F9" i="1"/>
  <c r="W9" i="1" l="1"/>
  <c r="H29" i="6" l="1"/>
  <c r="N8" i="6" l="1"/>
  <c r="J52" i="6" l="1"/>
  <c r="K54" i="6" s="1"/>
  <c r="J55" i="6" l="1"/>
  <c r="J5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tc={84430F59-64D7-445E-98E8-5662C4A21ADA}</author>
  </authors>
  <commentList>
    <comment ref="C81" authorId="0" shapeId="0" xr:uid="{84430F59-64D7-445E-98E8-5662C4A21ADA}">
      <text>
        <t>[Threaded comment]
Your version of Excel allows you to read this threaded comment; however, any edits to it will get removed if the file is opened in a newer version of Excel. Learn more: https://go.microsoft.com/fwlink/?linkid=870924
Comment:
    check why recycling is not updating in the EOL graph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tc={321A4D09-5F07-4D70-B900-01D7103B9ECC}</author>
    <author>tc={2261449E-DBD8-48FE-81F0-CDC38FC116B7}</author>
  </authors>
  <commentList>
    <comment ref="T45" authorId="0" shapeId="0" xr:uid="{321A4D09-5F07-4D70-B900-01D7103B9ECC}">
      <text>
        <t>[Threaded comment]
Your version of Excel allows you to read this threaded comment; however, any edits to it will get removed if the file is opened in a newer version of Excel. Learn more: https://go.microsoft.com/fwlink/?linkid=870924
Comment:
    double check why there is energy export with flare?</t>
      </text>
    </comment>
    <comment ref="S55" authorId="1" shapeId="0" xr:uid="{2261449E-DBD8-48FE-81F0-CDC38FC116B7}">
      <text>
        <t>[Threaded comment]
Your version of Excel allows you to read this threaded comment; however, any edits to it will get removed if the file is opened in a newer version of Excel. Learn more: https://go.microsoft.com/fwlink/?linkid=870924
Comment:
    from the epd - 853.66 CO2e/450.18 kg ODW = emissions from biogenic carbon in wood going into atmosphere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<sst xmlns="http://schemas.openxmlformats.org/spreadsheetml/2006/main" count="1300" uniqueCount="440">
  <si>
    <t>Carbon</t>
  </si>
  <si>
    <t>Source</t>
  </si>
  <si>
    <t>Tally</t>
  </si>
  <si>
    <t>EPD</t>
  </si>
  <si>
    <t>Tally w/o BC</t>
  </si>
  <si>
    <t>Secondary Info</t>
  </si>
  <si>
    <t>with biogenic carbon</t>
  </si>
  <si>
    <t>w/o biogenic carbon</t>
  </si>
  <si>
    <t xml:space="preserve"> wbcV1</t>
  </si>
  <si>
    <t xml:space="preserve"> wbcV2</t>
  </si>
  <si>
    <t>bc not reported</t>
  </si>
  <si>
    <t>Reference</t>
  </si>
  <si>
    <t>AWC Wood EPD 2020</t>
  </si>
  <si>
    <t>AWC wood EPD 2013</t>
  </si>
  <si>
    <t>AWC Wood EPD 2013</t>
  </si>
  <si>
    <t>AWC Wood EPD 2013 wBCv2</t>
  </si>
  <si>
    <t>product</t>
  </si>
  <si>
    <t>CLT</t>
  </si>
  <si>
    <t>CLT - KLH EPD - 320mm</t>
  </si>
  <si>
    <t>CLT - KLH EPD - 57mm</t>
  </si>
  <si>
    <t>CLT - EGO - 60-225MM</t>
  </si>
  <si>
    <t>CLT - NORDIC X-LAM</t>
  </si>
  <si>
    <t>CLT - ARTUSO EPD</t>
  </si>
  <si>
    <t>Glulam Industry Wide EPD</t>
  </si>
  <si>
    <t>LSL/OSL</t>
  </si>
  <si>
    <t>LVL</t>
  </si>
  <si>
    <t>PSL</t>
  </si>
  <si>
    <t>heavy timber</t>
  </si>
  <si>
    <t>wood framing</t>
  </si>
  <si>
    <t>Structurelam EPD CLT</t>
  </si>
  <si>
    <t>biogenic flows v1</t>
  </si>
  <si>
    <t>description</t>
  </si>
  <si>
    <t>Cross-laminated timber beams inclusive of adhesive with user-specified finish (if any)</t>
  </si>
  <si>
    <t>CLT - KLH EPD</t>
  </si>
  <si>
    <t>Laminated strand lumber and oriented strand lumber stock inclusive of factory-applied adhesive and sealer with user-specified finish (if any)</t>
  </si>
  <si>
    <t>Parallel strand lumber beams, columns, and headers with user-specified finish (if any)</t>
  </si>
  <si>
    <t>Heavy timber framing. Entry applicable for rectangular solid wood framing members that are 5" nominal (114 mm actual) and larger in both dimensions.</t>
  </si>
  <si>
    <t>Kiln-dried wood framing member for stud wall construction. User to choose from a list of standard stud sections.</t>
  </si>
  <si>
    <t>Roundwood Inputs</t>
  </si>
  <si>
    <t>C4-5 BC Emissions</t>
  </si>
  <si>
    <t>C4-5 - End of Life</t>
  </si>
  <si>
    <t>Maintenance and Replacement</t>
  </si>
  <si>
    <t>D - Module D</t>
  </si>
  <si>
    <t>BC in Product</t>
  </si>
  <si>
    <t>A4 - Transportation</t>
  </si>
  <si>
    <t>A1-3 - Product total</t>
  </si>
  <si>
    <t>A1</t>
  </si>
  <si>
    <t>A2</t>
  </si>
  <si>
    <t>A3</t>
  </si>
  <si>
    <t>Biogenic Carbon in Product</t>
  </si>
  <si>
    <t>net BC @ 100 yrs</t>
  </si>
  <si>
    <t>Factor</t>
  </si>
  <si>
    <t>EPD info Species/Regional Split</t>
  </si>
  <si>
    <t>Glulam</t>
  </si>
  <si>
    <t>Glulam Industry Wide EPD wBCv1</t>
  </si>
  <si>
    <t>Glulam Industry Wide EPD wBCv2</t>
  </si>
  <si>
    <t>Architectural-grade structural glue-laminated timber, composed of softwood which has been end-joined, laminated, and planed. Entry inclusive of factory-applied sealer.</t>
  </si>
  <si>
    <t>End of Life</t>
  </si>
  <si>
    <t>Module D</t>
  </si>
  <si>
    <t>Product total</t>
  </si>
  <si>
    <t>160 kg CO2 eq</t>
  </si>
  <si>
    <t>na</t>
  </si>
  <si>
    <t>103 kg CO2 eq</t>
  </si>
  <si>
    <t>16.8 kg CO2 eq</t>
  </si>
  <si>
    <t>40.4 kg CO2 eq</t>
  </si>
  <si>
    <t>Transportation</t>
  </si>
  <si>
    <t>Glulam, Softwood</t>
  </si>
  <si>
    <t>Glulam, Hardwood pr Cypress Pine</t>
  </si>
  <si>
    <t>DTL</t>
  </si>
  <si>
    <t>Data Source</t>
  </si>
  <si>
    <t>Industry-Wide EPD</t>
  </si>
  <si>
    <t>Supplier EPD</t>
  </si>
  <si>
    <t>US - Industry-Wide EPD</t>
  </si>
  <si>
    <t>US - Supplier EPD</t>
  </si>
  <si>
    <t>US - Regional EPD - PNW</t>
  </si>
  <si>
    <t>US - Regional EPD - SE</t>
  </si>
  <si>
    <t>Source A1-3 - Product total</t>
  </si>
  <si>
    <t>AWC/CWC North American Glued Laminated Timbers 2013</t>
  </si>
  <si>
    <t>AWC/CWC North American Glued Laminated Timbers 2020</t>
  </si>
  <si>
    <t>Test - Structurelam EPD 2020</t>
  </si>
  <si>
    <t>Corrim Report LCA of PNW Glued Laminated Timbers 2017</t>
  </si>
  <si>
    <t>Corrim Report: LCA For the Production of Southeast Glued Laminated Timbers 2017</t>
  </si>
  <si>
    <t>Biogenic Carbon Accounting Method</t>
  </si>
  <si>
    <t>Tally w/Biogenic Carbon</t>
  </si>
  <si>
    <t>Tally w/o Biogenic Carbon</t>
  </si>
  <si>
    <t>EPD v1 - Biogenic Carbon Net Neutral</t>
  </si>
  <si>
    <t>EPD v2 - w/Long Term Biogenic Carbon Sequestration</t>
  </si>
  <si>
    <t>EPD biogenic carbon not reported</t>
  </si>
  <si>
    <t>Not Reported</t>
  </si>
  <si>
    <t>C4-5 End of Life</t>
  </si>
  <si>
    <t>Tally End of Life</t>
  </si>
  <si>
    <t>Module D Source</t>
  </si>
  <si>
    <t>AWC - verify EPD date</t>
  </si>
  <si>
    <t>Austrialia glulam 2017</t>
  </si>
  <si>
    <t>Quebec glulam  2018</t>
  </si>
  <si>
    <t>Dowelam 2020</t>
  </si>
  <si>
    <t>Conversion to M3 of Roundwood Inputs</t>
  </si>
  <si>
    <t>C4-5 Biogenic Carbon Emissions from Product</t>
  </si>
  <si>
    <t>C4-5 - End of Life Fossil Emissions</t>
  </si>
  <si>
    <t>B - Maintenance and Replacement</t>
  </si>
  <si>
    <t>? -0.269</t>
  </si>
  <si>
    <t>?0</t>
  </si>
  <si>
    <t>A1 - Biogenic Carbon in Product</t>
  </si>
  <si>
    <t>net biogenic carbon @ 100 yrs</t>
  </si>
  <si>
    <t>Create a dynamic dependent drop down list in Excel an easy way (ablebits.com)</t>
  </si>
  <si>
    <t>UPstream is provided to the user “as is” and with all faults and defects and without warranty of any kind. To the maximum extent permitted under applicable law, ZGF expressly disclaims all warranties whether express, implied, statutory or otherwise, with respect to the Tool, including all implied warranties for merchantability, fitness for a particular purpose, title and non-infringement, and warranties that may arise out of course of dealing, course of performance, usage or trade practice. ZGF provides no warranty or undertaking, and makes no representation of any kind that the Tool or the data resulting from its use will meet the user’s requirements, achieve any intended results, be compatible or work with any other software, applications, systems or services, operate without interruption, meet any performance or reliability standards or be error free or that any errors or defects can or will be corrected. The user releases any and all claims, suits or actions against ZGF and its partners, principals, officers, employees or agents arising out of or resulting from the user’s use of the Tool. 
www.zgf.com</t>
  </si>
  <si>
    <t>Created in collaboration with the Applied Research Consortium (ARC) program of the University of Washington.              arc.be.uw.edu</t>
  </si>
  <si>
    <t>UpStream is a wood product prototype life cycle calculator powered by Tally version 2020.06.09.01. 
choosetally.com</t>
  </si>
  <si>
    <t>`</t>
  </si>
  <si>
    <t>Updates</t>
  </si>
  <si>
    <t>12/14/2020 - Alpha Version 1.0 (av1.0_12142020)</t>
  </si>
  <si>
    <t>08/09/2021 - Public Beta Version 1.0 (pbv1.0_08062021)</t>
  </si>
  <si>
    <t xml:space="preserve">The UpStream Forestry &amp; LCA Tool is designed to advance three different aspects of wood life cycle analysis:
1.	Integration of carbon impacts from forest management into cradle-to-grave life cycle analysis of wood products in buildings. 
2.	Ability to compare how different tools and data sources calculate biogenic carbon throughout different live cycle analysis modules and scope/boundary interpretations ---- especially end of life.
3.	Capability to define custom end of life distributions scenarios across different LCA scope and boundary interpretations from a variety of tools and data sources.
The tool pulls data and outputs from Environmental Product Declarations (EPDs) and Tally (version 2020.06.09.01) to create ISO 21930:2017-compliant cradle-to-gate or cradle-to-grave analyses with a variety of different biogenic carbon assumptions around storage and end of life (Table 1, below).  To create more customizable end of life scenarios, UpStream pulls data from Tally’s mix of end of life sources or EPA WARM (version 15). In the current Beta 1.0 version of the tool, forest factors are included as a blank input field in kilograms of CO2 per meters cubed output of roundwood.  This allows the user to input custom factors from any source as a proof of concept while the UpStream development team evaluates existing forest factor research by Ecotrust and forest certification programs.  It’s important to note that when including upstream forest carbon impacts, we step out of the bounds of the ISO 21930:2017 standards.  Thus, this information is reported in an A0 module (not included in net calculation of product) so the impact can be separately accessed until rules and standards formally define how to both include forest carbon and determine where to report it.  
 </t>
  </si>
  <si>
    <t>Table 1 - UPStream Scope Table: Life Cycle Stages as Defined by EN 15978</t>
  </si>
  <si>
    <t>Inputs - Scenario 1</t>
  </si>
  <si>
    <t>Results</t>
  </si>
  <si>
    <t>Net GWP (kgCO2e)</t>
  </si>
  <si>
    <t>Green = user input</t>
  </si>
  <si>
    <t>Blue - calculated value</t>
  </si>
  <si>
    <t>1. Define Product Information</t>
  </si>
  <si>
    <t>What type of product would you like to analyze?</t>
  </si>
  <si>
    <t xml:space="preserve">What is the net installed volume of product?  </t>
  </si>
  <si>
    <t>Choose Volume units:</t>
  </si>
  <si>
    <t>Input Volume (net installed):</t>
  </si>
  <si>
    <t>Final Volume Converted to Meters Cubed:</t>
  </si>
  <si>
    <r>
      <t xml:space="preserve">2. Compare to a Baseline Case
</t>
    </r>
    <r>
      <rPr>
        <b/>
        <i/>
        <sz val="18"/>
        <color theme="0"/>
        <rFont val="Calibri"/>
        <family val="2"/>
        <scheme val="minor"/>
      </rPr>
      <t>Add Baseline Data for Comparison</t>
    </r>
  </si>
  <si>
    <t xml:space="preserve"> </t>
  </si>
  <si>
    <t>A0 Forest Factors-not incl. in net</t>
  </si>
  <si>
    <t>A1-A3 Product Total</t>
  </si>
  <si>
    <t>A1 - A3 Biogenic Carbon In Product</t>
  </si>
  <si>
    <t>A4 Transportation</t>
  </si>
  <si>
    <t>C2-4 Biogenic Emissions From Product</t>
  </si>
  <si>
    <t>C2-4 Non Biogenic-Emissions</t>
  </si>
  <si>
    <t>Net</t>
  </si>
  <si>
    <t>Would you like to compare your analysis to a baseline case? (can be data from an external tool or from UpStream).</t>
  </si>
  <si>
    <t>GWP (kgCO2e)</t>
  </si>
  <si>
    <t>yes</t>
  </si>
  <si>
    <t>NA</t>
  </si>
  <si>
    <t>Input total GWP for the baseline case:</t>
  </si>
  <si>
    <t>kgCO2e</t>
  </si>
  <si>
    <t>For your wood scenario, enter impacts from non wood elements (like steel connections, hybrid steel structures, etc.) to be added to GWP totals for comparison.</t>
  </si>
  <si>
    <r>
      <t xml:space="preserve">3. Calculate Modules A1-A3
</t>
    </r>
    <r>
      <rPr>
        <b/>
        <i/>
        <sz val="18"/>
        <color theme="0"/>
        <rFont val="Calibri"/>
        <family val="2"/>
        <scheme val="minor"/>
      </rPr>
      <t>Product Stage</t>
    </r>
  </si>
  <si>
    <t>Would you like to include a modules A1-A3 in your analysis ?</t>
  </si>
  <si>
    <t>Choose the Type of EPD for Analysis:</t>
  </si>
  <si>
    <t>Glulam US - Industry-Wide EPD</t>
  </si>
  <si>
    <t>Choose the Specific EPD for Analysis:</t>
  </si>
  <si>
    <t>Include Biogenic Carbon Storage in the Product?</t>
  </si>
  <si>
    <r>
      <t xml:space="preserve">4. Calculate Modules A4
</t>
    </r>
    <r>
      <rPr>
        <b/>
        <i/>
        <sz val="18"/>
        <color theme="0"/>
        <rFont val="Calibri"/>
        <family val="2"/>
        <scheme val="minor"/>
      </rPr>
      <t>Transportation</t>
    </r>
  </si>
  <si>
    <t>Baseline</t>
  </si>
  <si>
    <t>Scenario 1</t>
  </si>
  <si>
    <t>Would you like to go beyond cradle-to-gate analysis and include A4 Transportation as part of a cradle to grave analysis?</t>
  </si>
  <si>
    <t>Wood kgCO2e</t>
  </si>
  <si>
    <t>Non Wood kgCOe</t>
  </si>
  <si>
    <t>Net kgCO2e</t>
  </si>
  <si>
    <t>Savings (kgCO2e)</t>
  </si>
  <si>
    <t>Use Default Values (select if you don't know transportation distances yet)</t>
  </si>
  <si>
    <t>Savings %</t>
  </si>
  <si>
    <t>no</t>
  </si>
  <si>
    <t>Input Distance by Transportation Type in miles (from Fabricator to project site)</t>
  </si>
  <si>
    <t>by truck</t>
  </si>
  <si>
    <t>miles</t>
  </si>
  <si>
    <t>by barge</t>
  </si>
  <si>
    <t>by container ship</t>
  </si>
  <si>
    <t>by rail</t>
  </si>
  <si>
    <r>
      <t xml:space="preserve">5. Calculate Modules C2-4
</t>
    </r>
    <r>
      <rPr>
        <b/>
        <i/>
        <sz val="18"/>
        <color theme="0"/>
        <rFont val="Calibri"/>
        <family val="2"/>
        <scheme val="minor"/>
      </rPr>
      <t>End of Life (fossil and biogenic emissions)</t>
    </r>
  </si>
  <si>
    <t>Would you like to go beyond cradle-to-gate analysis and include C2-4 End of Life (fossil and biogenic emissions) as part of a cradle to grave analysis?</t>
  </si>
  <si>
    <t>End of Life Data Source</t>
  </si>
  <si>
    <t>Pick a Custom Data Source</t>
  </si>
  <si>
    <t>Define the Distribution of the Wood Package's End of Life for each type of End of Life Scenario</t>
  </si>
  <si>
    <t>Scenario</t>
  </si>
  <si>
    <t>% of Wood Package Volume</t>
  </si>
  <si>
    <t>Volume (meters cubed)</t>
  </si>
  <si>
    <t>landfill with landfil gas energy recovery</t>
  </si>
  <si>
    <t>landfill with flare</t>
  </si>
  <si>
    <t>incineration</t>
  </si>
  <si>
    <t>recycling</t>
  </si>
  <si>
    <r>
      <t xml:space="preserve">6. Calculate Module D
</t>
    </r>
    <r>
      <rPr>
        <b/>
        <i/>
        <sz val="18"/>
        <color theme="0"/>
        <rFont val="Calibri"/>
        <family val="2"/>
        <scheme val="minor"/>
      </rPr>
      <t>Benefits Outside of Boundary</t>
    </r>
  </si>
  <si>
    <t>Would you like to go beyond cradle-to-gate analysis and include Module D (benefits outside of boundary)?</t>
  </si>
  <si>
    <r>
      <t xml:space="preserve">7. Calculate Module A0
</t>
    </r>
    <r>
      <rPr>
        <b/>
        <i/>
        <sz val="18"/>
        <color theme="0"/>
        <rFont val="Calibri"/>
        <family val="2"/>
        <scheme val="minor"/>
      </rPr>
      <t>Impacts from Forestry</t>
    </r>
  </si>
  <si>
    <t>Would you like to go beyond cradle-to-gate AND cradle-to-grave ISO-approved LCA methodologies and include carbon impacts at the forest in your LCA analysis?</t>
  </si>
  <si>
    <t>Choose your forestry factor data source:</t>
  </si>
  <si>
    <t>Custom</t>
  </si>
  <si>
    <t>Input Custom Factor (kgCO2 per meters cubed of industrial roundwood)</t>
  </si>
  <si>
    <t>kgCO2/m3</t>
  </si>
  <si>
    <r>
      <t xml:space="preserve">7. Calculate Uncertainty Factor
</t>
    </r>
    <r>
      <rPr>
        <b/>
        <i/>
        <sz val="18"/>
        <color theme="0"/>
        <rFont val="Calibri"/>
        <family val="2"/>
        <scheme val="minor"/>
      </rPr>
      <t>Add Factor to Net GWP</t>
    </r>
  </si>
  <si>
    <t>Some LCA programs add 'uncertainty' factors to their overall GWP values to represent the variability within EPDs based on their type.  If you'd like to add an uncertainty factor based on any external reference, input it below as a % of the net calculated GWP</t>
  </si>
  <si>
    <t>Would you like to add an uncertainty factor?</t>
  </si>
  <si>
    <t xml:space="preserve">Enter uncertainty factor as a % of A1-3 to add to the net GWP. </t>
  </si>
  <si>
    <t>For instance, a 20% input would be (.2)*(A1-A3 Total GWP))+(NET GWP from All Modules)</t>
  </si>
  <si>
    <t>A1-A4</t>
  </si>
  <si>
    <t>A0</t>
  </si>
  <si>
    <t>Product Type Unique Filter</t>
  </si>
  <si>
    <t>EPD Type</t>
  </si>
  <si>
    <t>EPD Type Unique Filter</t>
  </si>
  <si>
    <t>EPD Source</t>
  </si>
  <si>
    <t>EPD Source Unique Filter</t>
  </si>
  <si>
    <t>Biogenic Carbon Accounting Method Unique Filter</t>
  </si>
  <si>
    <t>C4-5 End of Life Unique Filter</t>
  </si>
  <si>
    <t>Version</t>
  </si>
  <si>
    <t>Version Unique Filter</t>
  </si>
  <si>
    <t>A1-A3 Key</t>
  </si>
  <si>
    <t>A1 - Biogenic Carbon in Product Key</t>
  </si>
  <si>
    <t>C2-4 - Biogenic Carbon Emissions from Product</t>
  </si>
  <si>
    <t>C2-4 Key and Module D Sub-Key</t>
  </si>
  <si>
    <t>C2-4 Key and Module D Key</t>
  </si>
  <si>
    <t>C2-4 End of Life Non-Biogenic Emissions</t>
  </si>
  <si>
    <t>Mass</t>
  </si>
  <si>
    <t>Include Biogenic Carbon?</t>
  </si>
  <si>
    <t>Biogenic Carbon Accounting Method Sub Key</t>
  </si>
  <si>
    <t>A1-3 Vlookup Key</t>
  </si>
  <si>
    <t>A1 - Biogenic Carbon in Product Lookup Key</t>
  </si>
  <si>
    <t>C2-4 End of Life and Module D Source</t>
  </si>
  <si>
    <t>C2-4 Vlookup Key</t>
  </si>
  <si>
    <t>Module D Vlookup Key</t>
  </si>
  <si>
    <t>C2-4 Biogenic Carbon Emissions from Product</t>
  </si>
  <si>
    <t>C2-4 - End of Life Fossil Emissions</t>
  </si>
  <si>
    <t>A1 -A3 Biogenic Carbon in Product</t>
  </si>
  <si>
    <t>CLT Industry-Wide EPD</t>
  </si>
  <si>
    <t>Tally's Glulam Proxy (AWC/CWC North American Glued Laminated Timbers 2013)</t>
  </si>
  <si>
    <t>CLT Supplier EPD</t>
  </si>
  <si>
    <t>KLH EPD 2012 (57mm thick)</t>
  </si>
  <si>
    <t>KLH EPD 2012 (320 mm thick)</t>
  </si>
  <si>
    <t>Structurlam - Crosslam CLT EPD for Cross Laminated Timber produced by Structurlam in Okanagan Falls, BC 2020</t>
  </si>
  <si>
    <t>Nordic X-Lam (CLT) Environmental Product Declaration 2018</t>
  </si>
  <si>
    <t>Tally - AWC/CWC North American Glued Laminated Timbers 2013</t>
  </si>
  <si>
    <t>Glulam US - Regional EPD - PNW</t>
  </si>
  <si>
    <t>Glulam US - Regional EPD - SE</t>
  </si>
  <si>
    <t>Glulam CA - Industry Wide</t>
  </si>
  <si>
    <t>Athena Sustainable Materials Insitute - A Cradle-to-Gate Life Cycle Assessment
of Canadian Glulam (2019)</t>
  </si>
  <si>
    <t>LSL/OSL Industry-Wide EPD</t>
  </si>
  <si>
    <t>Tally's OSB Proxy (Oriented strand board CORRIM 2011)</t>
  </si>
  <si>
    <t>Oriented strand board CORRIM 2011</t>
  </si>
  <si>
    <t>LVL Industry-Wide EPD</t>
  </si>
  <si>
    <t>Tally - AWC/CWC North American Laminated veneer Lumber 2013</t>
  </si>
  <si>
    <t xml:space="preserve">Laminated veneer lumber 2013  </t>
  </si>
  <si>
    <t>AWC/CWC Laminated Veneer Lumber 2020</t>
  </si>
  <si>
    <t>PSL Industry-Wide EPD</t>
  </si>
  <si>
    <t>Tally's LVL Proxy (AWC/CWC North American Laminated veneer Lumber 2013  )</t>
  </si>
  <si>
    <t>heavy timber Industry-Wide EPD</t>
  </si>
  <si>
    <t>Tally - US: Dry rough lumber, at kiln, PNW and SE USLCI/PE (2009)</t>
  </si>
  <si>
    <t>US Dry rough lumber, at kiln,  PNW USLCI/PE 2009  US Dry rough lumber, at kiln, US SE 2009</t>
  </si>
  <si>
    <t>wood framing Industry-Wide EPD</t>
  </si>
  <si>
    <t>Tally - AWC/CWC North American Softwood lumber 2013</t>
  </si>
  <si>
    <t>Softwood lumber 2013</t>
  </si>
  <si>
    <t>AWC/CWC North American Softwood lumber 2020</t>
  </si>
  <si>
    <t>UPStream Scope Table: Life Cycle Stages as Defined by EN 15978</t>
  </si>
  <si>
    <t>Stage</t>
  </si>
  <si>
    <t>Forest</t>
  </si>
  <si>
    <t>Product</t>
  </si>
  <si>
    <t>Construction</t>
  </si>
  <si>
    <t>Use</t>
  </si>
  <si>
    <t>Beyond Boundary</t>
  </si>
  <si>
    <t>Module</t>
  </si>
  <si>
    <t>A4</t>
  </si>
  <si>
    <t>A5</t>
  </si>
  <si>
    <t>B1</t>
  </si>
  <si>
    <t>B2</t>
  </si>
  <si>
    <t>B3</t>
  </si>
  <si>
    <t>B4</t>
  </si>
  <si>
    <t>B5</t>
  </si>
  <si>
    <t>B6</t>
  </si>
  <si>
    <t>B7</t>
  </si>
  <si>
    <t>C1</t>
  </si>
  <si>
    <t>C2</t>
  </si>
  <si>
    <t>C3</t>
  </si>
  <si>
    <t>C4</t>
  </si>
  <si>
    <t>D</t>
  </si>
  <si>
    <t>Description</t>
  </si>
  <si>
    <t>Carbon Impacts of Forest Management</t>
  </si>
  <si>
    <t>Raw Material Supply</t>
  </si>
  <si>
    <t>Transport</t>
  </si>
  <si>
    <t>Manufacturing</t>
  </si>
  <si>
    <t>Construction Installation Process</t>
  </si>
  <si>
    <t>Use Stage</t>
  </si>
  <si>
    <t>Maintenance</t>
  </si>
  <si>
    <t>Repair</t>
  </si>
  <si>
    <t>Replacement</t>
  </si>
  <si>
    <t>Refurbishment</t>
  </si>
  <si>
    <t>Operational Energy Use</t>
  </si>
  <si>
    <t>Operational Water Use</t>
  </si>
  <si>
    <t>De-construction/Demolition</t>
  </si>
  <si>
    <t>Waste Processing</t>
  </si>
  <si>
    <t>Disposal</t>
  </si>
  <si>
    <t>Reuse, Recovery, Recycling potential</t>
  </si>
  <si>
    <t>Current Data Streams</t>
  </si>
  <si>
    <t>Currently being evaluated: Ecotrust Forest Factors</t>
  </si>
  <si>
    <t>Industry-wide EPDs, 
supplier-specific EPDs, and Corrim background LCA studies for regional scenarios</t>
  </si>
  <si>
    <t>Tally (default and custom range scenarios)</t>
  </si>
  <si>
    <t>EPDs (for biogenic downstream emissions accouting only)</t>
  </si>
  <si>
    <t>ND (Not Declared) in Upstream Scope</t>
  </si>
  <si>
    <t>Tally, EPA WARM</t>
  </si>
  <si>
    <t>Tally, EPDs (for biogenic downstream emissions accounting), EPA WARM</t>
  </si>
  <si>
    <t>Custom End of Life Key</t>
  </si>
  <si>
    <t>landfill</t>
  </si>
  <si>
    <t>landfill with gas energy recovery</t>
  </si>
  <si>
    <t>Incineration</t>
  </si>
  <si>
    <t>Recycling</t>
  </si>
  <si>
    <t>Total</t>
  </si>
  <si>
    <t>mass - kg</t>
  </si>
  <si>
    <t>C2-4 Non-Biogenic Emissions</t>
  </si>
  <si>
    <t>C2-4 Biogenic Emissions</t>
  </si>
  <si>
    <t>EPA WARM - Landfill Calculations</t>
  </si>
  <si>
    <t>EPA WARM - Landfill - factors</t>
  </si>
  <si>
    <t>landfill - no LGR</t>
  </si>
  <si>
    <t>unit</t>
  </si>
  <si>
    <t>Landfill - No Landfill Gas Recovery</t>
  </si>
  <si>
    <t>Unit</t>
  </si>
  <si>
    <t>C2-4 - Non Biogenic Emissions</t>
  </si>
  <si>
    <t>C2-4 biogenic emissions</t>
  </si>
  <si>
    <t>landfill gas CO2 emissions</t>
  </si>
  <si>
    <t>kgCO2e/kgODW</t>
  </si>
  <si>
    <t>landfill gas CH4 emissions</t>
  </si>
  <si>
    <t>CO2 emissions from CH4 converted to CO2 through soil</t>
  </si>
  <si>
    <t>heavy equipment</t>
  </si>
  <si>
    <t>transport</t>
  </si>
  <si>
    <t>net</t>
  </si>
  <si>
    <t>EPA WARM - Landfill w Landfill Gas Energy Recovery Calculations</t>
  </si>
  <si>
    <t>EPA WARM - Landfill w Landfill Gas Energy Recovery -  factors</t>
  </si>
  <si>
    <t>landfill - with lfgr</t>
  </si>
  <si>
    <t>Landfill - w/Landfill Gas Recovery</t>
  </si>
  <si>
    <t>elec credit (CO2 fossil)</t>
  </si>
  <si>
    <t>exported elec credit (CO2 fossil)</t>
  </si>
  <si>
    <t>EPA WARM - Landfill with Flare - Calculations</t>
  </si>
  <si>
    <t>EPA WARM - Landfill with Flare - Factors</t>
  </si>
  <si>
    <t>Landfill - w/Flare</t>
  </si>
  <si>
    <t>CO2 emissions</t>
  </si>
  <si>
    <t>CH4 emissions</t>
  </si>
  <si>
    <t>thermal energy credit</t>
  </si>
  <si>
    <t>EPA WARM - Incineration - Calculations</t>
  </si>
  <si>
    <t>EPA WARM - Incineration - Factors</t>
  </si>
  <si>
    <t>process  (combustion)</t>
  </si>
  <si>
    <t>biogenic emissions from incineration</t>
  </si>
  <si>
    <t>elec credit (CH4 fossil)</t>
  </si>
  <si>
    <t>steam credit</t>
  </si>
  <si>
    <t>EPA WARM - Recycling - Calculations</t>
  </si>
  <si>
    <t>EPA WARM - Recycling - Factors</t>
  </si>
  <si>
    <t>reprocessing</t>
  </si>
  <si>
    <t>reprocessing and transportation</t>
  </si>
  <si>
    <t>avoided burden</t>
  </si>
  <si>
    <t>avoided transportation and production burden</t>
  </si>
  <si>
    <t>Tally - Landfill - Calculations</t>
  </si>
  <si>
    <t>Tally - Landfill - Factors</t>
  </si>
  <si>
    <t>100% landfill - Tally</t>
  </si>
  <si>
    <t>Tally - Incineration - Calculations</t>
  </si>
  <si>
    <t>Tally - Incineration - Factors</t>
  </si>
  <si>
    <t>100% Incineration</t>
  </si>
  <si>
    <t>100% Incineration - Tally</t>
  </si>
  <si>
    <t>steam energy credit</t>
  </si>
  <si>
    <t>Tally - Recycling - Calculations</t>
  </si>
  <si>
    <t>Tally - Recycling - Factors</t>
  </si>
  <si>
    <t>100% Recycling</t>
  </si>
  <si>
    <t>CO2 (fossil)</t>
  </si>
  <si>
    <t>CH4, biogenic</t>
  </si>
  <si>
    <t>CO2 (biogenic)</t>
  </si>
  <si>
    <t>CO2 (resource)</t>
  </si>
  <si>
    <t>Biogenic Carbon Toggle</t>
  </si>
  <si>
    <t>C3-4 Biogenic Carbon Emissions from Product (kgCO2/kg)</t>
  </si>
  <si>
    <t>on</t>
  </si>
  <si>
    <t>off</t>
  </si>
  <si>
    <t>glulam</t>
  </si>
  <si>
    <t>WOOD FRAMING</t>
  </si>
  <si>
    <t>EPD lookup</t>
  </si>
  <si>
    <t>Mass Factor kg/m3</t>
  </si>
  <si>
    <t>total mass</t>
  </si>
  <si>
    <t>default factor</t>
  </si>
  <si>
    <t>Transportation Type</t>
  </si>
  <si>
    <t>kgCO2e/km/kg</t>
  </si>
  <si>
    <t>transportation distance (miles)</t>
  </si>
  <si>
    <t>GWP (kgCO2e</t>
  </si>
  <si>
    <t>total</t>
  </si>
  <si>
    <t>default (by truck)</t>
  </si>
  <si>
    <t>mass/m3</t>
  </si>
  <si>
    <t>Default km</t>
  </si>
  <si>
    <t>Default m</t>
  </si>
  <si>
    <t>Default Type</t>
  </si>
  <si>
    <t>Final Calcs</t>
  </si>
  <si>
    <t>5th Percentile</t>
  </si>
  <si>
    <t>25th Percentile</t>
  </si>
  <si>
    <t>50th Percentile</t>
  </si>
  <si>
    <t>75th Percentile</t>
  </si>
  <si>
    <t>95th Percentile</t>
  </si>
  <si>
    <t>tCO2e/MBF</t>
  </si>
  <si>
    <t>state</t>
  </si>
  <si>
    <t>V1 Key</t>
  </si>
  <si>
    <t>Factor (median)</t>
  </si>
  <si>
    <t>Custom Key</t>
  </si>
  <si>
    <t>Calculation</t>
  </si>
  <si>
    <t>coming soon!</t>
  </si>
  <si>
    <t>Scenario A</t>
  </si>
  <si>
    <t>Scenario B</t>
  </si>
  <si>
    <t>V2 Key</t>
  </si>
  <si>
    <t>V3 Key</t>
  </si>
  <si>
    <t>10th Percentile</t>
  </si>
  <si>
    <t>30th Percentile</t>
  </si>
  <si>
    <t>70th Percentile</t>
  </si>
  <si>
    <t>90th Percentile</t>
  </si>
  <si>
    <t>Product Type</t>
  </si>
  <si>
    <t>Specific EPD</t>
  </si>
  <si>
    <t>EPD Reference</t>
  </si>
  <si>
    <t>Industry-wide</t>
  </si>
  <si>
    <t>Tally’s Glulam Proxy</t>
  </si>
  <si>
    <t>https://www.awc.org/pdf/greenbuilding/epd/AWC-EPD-Glulam-1307.pdf</t>
  </si>
  <si>
    <t>KLH EPD 2012 (57mm &amp; 320mm thick)</t>
  </si>
  <si>
    <t>http://www.clt.lt/failai/files/EPD%20according%20to%20ISO%2014025.pdf</t>
  </si>
  <si>
    <t>Structurlam, in Okanagan Falls, BC, 2020</t>
  </si>
  <si>
    <t>Structurlam-Environmental-Product-Declaration-Glulam.pdf</t>
  </si>
  <si>
    <t>Nordic X-lam, 2018</t>
  </si>
  <si>
    <t>https://www.nordic.ca/data/files/datasheet/file/EPD_Nordic_X-Lam.pdf</t>
  </si>
  <si>
    <t>AWC/CWC North American Glued Laminated Timber 2013</t>
  </si>
  <si>
    <t>Evironmental Product Declaration of North American Softwood Lumber (awc.org)</t>
  </si>
  <si>
    <t>AWC/CWC North American Glued Laminated Timber 2020</t>
  </si>
  <si>
    <t>North American Glued Laminated Timber – Environmental Product Declaration (awc.org)</t>
  </si>
  <si>
    <t>Tally- AWC/CWC North American Glued Laminated Timber 2013</t>
  </si>
  <si>
    <t>US- Regional EPD- PNW</t>
  </si>
  <si>
    <t>CORRIM Report LCA of PNW Glued Laminated Timber 2017</t>
  </si>
  <si>
    <t>https://corrim.org/wp-content/uploads/Module-G1-PNW-Glulam.pdf</t>
  </si>
  <si>
    <t>US- Regional EPD- SE</t>
  </si>
  <si>
    <t>CORRIM Report LCA of Southeast Glued Laminated Timber 2017</t>
  </si>
  <si>
    <t>C2G LCA of Glulam Timbers in SE (corrim.org)</t>
  </si>
  <si>
    <t>CA- Industry-wide</t>
  </si>
  <si>
    <t>Athena Sustainable Material Institute- A Cradle to Gate LCA of Canada Glulam 2019</t>
  </si>
  <si>
    <t>http://www.athenasmi.org/wp-content/uploads/2018/07/CtoG-LCA-of-Canadian-Glulam.pdf</t>
  </si>
  <si>
    <t>Tally OSB’s Proxy (OSB CORRIM 2011)</t>
  </si>
  <si>
    <t>North American Laminated Veneer Lumber – Environmental Product Declaration (awc.org)</t>
  </si>
  <si>
    <t>Tally- AWC/CWC Laminated Veneer Lumber 2013</t>
  </si>
  <si>
    <t>https://www.awc.org/pdf/greenbuilding/epd/AWC-EPD-LVL-1307.pdf</t>
  </si>
  <si>
    <t>Tally- LVL Proxy (AWC/CWC Laminated Veneer Lumber 2013)</t>
  </si>
  <si>
    <t>Heavy Timber</t>
  </si>
  <si>
    <t>Tally – US: Dry rough lumber, at kiln, PNW USLCI</t>
  </si>
  <si>
    <t>http://gabi-documentation-2021.gabi-software.com/xml-data/processes/09730248-3647-4d05-bac8-29d35de9219e.xml</t>
  </si>
  <si>
    <t>Tally – US: Dry rough lumber, at kiln, SE USLCI</t>
  </si>
  <si>
    <t>http://gabi-documentation-2021.gabi-software.com/xml-data/processes/bdd72752-09d1-44ad-a47b-e7b31fae976f.xml</t>
  </si>
  <si>
    <t>Wood Framing</t>
  </si>
  <si>
    <t>AWC/CWC North American Softwood Lumber 2020</t>
  </si>
  <si>
    <t>North American Softwood Lumber – Environmental Product Declaration (awc.org)</t>
  </si>
  <si>
    <t>Tally- AWC/CWC North American Softwood Lumber 2013</t>
  </si>
  <si>
    <t>default type</t>
  </si>
  <si>
    <t>Acknowledgements (check out UpStream's documentation for full ackwholedgements): Teri Thomson Randall and Dean Renée Cheng at the University of Washington, Todd Stine and Victoria Nichols at ZGF, David Diaz at Ecotrust, Raphael Sperry and Frances Yang at Arup, Roderick Bates at Kieran Timberlake, Steph Carlisle at the Carbon Leaderhsip Forum, Maggie Wildnauer at Sphera.</t>
  </si>
  <si>
    <t>Please contact Jacob Dunn at [upstream.forestrylca@gmail.com] for comments, questions, and pilot feedback.</t>
  </si>
  <si>
    <t>For UpStream's full documentation and step-by-step guidance, visit the following github site: https://github.com/UpStream-LCA/UpStreamForestryCarbonLCA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</si>
</sst>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0.000000"/>
    <numFmt numFmtId="166" formatCode="0.0"/>
    <numFmt numFmtId="167" formatCode="0.0%"/>
    <numFmt numFmtId="168" formatCode="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22"/>
      <color theme="0"/>
      <name val="Calibri"/>
      <family val="2"/>
      <scheme val="minor"/>
    </font>
    <font>
      <b/>
      <sz val="12"/>
      <color theme="1"/>
      <name val="Calibri"/>
      <family val="2"/>
      <scheme val="minor"/>
    </font>
    <font>
      <b/>
      <i/>
      <sz val="18"/>
      <color theme="0"/>
      <name val="Calibri"/>
      <family val="2"/>
      <scheme val="minor"/>
    </font>
    <font>
      <sz val="28"/>
      <color theme="1"/>
      <name val="Calibri"/>
      <family val="2"/>
      <scheme val="minor"/>
    </font>
    <font>
      <i/>
      <sz val="11"/>
      <color theme="1"/>
      <name val="Calibri"/>
      <family val="2"/>
      <scheme val="minor"/>
    </font>
    <font>
      <b/>
      <sz val="22"/>
      <color theme="1"/>
      <name val="Calibri"/>
      <family val="2"/>
      <scheme val="minor"/>
    </font>
    <font>
      <sz val="28"/>
      <color theme="0"/>
      <name val="Calibri"/>
      <family val="2"/>
      <scheme val="minor"/>
    </font>
    <font>
      <sz val="11"/>
      <name val="Calibri"/>
      <family val="2"/>
      <scheme val="minor"/>
    </font>
    <font>
      <b/>
      <sz val="11"/>
      <color theme="1"/>
      <name val="Century Gothic"/>
      <family val="2"/>
    </font>
    <font>
      <b/>
      <sz val="9"/>
      <color theme="1"/>
      <name val="Century Gothic"/>
      <family val="2"/>
    </font>
    <font>
      <sz val="9"/>
      <color theme="1"/>
      <name val="Century Gothic"/>
      <family val="2"/>
    </font>
    <font>
      <sz val="8"/>
      <name val="Calibri"/>
      <family val="2"/>
      <scheme val="minor"/>
    </font>
    <font>
      <sz val="9"/>
      <color theme="1"/>
      <name val="Calibri"/>
      <family val="2"/>
      <scheme val="minor"/>
    </font>
    <font>
      <b/>
      <sz val="11"/>
      <color rgb="FF000000"/>
      <name val="Calibri"/>
      <family val="2"/>
      <scheme val="minor"/>
    </font>
    <font>
      <b/>
      <sz val="9"/>
      <color theme="1"/>
      <name val="Calibri"/>
      <family val="2"/>
      <scheme val="minor"/>
    </font>
    <font>
      <b/>
      <sz val="9"/>
      <color rgb="FFFF0000"/>
      <name val="Calibri"/>
      <family val="2"/>
      <scheme val="minor"/>
    </font>
    <font>
      <b/>
      <sz val="20"/>
      <color theme="1"/>
      <name val="Century Gothic"/>
      <family val="2"/>
    </font>
    <font>
      <i/>
      <sz val="11"/>
      <color rgb="FFC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5CACC8"/>
        <bgColor indexed="64"/>
      </patternFill>
    </fill>
    <fill>
      <patternFill patternType="solid">
        <fgColor rgb="FFABD4E3"/>
        <bgColor indexed="64"/>
      </patternFill>
    </fill>
    <fill>
      <patternFill patternType="solid">
        <fgColor rgb="FFCEE6B0"/>
        <bgColor indexed="64"/>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medium">
        <color indexed="64"/>
      </left>
      <right style="thin">
        <color theme="2" tint="-0.249977111117893"/>
      </right>
      <top style="medium">
        <color indexed="64"/>
      </top>
      <bottom style="thin">
        <color theme="2" tint="-0.249977111117893"/>
      </bottom>
      <diagonal/>
    </border>
    <border>
      <left style="thin">
        <color theme="2" tint="-0.249977111117893"/>
      </left>
      <right style="thin">
        <color theme="2" tint="-0.249977111117893"/>
      </right>
      <top style="medium">
        <color indexed="64"/>
      </top>
      <bottom style="thin">
        <color theme="2" tint="-0.249977111117893"/>
      </bottom>
      <diagonal/>
    </border>
    <border>
      <left style="thin">
        <color theme="2" tint="-0.249977111117893"/>
      </left>
      <right style="medium">
        <color indexed="64"/>
      </right>
      <top style="medium">
        <color indexed="64"/>
      </top>
      <bottom style="thin">
        <color theme="2" tint="-0.249977111117893"/>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medium">
        <color indexed="64"/>
      </right>
      <top style="thin">
        <color theme="2" tint="-0.249977111117893"/>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thin">
        <color theme="0" tint="-0.249977111117893"/>
      </right>
      <top style="thick">
        <color indexed="64"/>
      </top>
      <bottom style="thin">
        <color theme="0" tint="-0.249977111117893"/>
      </bottom>
      <diagonal/>
    </border>
    <border>
      <left style="thin">
        <color theme="0" tint="-0.249977111117893"/>
      </left>
      <right style="thin">
        <color theme="0" tint="-0.249977111117893"/>
      </right>
      <top style="thick">
        <color indexed="64"/>
      </top>
      <bottom style="thin">
        <color theme="0" tint="-0.249977111117893"/>
      </bottom>
      <diagonal/>
    </border>
    <border>
      <left style="thin">
        <color theme="0" tint="-0.249977111117893"/>
      </left>
      <right style="thick">
        <color indexed="64"/>
      </right>
      <top style="thick">
        <color indexed="64"/>
      </top>
      <bottom style="thin">
        <color theme="0" tint="-0.249977111117893"/>
      </bottom>
      <diagonal/>
    </border>
    <border>
      <left style="thick">
        <color indexed="64"/>
      </left>
      <right style="thin">
        <color theme="0" tint="-0.249977111117893"/>
      </right>
      <top style="thin">
        <color theme="0" tint="-0.249977111117893"/>
      </top>
      <bottom style="thin">
        <color theme="0" tint="-0.249977111117893"/>
      </bottom>
      <diagonal/>
    </border>
    <border>
      <left style="thin">
        <color theme="0" tint="-0.249977111117893"/>
      </left>
      <right style="thick">
        <color indexed="64"/>
      </right>
      <top style="thin">
        <color theme="0" tint="-0.249977111117893"/>
      </top>
      <bottom style="thin">
        <color theme="0" tint="-0.249977111117893"/>
      </bottom>
      <diagonal/>
    </border>
    <border>
      <left style="thick">
        <color indexed="64"/>
      </left>
      <right style="thin">
        <color theme="0" tint="-0.249977111117893"/>
      </right>
      <top style="thin">
        <color theme="0" tint="-0.249977111117893"/>
      </top>
      <bottom style="thick">
        <color indexed="64"/>
      </bottom>
      <diagonal/>
    </border>
    <border>
      <left style="thin">
        <color theme="0" tint="-0.249977111117893"/>
      </left>
      <right style="thin">
        <color theme="0" tint="-0.249977111117893"/>
      </right>
      <top style="thin">
        <color theme="0" tint="-0.249977111117893"/>
      </top>
      <bottom style="thick">
        <color indexed="64"/>
      </bottom>
      <diagonal/>
    </border>
    <border>
      <left style="thin">
        <color theme="0" tint="-0.249977111117893"/>
      </left>
      <right style="thick">
        <color indexed="64"/>
      </right>
      <top style="thin">
        <color theme="0" tint="-0.249977111117893"/>
      </top>
      <bottom style="thick">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451">
    <xf numFmtId="0" fontId="0" fillId="0" borderId="0" xfId="0"/>
    <xf numFmtId="0" fontId="0" fillId="0" borderId="0" xfId="0" applyNumberFormat="1" applyAlignment="1">
      <alignment horizontal="right" wrapText="1"/>
    </xf>
    <xf numFmtId="0" fontId="16" fillId="0" borderId="0" xfId="0" applyFont="1" applyAlignment="1">
      <alignment wrapText="1"/>
    </xf>
    <xf numFmtId="0" fontId="16" fillId="34" borderId="0" xfId="0" applyFont="1" applyFill="1"/>
    <xf numFmtId="0" fontId="0" fillId="34" borderId="0" xfId="0" applyFill="1"/>
    <xf numFmtId="0" fontId="0" fillId="33" borderId="0" xfId="0" applyFill="1"/>
    <xf numFmtId="0" fontId="0" fillId="34" borderId="0" xfId="0" applyFont="1" applyFill="1" applyAlignment="1">
      <alignment wrapText="1"/>
    </xf>
    <xf numFmtId="0" fontId="0" fillId="0" borderId="0" xfId="0" applyFont="1"/>
    <xf numFmtId="0" fontId="0" fillId="0" borderId="10" xfId="0" applyBorder="1"/>
    <xf numFmtId="0" fontId="0" fillId="0" borderId="0" xfId="0" applyFont="1" applyAlignment="1">
      <alignment wrapText="1"/>
    </xf>
    <xf numFmtId="0" fontId="0" fillId="34" borderId="0" xfId="0" applyNumberFormat="1" applyFill="1" applyAlignment="1">
      <alignment wrapText="1"/>
    </xf>
    <xf numFmtId="0" fontId="0" fillId="0" borderId="0" xfId="0" applyNumberFormat="1"/>
    <xf numFmtId="0" fontId="0" fillId="35" borderId="10" xfId="0" applyFill="1" applyBorder="1"/>
    <xf numFmtId="0" fontId="0" fillId="0" borderId="12" xfId="0" applyBorder="1"/>
    <xf numFmtId="0" fontId="0" fillId="0" borderId="13" xfId="0" applyBorder="1"/>
    <xf numFmtId="0" fontId="0" fillId="0" borderId="0" xfId="0"/>
    <xf numFmtId="0" fontId="0" fillId="0" borderId="0" xfId="0" applyAlignment="1">
      <alignment wrapText="1"/>
    </xf>
    <xf numFmtId="0" fontId="0" fillId="0" borderId="15" xfId="0" applyBorder="1"/>
    <xf numFmtId="0" fontId="0" fillId="34" borderId="14" xfId="0" applyFill="1" applyBorder="1"/>
    <xf numFmtId="0" fontId="0" fillId="34" borderId="10" xfId="0" applyFill="1" applyBorder="1"/>
    <xf numFmtId="0" fontId="0" fillId="0" borderId="14" xfId="0" applyBorder="1"/>
    <xf numFmtId="0" fontId="0" fillId="0" borderId="0" xfId="0"/>
    <xf numFmtId="0" fontId="18" fillId="0" borderId="0" xfId="0" applyFont="1"/>
    <xf numFmtId="0" fontId="0" fillId="0" borderId="22" xfId="0" applyFill="1" applyBorder="1"/>
    <xf numFmtId="0" fontId="0" fillId="36" borderId="12" xfId="0" applyFill="1" applyBorder="1"/>
    <xf numFmtId="0" fontId="0" fillId="36" borderId="13" xfId="0" applyFill="1" applyBorder="1"/>
    <xf numFmtId="0" fontId="0" fillId="36" borderId="0" xfId="0" applyFill="1"/>
    <xf numFmtId="0" fontId="0" fillId="36" borderId="11" xfId="0" applyFill="1" applyBorder="1"/>
    <xf numFmtId="0" fontId="0" fillId="36" borderId="17" xfId="0" applyFill="1" applyBorder="1"/>
    <xf numFmtId="0" fontId="0" fillId="36" borderId="10" xfId="0" applyFill="1" applyBorder="1"/>
    <xf numFmtId="0" fontId="19" fillId="0" borderId="0" xfId="42"/>
    <xf numFmtId="0" fontId="0" fillId="36" borderId="11" xfId="0" applyFill="1" applyBorder="1" applyAlignment="1">
      <alignment wrapText="1"/>
    </xf>
    <xf numFmtId="0" fontId="0" fillId="36" borderId="10" xfId="0" applyFill="1" applyBorder="1" applyAlignment="1">
      <alignment wrapText="1"/>
    </xf>
    <xf numFmtId="0" fontId="0" fillId="0" borderId="10" xfId="0" applyBorder="1" applyAlignment="1">
      <alignment wrapText="1"/>
    </xf>
    <xf numFmtId="0" fontId="0" fillId="0" borderId="20" xfId="0" applyBorder="1" applyAlignment="1">
      <alignment wrapText="1"/>
    </xf>
    <xf numFmtId="2" fontId="0" fillId="0" borderId="10" xfId="0" applyNumberFormat="1" applyBorder="1" applyAlignment="1">
      <alignment wrapText="1"/>
    </xf>
    <xf numFmtId="0" fontId="16" fillId="0" borderId="10" xfId="0" applyFont="1" applyBorder="1" applyAlignment="1">
      <alignment wrapText="1"/>
    </xf>
    <xf numFmtId="0" fontId="0" fillId="0" borderId="26" xfId="0" applyBorder="1"/>
    <xf numFmtId="0" fontId="0" fillId="0" borderId="0" xfId="0" applyBorder="1"/>
    <xf numFmtId="0" fontId="0" fillId="0" borderId="16" xfId="0" applyBorder="1"/>
    <xf numFmtId="0" fontId="0" fillId="0" borderId="30" xfId="0" applyBorder="1"/>
    <xf numFmtId="0" fontId="0" fillId="0" borderId="20" xfId="0" applyBorder="1"/>
    <xf numFmtId="0" fontId="0" fillId="0" borderId="21" xfId="0" applyBorder="1"/>
    <xf numFmtId="0" fontId="0" fillId="0" borderId="24" xfId="0" applyBorder="1"/>
    <xf numFmtId="1" fontId="0" fillId="0" borderId="0" xfId="0" applyNumberFormat="1"/>
    <xf numFmtId="0" fontId="0" fillId="36" borderId="27" xfId="0" applyFill="1" applyBorder="1" applyAlignment="1">
      <alignment wrapText="1"/>
    </xf>
    <xf numFmtId="0" fontId="0" fillId="36" borderId="31" xfId="0" applyFill="1" applyBorder="1" applyAlignment="1">
      <alignment wrapText="1"/>
    </xf>
    <xf numFmtId="0" fontId="0" fillId="0" borderId="10" xfId="0" applyFill="1" applyBorder="1" applyAlignment="1">
      <alignment wrapText="1"/>
    </xf>
    <xf numFmtId="0" fontId="0" fillId="0" borderId="0" xfId="0"/>
    <xf numFmtId="0" fontId="0" fillId="0" borderId="0" xfId="0" applyNumberFormat="1" applyAlignment="1">
      <alignment wrapText="1"/>
    </xf>
    <xf numFmtId="164" fontId="0" fillId="0" borderId="0" xfId="0" applyNumberFormat="1"/>
    <xf numFmtId="165" fontId="0" fillId="0" borderId="0" xfId="0" applyNumberFormat="1" applyAlignment="1">
      <alignment wrapText="1"/>
    </xf>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wrapText="1"/>
    </xf>
    <xf numFmtId="4" fontId="0" fillId="0" borderId="0" xfId="0" applyNumberFormat="1" applyAlignment="1">
      <alignment wrapText="1"/>
    </xf>
    <xf numFmtId="0" fontId="16" fillId="0" borderId="0" xfId="0" applyFont="1"/>
    <xf numFmtId="0" fontId="23" fillId="0" borderId="0" xfId="0" applyFont="1"/>
    <xf numFmtId="0" fontId="0" fillId="0" borderId="0" xfId="0" applyBorder="1" applyAlignment="1">
      <alignment wrapText="1"/>
    </xf>
    <xf numFmtId="0" fontId="0" fillId="0" borderId="0" xfId="0" applyFill="1" applyBorder="1"/>
    <xf numFmtId="1" fontId="17" fillId="0" borderId="0" xfId="0" applyNumberFormat="1" applyFont="1" applyFill="1" applyBorder="1" applyAlignment="1">
      <alignment wrapText="1"/>
    </xf>
    <xf numFmtId="0" fontId="26" fillId="0" borderId="0" xfId="0" applyFont="1" applyFill="1"/>
    <xf numFmtId="0" fontId="17" fillId="0" borderId="0" xfId="0" applyFont="1" applyFill="1"/>
    <xf numFmtId="0" fontId="0" fillId="0" borderId="0" xfId="0" applyFill="1"/>
    <xf numFmtId="0" fontId="17" fillId="0" borderId="0" xfId="0" applyFont="1" applyFill="1" applyBorder="1" applyAlignment="1">
      <alignment horizontal="left"/>
    </xf>
    <xf numFmtId="1" fontId="25" fillId="0" borderId="0" xfId="0" applyNumberFormat="1" applyFont="1" applyFill="1" applyBorder="1" applyAlignment="1">
      <alignment horizontal="right"/>
    </xf>
    <xf numFmtId="0" fontId="25" fillId="0" borderId="0" xfId="0" applyFont="1" applyFill="1" applyBorder="1" applyAlignment="1">
      <alignment horizontal="right"/>
    </xf>
    <xf numFmtId="0" fontId="0" fillId="0" borderId="0" xfId="0" applyFill="1" applyBorder="1" applyAlignment="1"/>
    <xf numFmtId="0" fontId="23" fillId="0" borderId="0" xfId="0" applyFont="1" applyFill="1" applyBorder="1"/>
    <xf numFmtId="0" fontId="17" fillId="0"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26" fillId="37" borderId="32" xfId="0" applyFont="1" applyFill="1" applyBorder="1"/>
    <xf numFmtId="0" fontId="17" fillId="37" borderId="34" xfId="0" applyFont="1" applyFill="1" applyBorder="1"/>
    <xf numFmtId="0" fontId="0" fillId="0" borderId="10" xfId="0" applyBorder="1" applyAlignment="1">
      <alignment vertical="center" wrapText="1"/>
    </xf>
    <xf numFmtId="0" fontId="0" fillId="0" borderId="31" xfId="0" applyBorder="1"/>
    <xf numFmtId="0" fontId="0" fillId="0" borderId="36" xfId="0" applyBorder="1" applyAlignment="1">
      <alignment vertical="center" wrapText="1"/>
    </xf>
    <xf numFmtId="0" fontId="28" fillId="0" borderId="0" xfId="0" applyFont="1"/>
    <xf numFmtId="0" fontId="29" fillId="0" borderId="0" xfId="0" applyFont="1"/>
    <xf numFmtId="0" fontId="30" fillId="0" borderId="0" xfId="0" applyFont="1"/>
    <xf numFmtId="0" fontId="30" fillId="0" borderId="0" xfId="0" applyFont="1" applyAlignment="1">
      <alignment horizontal="left" indent="1"/>
    </xf>
    <xf numFmtId="0" fontId="0" fillId="0" borderId="28" xfId="0" applyBorder="1" applyAlignment="1">
      <alignment vertical="center" wrapText="1"/>
    </xf>
    <xf numFmtId="0" fontId="32" fillId="0" borderId="0" xfId="0" applyFont="1"/>
    <xf numFmtId="0" fontId="0" fillId="0" borderId="31" xfId="0" applyBorder="1" applyAlignment="1">
      <alignment wrapText="1"/>
    </xf>
    <xf numFmtId="0" fontId="0" fillId="36" borderId="29" xfId="0" applyFill="1" applyBorder="1" applyAlignment="1">
      <alignment wrapText="1"/>
    </xf>
    <xf numFmtId="0" fontId="0" fillId="34" borderId="10" xfId="0" applyFill="1" applyBorder="1" applyAlignment="1">
      <alignment wrapText="1"/>
    </xf>
    <xf numFmtId="0" fontId="0" fillId="36" borderId="40" xfId="0" applyFill="1" applyBorder="1" applyAlignment="1">
      <alignment wrapText="1"/>
    </xf>
    <xf numFmtId="0" fontId="0" fillId="0" borderId="10" xfId="0" applyBorder="1" applyAlignment="1">
      <alignment horizontal="right"/>
    </xf>
    <xf numFmtId="166" fontId="0" fillId="0" borderId="10" xfId="0" applyNumberFormat="1" applyBorder="1" applyAlignment="1">
      <alignment horizontal="right"/>
    </xf>
    <xf numFmtId="166" fontId="0" fillId="0" borderId="10" xfId="0" applyNumberFormat="1" applyBorder="1" applyAlignment="1">
      <alignment wrapText="1"/>
    </xf>
    <xf numFmtId="166" fontId="0" fillId="0" borderId="10" xfId="0" applyNumberFormat="1" applyFill="1" applyBorder="1" applyAlignment="1">
      <alignment wrapText="1"/>
    </xf>
    <xf numFmtId="166" fontId="0" fillId="0" borderId="10" xfId="0" applyNumberFormat="1" applyFill="1" applyBorder="1" applyAlignment="1">
      <alignment horizontal="right"/>
    </xf>
    <xf numFmtId="0" fontId="0" fillId="0" borderId="10" xfId="0" applyFont="1" applyBorder="1" applyAlignment="1">
      <alignment wrapText="1"/>
    </xf>
    <xf numFmtId="2" fontId="0" fillId="0" borderId="10" xfId="0" applyNumberFormat="1" applyFont="1" applyBorder="1" applyAlignment="1">
      <alignment wrapText="1"/>
    </xf>
    <xf numFmtId="166" fontId="16" fillId="0" borderId="10" xfId="0" applyNumberFormat="1" applyFont="1" applyBorder="1" applyAlignment="1">
      <alignment wrapText="1"/>
    </xf>
    <xf numFmtId="166" fontId="18" fillId="0" borderId="10" xfId="0" applyNumberFormat="1" applyFont="1" applyBorder="1" applyAlignment="1">
      <alignment wrapText="1"/>
    </xf>
    <xf numFmtId="166" fontId="0" fillId="0" borderId="0" xfId="0" applyNumberFormat="1" applyBorder="1" applyAlignment="1">
      <alignment wrapText="1"/>
    </xf>
    <xf numFmtId="166" fontId="0" fillId="0" borderId="0" xfId="0" applyNumberFormat="1" applyAlignment="1">
      <alignment wrapText="1"/>
    </xf>
    <xf numFmtId="166" fontId="0" fillId="0" borderId="31" xfId="0" applyNumberFormat="1" applyBorder="1"/>
    <xf numFmtId="166" fontId="0" fillId="0" borderId="36" xfId="0" applyNumberFormat="1" applyBorder="1" applyAlignment="1">
      <alignment wrapText="1"/>
    </xf>
    <xf numFmtId="166" fontId="18" fillId="0" borderId="31" xfId="0" applyNumberFormat="1" applyFont="1" applyBorder="1" applyAlignment="1">
      <alignment wrapText="1"/>
    </xf>
    <xf numFmtId="166" fontId="0" fillId="0" borderId="10" xfId="0" applyNumberFormat="1" applyBorder="1"/>
    <xf numFmtId="0" fontId="0" fillId="0" borderId="41" xfId="0" applyBorder="1" applyAlignment="1">
      <alignment wrapText="1"/>
    </xf>
    <xf numFmtId="166" fontId="0" fillId="0" borderId="41" xfId="0" applyNumberFormat="1" applyBorder="1" applyAlignment="1">
      <alignment wrapText="1"/>
    </xf>
    <xf numFmtId="166" fontId="0" fillId="0" borderId="41" xfId="0" applyNumberFormat="1" applyBorder="1" applyAlignment="1">
      <alignment horizontal="right"/>
    </xf>
    <xf numFmtId="0" fontId="16" fillId="36" borderId="10" xfId="0" applyFont="1" applyFill="1" applyBorder="1" applyAlignment="1">
      <alignment wrapText="1"/>
    </xf>
    <xf numFmtId="0" fontId="16" fillId="34" borderId="10" xfId="0" applyFont="1" applyFill="1" applyBorder="1"/>
    <xf numFmtId="0" fontId="16" fillId="36" borderId="11" xfId="0" applyFont="1" applyFill="1" applyBorder="1" applyAlignment="1">
      <alignment wrapText="1"/>
    </xf>
    <xf numFmtId="0" fontId="16" fillId="36" borderId="27" xfId="0" applyFont="1" applyFill="1" applyBorder="1" applyAlignment="1">
      <alignment wrapText="1"/>
    </xf>
    <xf numFmtId="0" fontId="16" fillId="35" borderId="10" xfId="0" applyFont="1" applyFill="1" applyBorder="1" applyAlignment="1">
      <alignment wrapText="1"/>
    </xf>
    <xf numFmtId="0" fontId="0" fillId="36" borderId="29" xfId="0" applyFont="1" applyFill="1" applyBorder="1" applyAlignment="1">
      <alignment wrapText="1"/>
    </xf>
    <xf numFmtId="0" fontId="0" fillId="36" borderId="10" xfId="0" applyFont="1" applyFill="1" applyBorder="1" applyAlignment="1">
      <alignment wrapText="1"/>
    </xf>
    <xf numFmtId="0" fontId="0" fillId="36" borderId="4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166" fontId="0" fillId="0" borderId="10" xfId="0" applyNumberFormat="1" applyFont="1" applyBorder="1" applyAlignment="1">
      <alignment wrapText="1"/>
    </xf>
    <xf numFmtId="166" fontId="0" fillId="0" borderId="10" xfId="0" applyNumberFormat="1" applyFont="1" applyBorder="1" applyAlignment="1">
      <alignment horizontal="right"/>
    </xf>
    <xf numFmtId="166" fontId="0" fillId="0" borderId="0" xfId="0" applyNumberFormat="1" applyFont="1"/>
    <xf numFmtId="0" fontId="0" fillId="0" borderId="43" xfId="0" applyBorder="1"/>
    <xf numFmtId="0" fontId="0" fillId="0" borderId="44" xfId="0" applyBorder="1" applyAlignment="1">
      <alignment wrapText="1"/>
    </xf>
    <xf numFmtId="0" fontId="0" fillId="0" borderId="45" xfId="0" applyBorder="1"/>
    <xf numFmtId="2" fontId="0" fillId="0" borderId="0" xfId="0" applyNumberFormat="1" applyBorder="1"/>
    <xf numFmtId="0" fontId="0" fillId="0" borderId="16" xfId="0" applyBorder="1" applyAlignment="1">
      <alignment wrapText="1"/>
    </xf>
    <xf numFmtId="11" fontId="0" fillId="0" borderId="33" xfId="0" applyNumberFormat="1" applyBorder="1"/>
    <xf numFmtId="2" fontId="0" fillId="0" borderId="34" xfId="0" applyNumberFormat="1" applyBorder="1"/>
    <xf numFmtId="0" fontId="16" fillId="0" borderId="16" xfId="0" applyFont="1" applyBorder="1" applyAlignment="1">
      <alignment wrapText="1"/>
    </xf>
    <xf numFmtId="0" fontId="16" fillId="0" borderId="20" xfId="0" applyFont="1" applyBorder="1" applyAlignment="1">
      <alignment wrapText="1"/>
    </xf>
    <xf numFmtId="0" fontId="16" fillId="0" borderId="32" xfId="0" applyFont="1" applyBorder="1"/>
    <xf numFmtId="0" fontId="0" fillId="0" borderId="16" xfId="0" applyFont="1" applyBorder="1"/>
    <xf numFmtId="0" fontId="0" fillId="0" borderId="20" xfId="0" applyFont="1" applyBorder="1"/>
    <xf numFmtId="0" fontId="33" fillId="0" borderId="0" xfId="0" applyFont="1" applyBorder="1"/>
    <xf numFmtId="0" fontId="0" fillId="0" borderId="0" xfId="0" applyFont="1" applyBorder="1"/>
    <xf numFmtId="1" fontId="17" fillId="37" borderId="47" xfId="0" applyNumberFormat="1" applyFont="1" applyFill="1" applyBorder="1" applyAlignment="1">
      <alignment horizontal="center" wrapText="1"/>
    </xf>
    <xf numFmtId="1" fontId="17" fillId="37" borderId="48" xfId="0" applyNumberFormat="1" applyFont="1" applyFill="1" applyBorder="1" applyAlignment="1">
      <alignment horizontal="center" wrapText="1"/>
    </xf>
    <xf numFmtId="1" fontId="17" fillId="37" borderId="48" xfId="0" applyNumberFormat="1" applyFont="1" applyFill="1" applyBorder="1" applyAlignment="1">
      <alignment wrapText="1"/>
    </xf>
    <xf numFmtId="1" fontId="17" fillId="37" borderId="49" xfId="0" applyNumberFormat="1" applyFont="1" applyFill="1" applyBorder="1" applyAlignment="1">
      <alignment wrapText="1"/>
    </xf>
    <xf numFmtId="0" fontId="26" fillId="0" borderId="0" xfId="0" applyFont="1" applyFill="1" applyBorder="1" applyAlignment="1">
      <alignment horizontal="left"/>
    </xf>
    <xf numFmtId="0" fontId="0" fillId="36" borderId="11" xfId="0" applyFont="1" applyFill="1" applyBorder="1" applyAlignment="1">
      <alignment wrapText="1"/>
    </xf>
    <xf numFmtId="0" fontId="0" fillId="36" borderId="31" xfId="0" applyFont="1" applyFill="1" applyBorder="1" applyAlignment="1">
      <alignment wrapText="1"/>
    </xf>
    <xf numFmtId="0" fontId="0" fillId="0" borderId="10" xfId="0" applyFont="1" applyBorder="1" applyAlignment="1">
      <alignment horizontal="right"/>
    </xf>
    <xf numFmtId="0" fontId="27" fillId="33" borderId="10" xfId="0" applyFont="1" applyFill="1" applyBorder="1"/>
    <xf numFmtId="0" fontId="0" fillId="33" borderId="10" xfId="0" applyFill="1" applyBorder="1"/>
    <xf numFmtId="0" fontId="16" fillId="0" borderId="16" xfId="0" applyFont="1" applyFill="1" applyBorder="1" applyAlignment="1">
      <alignment horizontal="left"/>
    </xf>
    <xf numFmtId="0" fontId="16" fillId="0" borderId="0" xfId="0" applyFont="1" applyFill="1" applyBorder="1" applyAlignment="1">
      <alignment horizontal="left"/>
    </xf>
    <xf numFmtId="0" fontId="0" fillId="0" borderId="43" xfId="0" applyBorder="1" applyAlignment="1">
      <alignment wrapText="1"/>
    </xf>
    <xf numFmtId="0" fontId="16" fillId="0" borderId="43" xfId="0" applyFont="1" applyBorder="1" applyAlignment="1">
      <alignment wrapText="1"/>
    </xf>
    <xf numFmtId="0" fontId="16" fillId="0" borderId="14" xfId="0" applyFont="1" applyBorder="1"/>
    <xf numFmtId="166" fontId="16" fillId="0" borderId="10" xfId="0" applyNumberFormat="1" applyFont="1" applyBorder="1"/>
    <xf numFmtId="0" fontId="17" fillId="37" borderId="61" xfId="0" applyFont="1" applyFill="1" applyBorder="1" applyAlignment="1">
      <alignment wrapText="1"/>
    </xf>
    <xf numFmtId="1" fontId="17" fillId="37" borderId="62" xfId="0" applyNumberFormat="1" applyFont="1" applyFill="1" applyBorder="1" applyAlignment="1">
      <alignment wrapText="1"/>
    </xf>
    <xf numFmtId="1" fontId="17" fillId="37" borderId="63" xfId="0" applyNumberFormat="1" applyFont="1" applyFill="1" applyBorder="1" applyAlignment="1">
      <alignment wrapText="1"/>
    </xf>
    <xf numFmtId="0" fontId="17" fillId="37" borderId="64" xfId="0" applyFont="1" applyFill="1" applyBorder="1" applyAlignment="1">
      <alignment wrapText="1"/>
    </xf>
    <xf numFmtId="0" fontId="0" fillId="0" borderId="10" xfId="0" applyFont="1" applyBorder="1"/>
    <xf numFmtId="168" fontId="0" fillId="0" borderId="10" xfId="0" applyNumberFormat="1" applyFont="1" applyBorder="1"/>
    <xf numFmtId="0" fontId="16" fillId="40" borderId="10" xfId="0" applyFont="1" applyFill="1" applyBorder="1" applyAlignment="1">
      <alignment wrapText="1"/>
    </xf>
    <xf numFmtId="168" fontId="0" fillId="0" borderId="15" xfId="0" applyNumberFormat="1" applyFont="1" applyBorder="1"/>
    <xf numFmtId="0" fontId="16" fillId="0" borderId="15" xfId="0" applyFont="1" applyBorder="1"/>
    <xf numFmtId="168" fontId="0" fillId="0" borderId="10" xfId="0" applyNumberFormat="1" applyBorder="1"/>
    <xf numFmtId="168" fontId="0" fillId="0" borderId="15" xfId="0" applyNumberFormat="1" applyBorder="1"/>
    <xf numFmtId="0" fontId="16" fillId="40" borderId="10" xfId="0" applyFont="1" applyFill="1" applyBorder="1"/>
    <xf numFmtId="0" fontId="0" fillId="0" borderId="44" xfId="0" applyBorder="1"/>
    <xf numFmtId="0" fontId="0" fillId="33" borderId="43" xfId="0" applyFill="1" applyBorder="1"/>
    <xf numFmtId="0" fontId="0" fillId="33" borderId="14" xfId="0" applyFill="1" applyBorder="1"/>
    <xf numFmtId="0" fontId="0" fillId="33" borderId="44" xfId="0" applyFill="1" applyBorder="1"/>
    <xf numFmtId="0" fontId="0" fillId="33" borderId="15" xfId="0" applyFill="1" applyBorder="1"/>
    <xf numFmtId="0" fontId="0" fillId="33" borderId="45" xfId="0" applyFill="1" applyBorder="1"/>
    <xf numFmtId="168" fontId="0" fillId="33" borderId="10" xfId="0" applyNumberFormat="1" applyFill="1" applyBorder="1"/>
    <xf numFmtId="0" fontId="0" fillId="33" borderId="43" xfId="0" applyFill="1" applyBorder="1" applyAlignment="1">
      <alignment wrapText="1"/>
    </xf>
    <xf numFmtId="168" fontId="0" fillId="33" borderId="15" xfId="0" applyNumberFormat="1" applyFill="1" applyBorder="1"/>
    <xf numFmtId="168" fontId="0" fillId="33" borderId="10" xfId="0" applyNumberFormat="1" applyFill="1" applyBorder="1" applyAlignment="1">
      <alignment wrapText="1"/>
    </xf>
    <xf numFmtId="168" fontId="27" fillId="33" borderId="10" xfId="0" applyNumberFormat="1" applyFont="1" applyFill="1" applyBorder="1"/>
    <xf numFmtId="0" fontId="0" fillId="33" borderId="10" xfId="0" applyFill="1" applyBorder="1" applyAlignment="1">
      <alignment wrapText="1"/>
    </xf>
    <xf numFmtId="0" fontId="0" fillId="33" borderId="15" xfId="0" applyFill="1" applyBorder="1" applyAlignment="1">
      <alignment wrapText="1"/>
    </xf>
    <xf numFmtId="0" fontId="0" fillId="33" borderId="37" xfId="0" applyFill="1" applyBorder="1"/>
    <xf numFmtId="0" fontId="0" fillId="33" borderId="38" xfId="0" applyFill="1" applyBorder="1"/>
    <xf numFmtId="0" fontId="0" fillId="33" borderId="39" xfId="0" applyFill="1" applyBorder="1"/>
    <xf numFmtId="0" fontId="0" fillId="33" borderId="26" xfId="0" applyFill="1" applyBorder="1"/>
    <xf numFmtId="0" fontId="0" fillId="33" borderId="0" xfId="0" applyFill="1" applyBorder="1"/>
    <xf numFmtId="0" fontId="0" fillId="33" borderId="28" xfId="0" applyFill="1" applyBorder="1"/>
    <xf numFmtId="0" fontId="0" fillId="33" borderId="27" xfId="0" applyFill="1" applyBorder="1"/>
    <xf numFmtId="0" fontId="0" fillId="33" borderId="25" xfId="0" applyFill="1" applyBorder="1"/>
    <xf numFmtId="0" fontId="0" fillId="33" borderId="29" xfId="0" applyFill="1" applyBorder="1"/>
    <xf numFmtId="0" fontId="16" fillId="41" borderId="42" xfId="0" applyFont="1" applyFill="1" applyBorder="1"/>
    <xf numFmtId="0" fontId="16" fillId="41" borderId="12" xfId="0" applyFont="1" applyFill="1" applyBorder="1"/>
    <xf numFmtId="0" fontId="16" fillId="41" borderId="13" xfId="0" applyFont="1" applyFill="1" applyBorder="1"/>
    <xf numFmtId="0" fontId="16" fillId="41" borderId="43" xfId="0" applyFont="1" applyFill="1" applyBorder="1"/>
    <xf numFmtId="0" fontId="0" fillId="41" borderId="43" xfId="0" applyFill="1" applyBorder="1" applyAlignment="1">
      <alignment horizontal="left" vertical="center"/>
    </xf>
    <xf numFmtId="0" fontId="0" fillId="41" borderId="44" xfId="0" applyFill="1" applyBorder="1" applyAlignment="1">
      <alignment horizontal="left" vertical="center" wrapText="1"/>
    </xf>
    <xf numFmtId="0" fontId="16" fillId="42" borderId="10" xfId="0" applyFont="1" applyFill="1" applyBorder="1" applyAlignment="1">
      <alignment horizontal="center"/>
    </xf>
    <xf numFmtId="0" fontId="0" fillId="42" borderId="10" xfId="0" applyFill="1" applyBorder="1" applyAlignment="1">
      <alignment horizontal="center" textRotation="90" wrapText="1"/>
    </xf>
    <xf numFmtId="0" fontId="0" fillId="38" borderId="45" xfId="0" applyFill="1" applyBorder="1" applyAlignment="1">
      <alignment horizontal="left" vertical="center"/>
    </xf>
    <xf numFmtId="0" fontId="16" fillId="42" borderId="14" xfId="0" applyFont="1" applyFill="1" applyBorder="1" applyAlignment="1">
      <alignment horizontal="center"/>
    </xf>
    <xf numFmtId="0" fontId="0" fillId="42" borderId="14" xfId="0" applyFill="1" applyBorder="1" applyAlignment="1">
      <alignment horizontal="center" textRotation="90" wrapText="1"/>
    </xf>
    <xf numFmtId="0" fontId="16" fillId="40" borderId="10" xfId="0" applyFont="1" applyFill="1" applyBorder="1" applyAlignment="1">
      <alignment horizontal="center"/>
    </xf>
    <xf numFmtId="0" fontId="0" fillId="40" borderId="10" xfId="0" applyFill="1" applyBorder="1" applyAlignment="1">
      <alignment horizontal="center" textRotation="90" wrapText="1"/>
    </xf>
    <xf numFmtId="0" fontId="0" fillId="35" borderId="30" xfId="0" applyFill="1" applyBorder="1" applyAlignment="1">
      <alignment horizontal="left"/>
    </xf>
    <xf numFmtId="0" fontId="0" fillId="0" borderId="0" xfId="0" applyAlignment="1">
      <alignment horizontal="center" vertical="center"/>
    </xf>
    <xf numFmtId="0" fontId="17" fillId="37" borderId="50" xfId="0" applyFont="1" applyFill="1" applyBorder="1" applyAlignment="1">
      <alignment horizontal="left"/>
    </xf>
    <xf numFmtId="0" fontId="17" fillId="37" borderId="46" xfId="0" applyFont="1" applyFill="1" applyBorder="1" applyAlignment="1">
      <alignment horizontal="left"/>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4" xfId="0" applyBorder="1" applyAlignment="1">
      <alignment horizontal="left"/>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Fill="1" applyBorder="1" applyAlignment="1">
      <alignment horizontal="left" wrapText="1"/>
    </xf>
    <xf numFmtId="0" fontId="0" fillId="38" borderId="15" xfId="0" applyFill="1" applyBorder="1" applyAlignment="1">
      <alignment horizontal="left" vertical="center" wrapText="1"/>
    </xf>
    <xf numFmtId="0" fontId="0" fillId="0" borderId="0" xfId="0" applyAlignment="1">
      <alignment horizontal="left" wrapText="1"/>
    </xf>
    <xf numFmtId="0" fontId="16" fillId="40" borderId="12" xfId="0" applyFont="1" applyFill="1" applyBorder="1" applyAlignment="1">
      <alignment horizontal="center"/>
    </xf>
    <xf numFmtId="166" fontId="0" fillId="43" borderId="35" xfId="0" applyNumberFormat="1" applyFill="1" applyBorder="1" applyAlignment="1">
      <alignment wrapText="1"/>
    </xf>
    <xf numFmtId="0" fontId="0" fillId="0" borderId="0" xfId="0" applyBorder="1" applyAlignment="1">
      <alignment horizontal="center" wrapText="1"/>
    </xf>
    <xf numFmtId="0" fontId="16" fillId="0" borderId="0" xfId="0" applyFont="1" applyBorder="1"/>
    <xf numFmtId="0" fontId="16" fillId="36" borderId="18" xfId="0" applyFont="1" applyFill="1" applyBorder="1"/>
    <xf numFmtId="0" fontId="16" fillId="36" borderId="19" xfId="0" applyFont="1" applyFill="1" applyBorder="1"/>
    <xf numFmtId="0" fontId="16" fillId="36" borderId="23" xfId="0" applyFont="1" applyFill="1" applyBorder="1"/>
    <xf numFmtId="0" fontId="0" fillId="36" borderId="18" xfId="0" applyFill="1" applyBorder="1"/>
    <xf numFmtId="0" fontId="0" fillId="36" borderId="19" xfId="0" applyFill="1" applyBorder="1"/>
    <xf numFmtId="0" fontId="33" fillId="36" borderId="19" xfId="0" applyFont="1" applyFill="1" applyBorder="1"/>
    <xf numFmtId="0" fontId="33" fillId="36" borderId="23" xfId="0" applyFont="1" applyFill="1" applyBorder="1"/>
    <xf numFmtId="0" fontId="33" fillId="36" borderId="18" xfId="0" applyFont="1" applyFill="1" applyBorder="1"/>
    <xf numFmtId="0" fontId="0" fillId="36" borderId="23" xfId="0" applyFill="1" applyBorder="1"/>
    <xf numFmtId="0" fontId="0" fillId="0" borderId="20" xfId="0" applyFill="1" applyBorder="1" applyAlignment="1">
      <alignment horizontal="left"/>
    </xf>
    <xf numFmtId="0" fontId="0" fillId="0" borderId="21" xfId="0" applyFill="1" applyBorder="1" applyAlignment="1">
      <alignment horizontal="left"/>
    </xf>
    <xf numFmtId="0" fontId="0" fillId="0" borderId="24" xfId="0" applyFill="1" applyBorder="1" applyAlignment="1">
      <alignment horizontal="left"/>
    </xf>
    <xf numFmtId="0" fontId="17" fillId="0" borderId="0" xfId="0" applyFont="1" applyFill="1" applyBorder="1" applyAlignment="1">
      <alignment wrapText="1"/>
    </xf>
    <xf numFmtId="0" fontId="16" fillId="0" borderId="0" xfId="0" applyFont="1" applyFill="1" applyBorder="1"/>
    <xf numFmtId="0" fontId="0" fillId="40" borderId="10" xfId="0" applyFill="1" applyBorder="1"/>
    <xf numFmtId="0" fontId="0" fillId="0" borderId="43" xfId="0" applyFill="1" applyBorder="1"/>
    <xf numFmtId="0" fontId="0" fillId="0" borderId="14" xfId="0" applyFill="1" applyBorder="1"/>
    <xf numFmtId="0" fontId="0" fillId="0" borderId="43" xfId="0" applyFill="1" applyBorder="1" applyAlignment="1">
      <alignment wrapText="1"/>
    </xf>
    <xf numFmtId="166" fontId="0" fillId="0" borderId="10" xfId="0" applyNumberFormat="1" applyFill="1" applyBorder="1"/>
    <xf numFmtId="0" fontId="0" fillId="0" borderId="69" xfId="0" applyFill="1" applyBorder="1"/>
    <xf numFmtId="166" fontId="0" fillId="0" borderId="41" xfId="0" applyNumberFormat="1" applyFill="1" applyBorder="1"/>
    <xf numFmtId="0" fontId="0" fillId="0" borderId="70" xfId="0" applyFill="1" applyBorder="1"/>
    <xf numFmtId="0" fontId="0" fillId="0" borderId="69" xfId="0" applyBorder="1" applyAlignment="1">
      <alignment wrapText="1"/>
    </xf>
    <xf numFmtId="166" fontId="0" fillId="0" borderId="41" xfId="0" applyNumberFormat="1" applyBorder="1"/>
    <xf numFmtId="0" fontId="0" fillId="0" borderId="70" xfId="0" applyBorder="1"/>
    <xf numFmtId="0" fontId="16" fillId="0" borderId="42" xfId="0" applyFont="1" applyBorder="1" applyAlignment="1">
      <alignment wrapText="1"/>
    </xf>
    <xf numFmtId="166" fontId="16" fillId="0" borderId="12" xfId="0" applyNumberFormat="1" applyFont="1" applyBorder="1"/>
    <xf numFmtId="0" fontId="16" fillId="0" borderId="13" xfId="0" applyFont="1" applyFill="1" applyBorder="1"/>
    <xf numFmtId="0" fontId="16" fillId="0" borderId="44" xfId="0" applyFont="1" applyBorder="1" applyAlignment="1">
      <alignment wrapText="1"/>
    </xf>
    <xf numFmtId="166" fontId="16" fillId="0" borderId="15" xfId="0" applyNumberFormat="1" applyFont="1" applyBorder="1"/>
    <xf numFmtId="0" fontId="16" fillId="0" borderId="45" xfId="0" applyFont="1" applyFill="1" applyBorder="1"/>
    <xf numFmtId="0" fontId="16" fillId="0" borderId="42" xfId="0" applyFont="1" applyFill="1" applyBorder="1" applyAlignment="1">
      <alignment wrapText="1"/>
    </xf>
    <xf numFmtId="166" fontId="16" fillId="0" borderId="12" xfId="0" applyNumberFormat="1" applyFont="1" applyFill="1" applyBorder="1"/>
    <xf numFmtId="0" fontId="16" fillId="0" borderId="44" xfId="0" applyFont="1" applyFill="1" applyBorder="1" applyAlignment="1">
      <alignment wrapText="1"/>
    </xf>
    <xf numFmtId="0" fontId="16" fillId="0" borderId="15" xfId="0" applyFont="1" applyFill="1" applyBorder="1"/>
    <xf numFmtId="166" fontId="16" fillId="0" borderId="15" xfId="0" applyNumberFormat="1" applyFont="1" applyFill="1" applyBorder="1"/>
    <xf numFmtId="0" fontId="16" fillId="0" borderId="45" xfId="0" applyFont="1" applyBorder="1"/>
    <xf numFmtId="0" fontId="16" fillId="0" borderId="13" xfId="0" applyFont="1" applyBorder="1"/>
    <xf numFmtId="166" fontId="0" fillId="46" borderId="35" xfId="0" applyNumberFormat="1" applyFill="1" applyBorder="1" applyAlignment="1">
      <alignment wrapText="1"/>
    </xf>
    <xf numFmtId="1" fontId="0" fillId="46" borderId="65" xfId="0" applyNumberFormat="1" applyFont="1" applyFill="1" applyBorder="1"/>
    <xf numFmtId="166" fontId="0" fillId="46" borderId="46" xfId="0" applyNumberFormat="1" applyFill="1" applyBorder="1"/>
    <xf numFmtId="166" fontId="0" fillId="46" borderId="51" xfId="0" applyNumberFormat="1" applyFill="1" applyBorder="1"/>
    <xf numFmtId="0" fontId="0" fillId="46" borderId="46" xfId="0" applyFill="1" applyBorder="1"/>
    <xf numFmtId="0" fontId="0" fillId="46" borderId="53" xfId="0" applyFill="1" applyBorder="1"/>
    <xf numFmtId="167" fontId="0" fillId="46" borderId="53" xfId="43" applyNumberFormat="1" applyFont="1" applyFill="1" applyBorder="1"/>
    <xf numFmtId="166" fontId="0" fillId="46" borderId="54" xfId="0" applyNumberFormat="1" applyFill="1" applyBorder="1"/>
    <xf numFmtId="9" fontId="0" fillId="47" borderId="0" xfId="43" applyFont="1" applyFill="1" applyBorder="1" applyAlignment="1">
      <alignment horizontal="left"/>
    </xf>
    <xf numFmtId="0" fontId="0" fillId="0" borderId="69" xfId="0" applyFill="1" applyBorder="1" applyAlignment="1">
      <alignment wrapText="1"/>
    </xf>
    <xf numFmtId="0" fontId="0" fillId="40" borderId="12" xfId="0" applyFill="1" applyBorder="1" applyAlignment="1">
      <alignment horizontal="center"/>
    </xf>
    <xf numFmtId="0" fontId="16" fillId="39" borderId="42" xfId="0" applyFont="1" applyFill="1" applyBorder="1"/>
    <xf numFmtId="0" fontId="16" fillId="39" borderId="12" xfId="0" applyFont="1" applyFill="1" applyBorder="1" applyAlignment="1">
      <alignment wrapText="1"/>
    </xf>
    <xf numFmtId="0" fontId="16" fillId="39" borderId="12" xfId="0" applyFont="1" applyFill="1" applyBorder="1"/>
    <xf numFmtId="0" fontId="16" fillId="39" borderId="13" xfId="0" applyFont="1" applyFill="1" applyBorder="1"/>
    <xf numFmtId="0" fontId="16" fillId="0" borderId="43" xfId="0" applyFont="1" applyBorder="1"/>
    <xf numFmtId="166" fontId="0" fillId="0" borderId="14" xfId="0" applyNumberFormat="1" applyBorder="1"/>
    <xf numFmtId="0" fontId="16" fillId="0" borderId="44" xfId="0" applyFont="1" applyBorder="1"/>
    <xf numFmtId="166" fontId="0" fillId="0" borderId="15" xfId="0" applyNumberFormat="1" applyBorder="1" applyAlignment="1">
      <alignment wrapText="1"/>
    </xf>
    <xf numFmtId="166" fontId="0" fillId="0" borderId="45" xfId="0" applyNumberFormat="1" applyBorder="1" applyAlignment="1">
      <alignment wrapText="1"/>
    </xf>
    <xf numFmtId="0" fontId="0" fillId="44" borderId="32" xfId="0" applyFill="1" applyBorder="1" applyAlignment="1">
      <alignment wrapText="1"/>
    </xf>
    <xf numFmtId="0" fontId="0" fillId="44" borderId="34" xfId="0" applyFill="1" applyBorder="1"/>
    <xf numFmtId="0" fontId="16" fillId="0" borderId="57" xfId="0" applyFont="1" applyBorder="1"/>
    <xf numFmtId="166" fontId="27" fillId="0" borderId="10" xfId="0" applyNumberFormat="1" applyFont="1" applyFill="1" applyBorder="1"/>
    <xf numFmtId="0" fontId="32" fillId="0" borderId="0" xfId="0" applyFont="1" applyAlignment="1"/>
    <xf numFmtId="0" fontId="35" fillId="0" borderId="0" xfId="0" applyFont="1"/>
    <xf numFmtId="0" fontId="0" fillId="33" borderId="69" xfId="0" applyFill="1" applyBorder="1" applyAlignment="1">
      <alignment horizontal="left" vertical="center"/>
    </xf>
    <xf numFmtId="0" fontId="0" fillId="33" borderId="71" xfId="0" applyFill="1" applyBorder="1" applyAlignment="1">
      <alignment horizontal="left" vertical="center"/>
    </xf>
    <xf numFmtId="0" fontId="0" fillId="33" borderId="56" xfId="0" applyFill="1" applyBorder="1" applyAlignment="1">
      <alignment horizontal="left" vertical="center"/>
    </xf>
    <xf numFmtId="0" fontId="0" fillId="33" borderId="30" xfId="0" applyFill="1" applyBorder="1"/>
    <xf numFmtId="0" fontId="0" fillId="33" borderId="43" xfId="0" applyFill="1" applyBorder="1" applyAlignment="1">
      <alignment vertical="center"/>
    </xf>
    <xf numFmtId="0" fontId="0" fillId="33" borderId="72" xfId="0" applyFill="1" applyBorder="1" applyAlignment="1">
      <alignment horizontal="left" vertical="center"/>
    </xf>
    <xf numFmtId="0" fontId="19" fillId="33" borderId="14" xfId="42" applyFill="1" applyBorder="1"/>
    <xf numFmtId="0" fontId="19" fillId="33" borderId="73" xfId="42" applyFill="1" applyBorder="1"/>
    <xf numFmtId="0" fontId="19" fillId="33" borderId="74" xfId="42" applyFill="1" applyBorder="1"/>
    <xf numFmtId="0" fontId="0" fillId="40" borderId="42" xfId="0" applyFill="1" applyBorder="1"/>
    <xf numFmtId="0" fontId="0" fillId="40" borderId="12" xfId="0" applyFill="1" applyBorder="1"/>
    <xf numFmtId="0" fontId="0" fillId="40" borderId="13" xfId="0" applyFill="1" applyBorder="1" applyAlignment="1"/>
    <xf numFmtId="0" fontId="0" fillId="34" borderId="18" xfId="0" applyFill="1" applyBorder="1"/>
    <xf numFmtId="0" fontId="0" fillId="34" borderId="19" xfId="0" applyFill="1" applyBorder="1" applyAlignment="1">
      <alignment wrapText="1"/>
    </xf>
    <xf numFmtId="0" fontId="0" fillId="34" borderId="23" xfId="0" applyFill="1" applyBorder="1" applyAlignment="1">
      <alignment wrapText="1"/>
    </xf>
    <xf numFmtId="0" fontId="0" fillId="0" borderId="21" xfId="0" applyBorder="1" applyAlignment="1">
      <alignment wrapText="1"/>
    </xf>
    <xf numFmtId="0" fontId="16" fillId="36" borderId="10" xfId="0" applyFont="1" applyFill="1" applyBorder="1"/>
    <xf numFmtId="0" fontId="0" fillId="36" borderId="10" xfId="0" applyFont="1" applyFill="1" applyBorder="1"/>
    <xf numFmtId="0" fontId="16" fillId="40" borderId="42" xfId="0" applyFont="1" applyFill="1" applyBorder="1"/>
    <xf numFmtId="0" fontId="16" fillId="40" borderId="12" xfId="0" applyFont="1" applyFill="1" applyBorder="1"/>
    <xf numFmtId="0" fontId="16" fillId="40" borderId="12" xfId="0" applyFont="1" applyFill="1" applyBorder="1" applyAlignment="1">
      <alignment wrapText="1"/>
    </xf>
    <xf numFmtId="0" fontId="16" fillId="40" borderId="13" xfId="0" applyFont="1" applyFill="1" applyBorder="1" applyAlignment="1">
      <alignment wrapText="1"/>
    </xf>
    <xf numFmtId="0" fontId="16" fillId="40" borderId="18" xfId="0" applyFont="1" applyFill="1" applyBorder="1" applyAlignment="1">
      <alignment wrapText="1"/>
    </xf>
    <xf numFmtId="0" fontId="0" fillId="40" borderId="23" xfId="0" applyFill="1" applyBorder="1" applyAlignment="1">
      <alignment wrapText="1"/>
    </xf>
    <xf numFmtId="0" fontId="16" fillId="40" borderId="19" xfId="0" applyFont="1" applyFill="1" applyBorder="1"/>
    <xf numFmtId="0" fontId="16" fillId="40" borderId="23" xfId="0" applyFont="1" applyFill="1" applyBorder="1"/>
    <xf numFmtId="166" fontId="0" fillId="0" borderId="30" xfId="0" applyNumberFormat="1" applyBorder="1" applyAlignment="1"/>
    <xf numFmtId="166" fontId="0" fillId="0" borderId="0" xfId="0" applyNumberFormat="1" applyBorder="1"/>
    <xf numFmtId="166" fontId="0" fillId="0" borderId="33" xfId="0" applyNumberFormat="1" applyBorder="1"/>
    <xf numFmtId="166" fontId="0" fillId="0" borderId="21" xfId="0" applyNumberFormat="1" applyBorder="1" applyAlignment="1">
      <alignment wrapText="1"/>
    </xf>
    <xf numFmtId="166" fontId="0" fillId="0" borderId="24" xfId="0" applyNumberFormat="1" applyBorder="1"/>
    <xf numFmtId="166" fontId="0" fillId="0" borderId="21" xfId="0" applyNumberFormat="1" applyBorder="1"/>
    <xf numFmtId="166" fontId="0" fillId="46" borderId="0" xfId="0" applyNumberFormat="1" applyFill="1" applyBorder="1" applyAlignment="1">
      <alignment horizontal="left"/>
    </xf>
    <xf numFmtId="0" fontId="0" fillId="47" borderId="31" xfId="0" applyFill="1" applyBorder="1" applyAlignment="1">
      <alignment vertical="center"/>
    </xf>
    <xf numFmtId="0" fontId="0" fillId="46" borderId="36" xfId="0" applyFill="1" applyBorder="1" applyAlignment="1">
      <alignment vertical="center"/>
    </xf>
    <xf numFmtId="0" fontId="0" fillId="0" borderId="0" xfId="0" applyAlignment="1">
      <alignment horizontal="center" vertical="center"/>
    </xf>
    <xf numFmtId="0" fontId="36" fillId="0" borderId="0" xfId="0" applyFont="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center"/>
    </xf>
    <xf numFmtId="0" fontId="32" fillId="0" borderId="0" xfId="0" applyFont="1" applyAlignment="1">
      <alignment horizontal="left"/>
    </xf>
    <xf numFmtId="0" fontId="13" fillId="0" borderId="0" xfId="0" applyFont="1" applyFill="1" applyBorder="1" applyAlignment="1">
      <alignment horizontal="left"/>
    </xf>
    <xf numFmtId="0" fontId="0" fillId="47" borderId="16" xfId="0" applyFill="1" applyBorder="1" applyAlignment="1">
      <alignment horizontal="left"/>
    </xf>
    <xf numFmtId="0" fontId="0" fillId="47" borderId="0" xfId="0" applyFill="1" applyBorder="1" applyAlignment="1">
      <alignment horizontal="left"/>
    </xf>
    <xf numFmtId="0" fontId="0" fillId="47" borderId="20" xfId="0" applyFill="1" applyBorder="1" applyAlignment="1">
      <alignment horizontal="left"/>
    </xf>
    <xf numFmtId="0" fontId="0" fillId="47" borderId="21" xfId="0" applyFill="1" applyBorder="1" applyAlignment="1">
      <alignment horizontal="left"/>
    </xf>
    <xf numFmtId="0" fontId="0" fillId="47" borderId="0" xfId="0" applyFill="1" applyBorder="1" applyAlignment="1">
      <alignment horizontal="center"/>
    </xf>
    <xf numFmtId="0" fontId="0" fillId="47" borderId="21" xfId="0" applyFill="1" applyBorder="1" applyAlignment="1">
      <alignment horizontal="center"/>
    </xf>
    <xf numFmtId="0" fontId="21" fillId="0" borderId="16" xfId="0" applyFont="1" applyFill="1" applyBorder="1" applyAlignment="1">
      <alignment horizontal="left"/>
    </xf>
    <xf numFmtId="0" fontId="21" fillId="0" borderId="0" xfId="0" applyFont="1" applyFill="1" applyBorder="1" applyAlignment="1">
      <alignment horizontal="left"/>
    </xf>
    <xf numFmtId="0" fontId="21" fillId="0" borderId="30" xfId="0" applyFont="1" applyFill="1" applyBorder="1" applyAlignment="1">
      <alignment horizontal="left"/>
    </xf>
    <xf numFmtId="0" fontId="17" fillId="37" borderId="50" xfId="0" applyFont="1" applyFill="1" applyBorder="1" applyAlignment="1">
      <alignment horizontal="left" wrapText="1"/>
    </xf>
    <xf numFmtId="0" fontId="17" fillId="37" borderId="46" xfId="0" applyFont="1" applyFill="1" applyBorder="1" applyAlignment="1">
      <alignment horizontal="left" wrapText="1"/>
    </xf>
    <xf numFmtId="0" fontId="17" fillId="37" borderId="52" xfId="0" applyFont="1" applyFill="1" applyBorder="1" applyAlignment="1">
      <alignment horizontal="left"/>
    </xf>
    <xf numFmtId="0" fontId="17" fillId="37" borderId="53" xfId="0" applyFont="1" applyFill="1" applyBorder="1" applyAlignment="1">
      <alignment horizontal="left"/>
    </xf>
    <xf numFmtId="0" fontId="0" fillId="46" borderId="35" xfId="0" applyFill="1" applyBorder="1" applyAlignment="1">
      <alignment horizontal="center" vertical="center" wrapText="1"/>
    </xf>
    <xf numFmtId="0" fontId="0" fillId="46" borderId="67" xfId="0" applyFill="1" applyBorder="1" applyAlignment="1">
      <alignment horizontal="center" vertical="center" wrapText="1"/>
    </xf>
    <xf numFmtId="0" fontId="0" fillId="47" borderId="16" xfId="0" applyFill="1" applyBorder="1" applyAlignment="1">
      <alignment horizontal="center"/>
    </xf>
    <xf numFmtId="0" fontId="0" fillId="47" borderId="30" xfId="0" applyFill="1" applyBorder="1" applyAlignment="1">
      <alignment horizontal="left"/>
    </xf>
    <xf numFmtId="0" fontId="21" fillId="0" borderId="16" xfId="0" applyFont="1" applyFill="1" applyBorder="1" applyAlignment="1">
      <alignment horizontal="left" wrapText="1"/>
    </xf>
    <xf numFmtId="0" fontId="21" fillId="0" borderId="0" xfId="0" applyFont="1" applyFill="1" applyBorder="1" applyAlignment="1">
      <alignment horizontal="left" wrapText="1"/>
    </xf>
    <xf numFmtId="0" fontId="21" fillId="0" borderId="30" xfId="0" applyFont="1" applyFill="1" applyBorder="1" applyAlignment="1">
      <alignment horizontal="left" wrapText="1"/>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27" fillId="0" borderId="16" xfId="0" applyFont="1" applyBorder="1" applyAlignment="1">
      <alignment horizontal="left" wrapText="1"/>
    </xf>
    <xf numFmtId="0" fontId="27" fillId="0" borderId="0" xfId="0" applyFont="1" applyBorder="1" applyAlignment="1">
      <alignment horizontal="left" wrapText="1"/>
    </xf>
    <xf numFmtId="0" fontId="27" fillId="0" borderId="30" xfId="0" applyFont="1" applyBorder="1" applyAlignment="1">
      <alignment horizontal="left" wrapText="1"/>
    </xf>
    <xf numFmtId="0" fontId="20" fillId="37" borderId="18" xfId="0" applyFont="1" applyFill="1" applyBorder="1" applyAlignment="1">
      <alignment horizontal="left" wrapText="1"/>
    </xf>
    <xf numFmtId="0" fontId="20" fillId="37" borderId="19" xfId="0" applyFont="1" applyFill="1" applyBorder="1" applyAlignment="1">
      <alignment horizontal="left" wrapText="1"/>
    </xf>
    <xf numFmtId="0" fontId="20" fillId="37" borderId="23" xfId="0" applyFont="1" applyFill="1" applyBorder="1" applyAlignment="1">
      <alignment horizontal="left" wrapText="1"/>
    </xf>
    <xf numFmtId="0" fontId="20" fillId="37" borderId="18" xfId="0" applyFont="1" applyFill="1" applyBorder="1" applyAlignment="1">
      <alignment horizontal="left"/>
    </xf>
    <xf numFmtId="0" fontId="20" fillId="37" borderId="19" xfId="0" applyFont="1" applyFill="1" applyBorder="1" applyAlignment="1">
      <alignment horizontal="left"/>
    </xf>
    <xf numFmtId="0" fontId="20" fillId="37" borderId="23" xfId="0" applyFont="1" applyFill="1" applyBorder="1" applyAlignment="1">
      <alignment horizontal="left"/>
    </xf>
    <xf numFmtId="0" fontId="20" fillId="0" borderId="0" xfId="0" applyFont="1" applyFill="1" applyBorder="1" applyAlignment="1">
      <alignment horizontal="left" wrapText="1"/>
    </xf>
    <xf numFmtId="2" fontId="0" fillId="46" borderId="20" xfId="0" applyNumberFormat="1" applyFill="1" applyBorder="1" applyAlignment="1">
      <alignment horizontal="left"/>
    </xf>
    <xf numFmtId="2" fontId="0" fillId="46" borderId="21" xfId="0" applyNumberFormat="1" applyFill="1" applyBorder="1" applyAlignment="1">
      <alignment horizontal="left"/>
    </xf>
    <xf numFmtId="2" fontId="0" fillId="46" borderId="24" xfId="0" applyNumberFormat="1" applyFill="1" applyBorder="1" applyAlignment="1">
      <alignment horizontal="left"/>
    </xf>
    <xf numFmtId="0" fontId="21" fillId="0" borderId="16" xfId="0" applyFont="1" applyBorder="1" applyAlignment="1">
      <alignment horizontal="left" wrapText="1"/>
    </xf>
    <xf numFmtId="0" fontId="21" fillId="0" borderId="0" xfId="0" applyFont="1" applyBorder="1" applyAlignment="1">
      <alignment horizontal="left" wrapText="1"/>
    </xf>
    <xf numFmtId="0" fontId="21" fillId="0" borderId="30" xfId="0" applyFont="1" applyBorder="1" applyAlignment="1">
      <alignment horizontal="left" wrapText="1"/>
    </xf>
    <xf numFmtId="0" fontId="0" fillId="0" borderId="16" xfId="0" applyBorder="1" applyAlignment="1">
      <alignment horizontal="left" wrapText="1"/>
    </xf>
    <xf numFmtId="0" fontId="0" fillId="0" borderId="0" xfId="0" applyBorder="1" applyAlignment="1">
      <alignment horizontal="left" wrapText="1"/>
    </xf>
    <xf numFmtId="0" fontId="0" fillId="0" borderId="30" xfId="0" applyBorder="1" applyAlignment="1">
      <alignment horizontal="left" wrapText="1"/>
    </xf>
    <xf numFmtId="0" fontId="24" fillId="0" borderId="20" xfId="0" applyFont="1" applyBorder="1" applyAlignment="1">
      <alignment horizontal="left"/>
    </xf>
    <xf numFmtId="0" fontId="24" fillId="0" borderId="21" xfId="0" applyFont="1" applyBorder="1" applyAlignment="1">
      <alignment horizontal="left"/>
    </xf>
    <xf numFmtId="0" fontId="24" fillId="0" borderId="24" xfId="0" applyFont="1" applyBorder="1" applyAlignment="1">
      <alignment horizontal="left"/>
    </xf>
    <xf numFmtId="0" fontId="0" fillId="0" borderId="16" xfId="0" applyFill="1" applyBorder="1" applyAlignment="1">
      <alignment horizontal="left" wrapText="1"/>
    </xf>
    <xf numFmtId="0" fontId="0" fillId="0" borderId="0" xfId="0" applyFill="1" applyBorder="1" applyAlignment="1">
      <alignment horizontal="left" wrapText="1"/>
    </xf>
    <xf numFmtId="0" fontId="0" fillId="0" borderId="30" xfId="0" applyFill="1" applyBorder="1" applyAlignment="1">
      <alignment horizontal="left" wrapText="1"/>
    </xf>
    <xf numFmtId="0" fontId="0" fillId="0" borderId="16" xfId="0" applyFill="1" applyBorder="1" applyAlignment="1">
      <alignment horizontal="center"/>
    </xf>
    <xf numFmtId="0" fontId="0" fillId="0" borderId="0" xfId="0" applyFill="1" applyBorder="1" applyAlignment="1">
      <alignment horizontal="center"/>
    </xf>
    <xf numFmtId="0" fontId="0" fillId="0" borderId="30" xfId="0" applyFill="1" applyBorder="1" applyAlignment="1">
      <alignment horizontal="center"/>
    </xf>
    <xf numFmtId="0" fontId="17" fillId="37" borderId="32" xfId="0" applyFont="1" applyFill="1" applyBorder="1" applyAlignment="1">
      <alignment horizontal="left"/>
    </xf>
    <xf numFmtId="0" fontId="17" fillId="37" borderId="33" xfId="0" applyFont="1" applyFill="1" applyBorder="1" applyAlignment="1">
      <alignment horizontal="left"/>
    </xf>
    <xf numFmtId="1" fontId="25" fillId="45" borderId="33" xfId="0" applyNumberFormat="1" applyFont="1" applyFill="1" applyBorder="1" applyAlignment="1">
      <alignment horizontal="right"/>
    </xf>
    <xf numFmtId="0" fontId="25" fillId="45" borderId="34" xfId="0" applyFont="1" applyFill="1" applyBorder="1" applyAlignment="1">
      <alignment horizontal="right"/>
    </xf>
    <xf numFmtId="0" fontId="26" fillId="37" borderId="18" xfId="0" applyFont="1" applyFill="1" applyBorder="1" applyAlignment="1">
      <alignment horizontal="left"/>
    </xf>
    <xf numFmtId="0" fontId="26" fillId="37" borderId="23" xfId="0" applyFont="1" applyFill="1" applyBorder="1" applyAlignment="1">
      <alignment horizontal="left"/>
    </xf>
    <xf numFmtId="0" fontId="20" fillId="37" borderId="16" xfId="0" applyFont="1" applyFill="1" applyBorder="1" applyAlignment="1">
      <alignment horizontal="left" wrapText="1"/>
    </xf>
    <xf numFmtId="0" fontId="20" fillId="37" borderId="0" xfId="0" applyFont="1" applyFill="1" applyBorder="1" applyAlignment="1">
      <alignment horizontal="left" wrapText="1"/>
    </xf>
    <xf numFmtId="0" fontId="20" fillId="37" borderId="30" xfId="0" applyFont="1" applyFill="1" applyBorder="1" applyAlignment="1">
      <alignment horizontal="left" wrapText="1"/>
    </xf>
    <xf numFmtId="0" fontId="24" fillId="0" borderId="16" xfId="0" applyFont="1" applyBorder="1" applyAlignment="1">
      <alignment horizontal="left" wrapText="1"/>
    </xf>
    <xf numFmtId="0" fontId="24" fillId="0" borderId="0" xfId="0" applyFont="1" applyBorder="1" applyAlignment="1">
      <alignment horizontal="left" wrapText="1"/>
    </xf>
    <xf numFmtId="0" fontId="24" fillId="0" borderId="30" xfId="0" applyFont="1" applyBorder="1" applyAlignment="1">
      <alignment horizontal="left" wrapText="1"/>
    </xf>
    <xf numFmtId="0" fontId="0" fillId="46" borderId="65" xfId="0" applyFill="1" applyBorder="1" applyAlignment="1">
      <alignment horizontal="center" vertical="center" wrapText="1"/>
    </xf>
    <xf numFmtId="0" fontId="0" fillId="46" borderId="68" xfId="0" applyFill="1" applyBorder="1" applyAlignment="1">
      <alignment horizontal="center" vertical="center" wrapText="1"/>
    </xf>
    <xf numFmtId="9" fontId="0" fillId="47" borderId="20" xfId="43" applyFont="1" applyFill="1" applyBorder="1" applyAlignment="1">
      <alignment horizontal="left"/>
    </xf>
    <xf numFmtId="9" fontId="0" fillId="47" borderId="21" xfId="43" applyFont="1" applyFill="1" applyBorder="1" applyAlignment="1">
      <alignment horizontal="left"/>
    </xf>
    <xf numFmtId="9" fontId="0" fillId="47" borderId="24" xfId="43" applyFont="1" applyFill="1" applyBorder="1" applyAlignment="1">
      <alignment horizontal="left"/>
    </xf>
    <xf numFmtId="0" fontId="17" fillId="37" borderId="50" xfId="0" applyFont="1" applyFill="1" applyBorder="1" applyAlignment="1">
      <alignment horizontal="left"/>
    </xf>
    <xf numFmtId="0" fontId="17" fillId="37" borderId="46" xfId="0" applyFont="1" applyFill="1" applyBorder="1" applyAlignment="1">
      <alignment horizontal="left"/>
    </xf>
    <xf numFmtId="0" fontId="17" fillId="37" borderId="64" xfId="0" applyFont="1" applyFill="1" applyBorder="1" applyAlignment="1">
      <alignment horizontal="center" vertical="center"/>
    </xf>
    <xf numFmtId="0" fontId="17" fillId="37" borderId="66" xfId="0" applyFont="1" applyFill="1" applyBorder="1" applyAlignment="1">
      <alignment horizontal="center" vertical="center"/>
    </xf>
    <xf numFmtId="0" fontId="0" fillId="43" borderId="35" xfId="0" applyFill="1" applyBorder="1" applyAlignment="1">
      <alignment horizontal="center" vertical="center" wrapText="1"/>
    </xf>
    <xf numFmtId="0" fontId="0" fillId="43" borderId="67" xfId="0" applyFill="1" applyBorder="1" applyAlignment="1">
      <alignment horizontal="center" vertical="center" wrapText="1"/>
    </xf>
    <xf numFmtId="0" fontId="0" fillId="36" borderId="32" xfId="0" applyFill="1" applyBorder="1" applyAlignment="1">
      <alignment horizontal="left"/>
    </xf>
    <xf numFmtId="0" fontId="0" fillId="36" borderId="33" xfId="0" applyFill="1" applyBorder="1" applyAlignment="1">
      <alignment horizontal="left"/>
    </xf>
    <xf numFmtId="0" fontId="0" fillId="36" borderId="34" xfId="0" applyFill="1" applyBorder="1" applyAlignment="1">
      <alignment horizontal="left"/>
    </xf>
    <xf numFmtId="0" fontId="16" fillId="41" borderId="12" xfId="0" applyFont="1" applyFill="1" applyBorder="1" applyAlignment="1">
      <alignment horizontal="center"/>
    </xf>
    <xf numFmtId="0" fontId="0" fillId="38" borderId="15" xfId="0" applyFill="1" applyBorder="1" applyAlignment="1">
      <alignment horizontal="left" vertical="center" wrapText="1"/>
    </xf>
    <xf numFmtId="0" fontId="0" fillId="34" borderId="15" xfId="0" applyFill="1" applyBorder="1" applyAlignment="1">
      <alignment horizontal="center" vertical="center"/>
    </xf>
    <xf numFmtId="0" fontId="16" fillId="40" borderId="55" xfId="0" applyFont="1" applyFill="1" applyBorder="1" applyAlignment="1">
      <alignment horizontal="left" wrapText="1"/>
    </xf>
    <xf numFmtId="0" fontId="16" fillId="40" borderId="56" xfId="0" applyFont="1" applyFill="1" applyBorder="1" applyAlignment="1">
      <alignment horizontal="left" wrapText="1"/>
    </xf>
    <xf numFmtId="0" fontId="16" fillId="40" borderId="57" xfId="0" applyFont="1" applyFill="1" applyBorder="1" applyAlignment="1">
      <alignment horizontal="left"/>
    </xf>
    <xf numFmtId="0" fontId="16" fillId="40" borderId="17" xfId="0" applyFont="1" applyFill="1" applyBorder="1" applyAlignment="1">
      <alignment horizontal="left"/>
    </xf>
    <xf numFmtId="0" fontId="16" fillId="40" borderId="58" xfId="0" applyFont="1" applyFill="1" applyBorder="1" applyAlignment="1">
      <alignment horizontal="center"/>
    </xf>
    <xf numFmtId="0" fontId="16" fillId="40" borderId="59" xfId="0" applyFont="1" applyFill="1" applyBorder="1" applyAlignment="1">
      <alignment horizontal="center"/>
    </xf>
    <xf numFmtId="0" fontId="16" fillId="40" borderId="60" xfId="0" applyFont="1" applyFill="1" applyBorder="1" applyAlignment="1">
      <alignment horizontal="center"/>
    </xf>
    <xf numFmtId="0" fontId="16" fillId="40" borderId="42" xfId="0" applyFont="1" applyFill="1" applyBorder="1" applyAlignment="1">
      <alignment horizontal="center"/>
    </xf>
    <xf numFmtId="0" fontId="16" fillId="40" borderId="43" xfId="0" applyFont="1" applyFill="1" applyBorder="1" applyAlignment="1">
      <alignment horizontal="center"/>
    </xf>
    <xf numFmtId="0" fontId="16" fillId="40" borderId="12" xfId="0" applyFont="1" applyFill="1" applyBorder="1" applyAlignment="1">
      <alignment horizontal="center"/>
    </xf>
    <xf numFmtId="0" fontId="16" fillId="40" borderId="13" xfId="0" applyFont="1" applyFill="1" applyBorder="1" applyAlignment="1">
      <alignment horizontal="center"/>
    </xf>
    <xf numFmtId="0" fontId="16" fillId="40" borderId="14" xfId="0" applyFont="1" applyFill="1" applyBorder="1" applyAlignment="1">
      <alignment horizontal="center"/>
    </xf>
    <xf numFmtId="0" fontId="0" fillId="40" borderId="42" xfId="0" applyFill="1" applyBorder="1" applyAlignment="1">
      <alignment horizontal="center"/>
    </xf>
    <xf numFmtId="0" fontId="0" fillId="40" borderId="43" xfId="0" applyFill="1" applyBorder="1" applyAlignment="1">
      <alignment horizontal="center"/>
    </xf>
    <xf numFmtId="0" fontId="0" fillId="40" borderId="12" xfId="0" applyFill="1" applyBorder="1" applyAlignment="1">
      <alignment horizontal="center"/>
    </xf>
    <xf numFmtId="0" fontId="0" fillId="40" borderId="13" xfId="0" applyFill="1" applyBorder="1" applyAlignment="1">
      <alignment horizontal="center"/>
    </xf>
    <xf numFmtId="0" fontId="0" fillId="40" borderId="14" xfId="0" applyFill="1" applyBorder="1" applyAlignment="1">
      <alignment horizontal="center"/>
    </xf>
    <xf numFmtId="0" fontId="16" fillId="40" borderId="55" xfId="0" applyFont="1" applyFill="1" applyBorder="1" applyAlignment="1">
      <alignment horizontal="center"/>
    </xf>
    <xf numFmtId="0" fontId="16" fillId="40" borderId="56" xfId="0" applyFont="1" applyFill="1" applyBorder="1" applyAlignment="1">
      <alignment horizontal="center"/>
    </xf>
    <xf numFmtId="0" fontId="16" fillId="40" borderId="57" xfId="0" applyFont="1" applyFill="1" applyBorder="1" applyAlignment="1">
      <alignment horizontal="center"/>
    </xf>
    <xf numFmtId="0" fontId="16" fillId="40" borderId="17" xfId="0" applyFont="1" applyFill="1" applyBorder="1" applyAlignment="1">
      <alignment horizontal="center"/>
    </xf>
    <xf numFmtId="0" fontId="0" fillId="0" borderId="0" xfId="0" applyAlignment="1">
      <alignment horizontal="left" wrapText="1"/>
    </xf>
    <xf numFmtId="0" fontId="16" fillId="40" borderId="55" xfId="0" applyFont="1" applyFill="1" applyBorder="1" applyAlignment="1">
      <alignment horizontal="center" vertical="center" wrapText="1"/>
    </xf>
    <xf numFmtId="0" fontId="16" fillId="40" borderId="56" xfId="0" applyFont="1" applyFill="1" applyBorder="1" applyAlignment="1">
      <alignment horizontal="center" vertical="center" wrapText="1"/>
    </xf>
    <xf numFmtId="0" fontId="16" fillId="40" borderId="57" xfId="0" applyFont="1" applyFill="1" applyBorder="1" applyAlignment="1">
      <alignment horizontal="center" vertical="center"/>
    </xf>
    <xf numFmtId="0" fontId="16" fillId="40" borderId="17" xfId="0" applyFont="1" applyFill="1" applyBorder="1" applyAlignment="1">
      <alignment horizontal="center" vertical="center"/>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xf>
    <xf numFmtId="0" fontId="34" fillId="0" borderId="0" xfId="0" applyFont="1" applyAlignment="1">
      <alignment horizontal="left" wrapText="1"/>
    </xf>
    <xf numFmtId="0" fontId="37" fillId="0" borderId="20" xfId="0" applyFont="1" applyBorder="1" applyAlignment="1">
      <alignment horizontal="left"/>
    </xf>
    <xf numFmtId="0" fontId="37" fillId="0" borderId="21" xfId="0" applyFont="1" applyBorder="1" applyAlignment="1">
      <alignment horizontal="left"/>
    </xf>
    <xf numFmtId="0" fontId="37" fillId="0" borderId="24" xfId="0" applyFont="1" applyBorder="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font>
        <color theme="0"/>
      </font>
      <fill>
        <patternFill patternType="none">
          <fgColor indexed="64"/>
          <bgColor auto="1"/>
        </patternFill>
      </fill>
      <border>
        <left/>
        <right/>
        <top/>
        <bottom/>
      </border>
    </dxf>
    <dxf>
      <font>
        <color theme="2" tint="-9.9948118533890809E-2"/>
      </font>
      <fill>
        <patternFill patternType="none">
          <bgColor auto="1"/>
        </patternFill>
      </fill>
    </dxf>
    <dxf>
      <font>
        <color theme="2" tint="-9.9948118533890809E-2"/>
      </font>
      <fill>
        <patternFill>
          <bgColor theme="0"/>
        </patternFill>
      </fill>
    </dxf>
    <dxf>
      <font>
        <color theme="6" tint="0.59996337778862885"/>
      </font>
      <fill>
        <patternFill patternType="none">
          <bgColor auto="1"/>
        </patternFill>
      </fill>
    </dxf>
    <dxf>
      <font>
        <color theme="0" tint="-0.14996795556505021"/>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s>
  <tableStyles count="0" defaultTableStyle="TableStyleMedium2" defaultPivotStyle="PivotStyleLight16"/>
  <colors>
    <mruColors>
      <color rgb="FFABD4E3"/>
      <color rgb="FF5CACC8"/>
      <color rgb="FFCEE6B0"/>
      <color rgb="FF87C543"/>
      <color rgb="FF9ACC5C"/>
      <color rgb="FFABD47B"/>
      <color rgb="FFBED28C"/>
      <color rgb="FF8FC6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Scenario 1 - kgCO2e</a:t>
            </a:r>
            <a:r>
              <a:rPr lang="en-US" baseline="0">
                <a:solidFill>
                  <a:schemeClr val="bg1"/>
                </a:solidFill>
              </a:rPr>
              <a:t> By Life Cycle Stage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9ACC5C"/>
            </a:solidFill>
            <a:ln>
              <a:noFill/>
            </a:ln>
            <a:effectLst/>
          </c:spPr>
          <c:invertIfNegative val="0"/>
          <c:dPt>
            <c:idx val="0"/>
            <c:invertIfNegative val="0"/>
            <c:bubble3D val="0"/>
            <c:spPr>
              <a:solidFill>
                <a:srgbClr val="CEE6B0"/>
              </a:solidFill>
              <a:ln>
                <a:noFill/>
              </a:ln>
              <a:effectLst/>
            </c:spPr>
            <c:extLst>
              <c:ext xmlns:c16="http://schemas.microsoft.com/office/drawing/2014/chart" uri="{C3380CC4-5D6E-409C-BE32-E72D297353CC}">
                <c16:uniqueId val="{00000003-C692-4284-A634-14E865A4B9AF}"/>
              </c:ext>
            </c:extLst>
          </c:dPt>
          <c:dPt>
            <c:idx val="7"/>
            <c:invertIfNegative val="0"/>
            <c:bubble3D val="0"/>
            <c:spPr>
              <a:solidFill>
                <a:srgbClr val="5CACC8"/>
              </a:solidFill>
              <a:ln>
                <a:noFill/>
              </a:ln>
              <a:effectLst/>
            </c:spPr>
            <c:extLst>
              <c:ext xmlns:c16="http://schemas.microsoft.com/office/drawing/2014/chart" uri="{C3380CC4-5D6E-409C-BE32-E72D297353CC}">
                <c16:uniqueId val="{00000000-3968-4A55-B884-CFFE79EEB4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Sheet'!$H$27:$O$27</c:f>
              <c:strCache>
                <c:ptCount val="8"/>
                <c:pt idx="0">
                  <c:v>A0 Forest Factors-not incl. in net</c:v>
                </c:pt>
                <c:pt idx="1">
                  <c:v>A1-A3 Product Total</c:v>
                </c:pt>
                <c:pt idx="2">
                  <c:v>A1 - A3 Biogenic Carbon In Product</c:v>
                </c:pt>
                <c:pt idx="3">
                  <c:v>A4 Transportation</c:v>
                </c:pt>
                <c:pt idx="4">
                  <c:v>C2-4 Biogenic Emissions From Product</c:v>
                </c:pt>
                <c:pt idx="5">
                  <c:v>C2-4 Non Biogenic-Emissions</c:v>
                </c:pt>
                <c:pt idx="6">
                  <c:v>Module D</c:v>
                </c:pt>
                <c:pt idx="7">
                  <c:v>Net</c:v>
                </c:pt>
              </c:strCache>
            </c:strRef>
          </c:cat>
          <c:val>
            <c:numRef>
              <c:f>'Scenario 1 - Calc Sheet'!$H$28:$O$28</c:f>
              <c:numCache>
                <c:formatCode>0.0</c:formatCode>
                <c:ptCount val="8"/>
                <c:pt idx="0">
                  <c:v>0</c:v>
                </c:pt>
                <c:pt idx="1">
                  <c:v>0</c:v>
                </c:pt>
                <c:pt idx="2">
                  <c:v>0</c:v>
                </c:pt>
                <c:pt idx="3">
                  <c:v>0</c:v>
                </c:pt>
                <c:pt idx="4">
                  <c:v>0</c:v>
                </c:pt>
                <c:pt idx="5">
                  <c:v>0</c:v>
                </c:pt>
                <c:pt idx="6">
                  <c:v>0</c:v>
                </c:pt>
                <c:pt idx="7" formatCode="0">
                  <c:v>0</c:v>
                </c:pt>
              </c:numCache>
            </c:numRef>
          </c:val>
          <c:extLst>
            <c:ext xmlns:c16="http://schemas.microsoft.com/office/drawing/2014/chart" uri="{C3380CC4-5D6E-409C-BE32-E72D297353CC}">
              <c16:uniqueId val="{00000000-5B35-41ED-AD84-7897EAFAAC73}"/>
            </c:ext>
          </c:extLst>
        </c:ser>
        <c:dLbls>
          <c:showLegendKey val="0"/>
          <c:showVal val="0"/>
          <c:showCatName val="0"/>
          <c:showSerName val="0"/>
          <c:showPercent val="0"/>
          <c:showBubbleSize val="0"/>
        </c:dLbls>
        <c:gapWidth val="3"/>
        <c:overlap val="-27"/>
        <c:axId val="197185824"/>
        <c:axId val="466673040"/>
      </c:barChart>
      <c:catAx>
        <c:axId val="1971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66673040"/>
        <c:crosses val="autoZero"/>
        <c:auto val="1"/>
        <c:lblAlgn val="ctr"/>
        <c:lblOffset val="100"/>
        <c:noMultiLvlLbl val="0"/>
      </c:catAx>
      <c:valAx>
        <c:axId val="4666730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Comparison</a:t>
            </a:r>
            <a:r>
              <a:rPr lang="en-US" baseline="0">
                <a:solidFill>
                  <a:schemeClr val="bg1"/>
                </a:solidFill>
              </a:rPr>
              <a:t> of Scenarios for Net GWP (kgCO2e)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89704442910112E-2"/>
          <c:y val="0.17388905521689774"/>
          <c:w val="0.88628067900880003"/>
          <c:h val="0.78939027656682514"/>
        </c:manualLayout>
      </c:layout>
      <c:barChart>
        <c:barDir val="col"/>
        <c:grouping val="stacked"/>
        <c:varyColors val="0"/>
        <c:ser>
          <c:idx val="0"/>
          <c:order val="0"/>
          <c:tx>
            <c:strRef>
              <c:f>'Scenario 1 - Calc Sheet'!$G$52</c:f>
              <c:strCache>
                <c:ptCount val="1"/>
                <c:pt idx="0">
                  <c:v>Wood kgCO2e</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Sheet'!$I$52:$K$52</c:f>
              <c:numCache>
                <c:formatCode>0.0</c:formatCode>
                <c:ptCount val="3"/>
                <c:pt idx="0">
                  <c:v>0</c:v>
                </c:pt>
                <c:pt idx="1">
                  <c:v>0</c:v>
                </c:pt>
              </c:numCache>
            </c:numRef>
          </c:val>
          <c:extLst>
            <c:ext xmlns:c16="http://schemas.microsoft.com/office/drawing/2014/chart" uri="{C3380CC4-5D6E-409C-BE32-E72D297353CC}">
              <c16:uniqueId val="{00000000-01AD-4569-AF54-06CDC7AF2D6A}"/>
            </c:ext>
          </c:extLst>
        </c:ser>
        <c:ser>
          <c:idx val="1"/>
          <c:order val="1"/>
          <c:tx>
            <c:strRef>
              <c:f>'Scenario 1 - Calc Sheet'!$G$53</c:f>
              <c:strCache>
                <c:ptCount val="1"/>
                <c:pt idx="0">
                  <c:v>Non Wood kgCOe</c:v>
                </c:pt>
              </c:strCache>
            </c:strRef>
          </c:tx>
          <c:spPr>
            <a:solidFill>
              <a:srgbClr val="ABD4E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Sheet'!$I$53:$K$53</c:f>
              <c:numCache>
                <c:formatCode>0.0</c:formatCode>
                <c:ptCount val="3"/>
                <c:pt idx="0" formatCode="General">
                  <c:v>0</c:v>
                </c:pt>
                <c:pt idx="1">
                  <c:v>0</c:v>
                </c:pt>
              </c:numCache>
            </c:numRef>
          </c:val>
          <c:extLst>
            <c:ext xmlns:c16="http://schemas.microsoft.com/office/drawing/2014/chart" uri="{C3380CC4-5D6E-409C-BE32-E72D297353CC}">
              <c16:uniqueId val="{00000001-01AD-4569-AF54-06CDC7AF2D6A}"/>
            </c:ext>
          </c:extLst>
        </c:ser>
        <c:ser>
          <c:idx val="2"/>
          <c:order val="2"/>
          <c:tx>
            <c:strRef>
              <c:f>'Scenario 1 - Calc Sheet'!$G$54</c:f>
              <c:strCache>
                <c:ptCount val="1"/>
                <c:pt idx="0">
                  <c:v>Net kgCO2e</c:v>
                </c:pt>
              </c:strCache>
            </c:strRef>
          </c:tx>
          <c:spPr>
            <a:solidFill>
              <a:srgbClr val="5CACC8"/>
            </a:solidFill>
            <a:ln>
              <a:noFill/>
            </a:ln>
            <a:effectLst/>
          </c:spPr>
          <c:invertIfNegative val="0"/>
          <c:dLbls>
            <c:dLbl>
              <c:idx val="2"/>
              <c:layout>
                <c:manualLayout>
                  <c:x val="0"/>
                  <c:y val="-6.4466027584959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4B-4026-B8F1-05AFDA7B84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Sheet'!$I$54:$K$54</c:f>
              <c:numCache>
                <c:formatCode>General</c:formatCode>
                <c:ptCount val="3"/>
                <c:pt idx="2" formatCode="0.0">
                  <c:v>0</c:v>
                </c:pt>
              </c:numCache>
            </c:numRef>
          </c:val>
          <c:extLst>
            <c:ext xmlns:c16="http://schemas.microsoft.com/office/drawing/2014/chart" uri="{C3380CC4-5D6E-409C-BE32-E72D297353CC}">
              <c16:uniqueId val="{00000001-E54B-4026-B8F1-05AFDA7B8431}"/>
            </c:ext>
          </c:extLst>
        </c:ser>
        <c:dLbls>
          <c:showLegendKey val="0"/>
          <c:showVal val="0"/>
          <c:showCatName val="0"/>
          <c:showSerName val="0"/>
          <c:showPercent val="0"/>
          <c:showBubbleSize val="0"/>
        </c:dLbls>
        <c:gapWidth val="14"/>
        <c:overlap val="100"/>
        <c:axId val="1634508592"/>
        <c:axId val="1402756528"/>
      </c:barChart>
      <c:catAx>
        <c:axId val="163450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02756528"/>
        <c:crosses val="autoZero"/>
        <c:auto val="1"/>
        <c:lblAlgn val="ctr"/>
        <c:lblOffset val="100"/>
        <c:noMultiLvlLbl val="0"/>
      </c:catAx>
      <c:valAx>
        <c:axId val="14027565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508592"/>
        <c:crosses val="autoZero"/>
        <c:crossBetween val="between"/>
      </c:valAx>
      <c:spPr>
        <a:noFill/>
        <a:ln>
          <a:noFill/>
        </a:ln>
        <a:effectLst/>
      </c:spPr>
    </c:plotArea>
    <c:legend>
      <c:legendPos val="r"/>
      <c:layout>
        <c:manualLayout>
          <c:xMode val="edge"/>
          <c:yMode val="edge"/>
          <c:x val="0.15136747758382402"/>
          <c:y val="9.5179078313856302E-2"/>
          <c:w val="0.66253928472206758"/>
          <c:h val="7.552892087760557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solidFill>
                  <a:schemeClr val="bg1"/>
                </a:solidFill>
              </a:rPr>
              <a:t>Custom End of Life Scenarios - kgCO2e</a:t>
            </a:r>
            <a:r>
              <a:rPr lang="en-US" baseline="0">
                <a:solidFill>
                  <a:schemeClr val="bg1"/>
                </a:solidFill>
              </a:rPr>
              <a:t> By Module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Factors'!$B$6</c:f>
              <c:strCache>
                <c:ptCount val="1"/>
                <c:pt idx="0">
                  <c:v>C2-4 Non-Biogenic Emissions</c:v>
                </c:pt>
              </c:strCache>
            </c:strRef>
          </c:tx>
          <c:spPr>
            <a:solidFill>
              <a:srgbClr val="9ACC5C"/>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Factors'!$C$6:$H$6</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653-4382-83F1-9A8BC5B45EB6}"/>
            </c:ext>
          </c:extLst>
        </c:ser>
        <c:ser>
          <c:idx val="1"/>
          <c:order val="1"/>
          <c:tx>
            <c:strRef>
              <c:f>'EOL Factors'!$B$7</c:f>
              <c:strCache>
                <c:ptCount val="1"/>
                <c:pt idx="0">
                  <c:v>C2-4 Biogenic Emissions</c:v>
                </c:pt>
              </c:strCache>
            </c:strRef>
          </c:tx>
          <c:spPr>
            <a:solidFill>
              <a:srgbClr val="CEE6B0"/>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Factors'!$C$7:$H$7</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653-4382-83F1-9A8BC5B45EB6}"/>
            </c:ext>
          </c:extLst>
        </c:ser>
        <c:ser>
          <c:idx val="2"/>
          <c:order val="2"/>
          <c:tx>
            <c:strRef>
              <c:f>'EOL Factors'!$B$8</c:f>
              <c:strCache>
                <c:ptCount val="1"/>
                <c:pt idx="0">
                  <c:v>Module D</c:v>
                </c:pt>
              </c:strCache>
            </c:strRef>
          </c:tx>
          <c:spPr>
            <a:solidFill>
              <a:schemeClr val="bg2">
                <a:lumMod val="90000"/>
              </a:schemeClr>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653-4382-83F1-9A8BC5B45EB6}"/>
            </c:ext>
          </c:extLst>
        </c:ser>
        <c:ser>
          <c:idx val="3"/>
          <c:order val="3"/>
          <c:tx>
            <c:strRef>
              <c:f>'EOL Factors'!$B$9</c:f>
              <c:strCache>
                <c:ptCount val="1"/>
                <c:pt idx="0">
                  <c:v>Net</c:v>
                </c:pt>
              </c:strCache>
            </c:strRef>
          </c:tx>
          <c:spPr>
            <a:solidFill>
              <a:srgbClr val="5CACC8"/>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2653-4382-83F1-9A8BC5B45EB6}"/>
            </c:ext>
          </c:extLst>
        </c:ser>
        <c:dLbls>
          <c:dLblPos val="outEnd"/>
          <c:showLegendKey val="0"/>
          <c:showVal val="1"/>
          <c:showCatName val="0"/>
          <c:showSerName val="0"/>
          <c:showPercent val="0"/>
          <c:showBubbleSize val="0"/>
        </c:dLbls>
        <c:gapWidth val="275"/>
        <c:axId val="117812848"/>
        <c:axId val="112185040"/>
      </c:barChart>
      <c:catAx>
        <c:axId val="117812848"/>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12185040"/>
        <c:crosses val="autoZero"/>
        <c:auto val="1"/>
        <c:lblAlgn val="ctr"/>
        <c:lblOffset val="100"/>
        <c:noMultiLvlLbl val="0"/>
      </c:catAx>
      <c:valAx>
        <c:axId val="11218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81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Factors'!$J$11:$O$11</c:f>
          <c:strCache>
            <c:ptCount val="6"/>
            <c:pt idx="0">
              <c:v>EPA WARM - Landfill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Factors'!$K$15:$K$21</c:f>
              <c:numCache>
                <c:formatCode>0.0</c:formatCode>
                <c:ptCount val="7"/>
                <c:pt idx="1">
                  <c:v>0</c:v>
                </c:pt>
                <c:pt idx="3">
                  <c:v>0</c:v>
                </c:pt>
                <c:pt idx="4">
                  <c:v>0</c:v>
                </c:pt>
                <c:pt idx="5">
                  <c:v>0</c:v>
                </c:pt>
              </c:numCache>
            </c:numRef>
          </c:val>
          <c:extLst>
            <c:ext xmlns:c16="http://schemas.microsoft.com/office/drawing/2014/chart" uri="{C3380CC4-5D6E-409C-BE32-E72D297353CC}">
              <c16:uniqueId val="{00000000-0651-49EE-A256-A245A9F51040}"/>
            </c:ext>
          </c:extLst>
        </c:ser>
        <c:ser>
          <c:idx val="1"/>
          <c:order val="1"/>
          <c:tx>
            <c:strRef>
              <c:f>'EOL Factors'!$L$14</c:f>
              <c:strCache>
                <c:ptCount val="1"/>
                <c:pt idx="0">
                  <c:v>C2-4 biogenic emissions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Factors'!$L$15:$L$21</c:f>
              <c:numCache>
                <c:formatCode>0.0</c:formatCode>
                <c:ptCount val="7"/>
                <c:pt idx="0">
                  <c:v>0</c:v>
                </c:pt>
                <c:pt idx="2">
                  <c:v>0</c:v>
                </c:pt>
                <c:pt idx="5">
                  <c:v>0</c:v>
                </c:pt>
              </c:numCache>
            </c:numRef>
          </c:val>
          <c:extLst>
            <c:ext xmlns:c16="http://schemas.microsoft.com/office/drawing/2014/chart" uri="{C3380CC4-5D6E-409C-BE32-E72D297353CC}">
              <c16:uniqueId val="{00000001-0651-49EE-A256-A245A9F51040}"/>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Factors'!$M$15:$M$21</c:f>
              <c:numCache>
                <c:formatCode>0.0</c:formatCode>
                <c:ptCount val="7"/>
                <c:pt idx="5">
                  <c:v>0</c:v>
                </c:pt>
              </c:numCache>
            </c:numRef>
          </c:val>
          <c:extLst>
            <c:ext xmlns:c16="http://schemas.microsoft.com/office/drawing/2014/chart" uri="{C3380CC4-5D6E-409C-BE32-E72D297353CC}">
              <c16:uniqueId val="{00000002-0651-49EE-A256-A245A9F51040}"/>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Factors'!$N$15:$N$21</c:f>
              <c:numCache>
                <c:formatCode>0.0</c:formatCode>
                <c:ptCount val="7"/>
                <c:pt idx="6">
                  <c:v>0</c:v>
                </c:pt>
              </c:numCache>
            </c:numRef>
          </c:val>
          <c:extLst>
            <c:ext xmlns:c16="http://schemas.microsoft.com/office/drawing/2014/chart" uri="{C3380CC4-5D6E-409C-BE32-E72D297353CC}">
              <c16:uniqueId val="{00000004-0651-49EE-A256-A245A9F51040}"/>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Factors'!$J$23:$O$23</c:f>
          <c:strCache>
            <c:ptCount val="6"/>
            <c:pt idx="0">
              <c:v>EPA WARM - Landfill w Landfill Gas Energy Recovery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Factors'!$K$27:$K$34</c:f>
              <c:numCache>
                <c:formatCode>0.0</c:formatCode>
                <c:ptCount val="8"/>
                <c:pt idx="1">
                  <c:v>0</c:v>
                </c:pt>
                <c:pt idx="3">
                  <c:v>0</c:v>
                </c:pt>
                <c:pt idx="4">
                  <c:v>0</c:v>
                </c:pt>
                <c:pt idx="6">
                  <c:v>0</c:v>
                </c:pt>
              </c:numCache>
            </c:numRef>
          </c:val>
          <c:extLst>
            <c:ext xmlns:c16="http://schemas.microsoft.com/office/drawing/2014/chart" uri="{C3380CC4-5D6E-409C-BE32-E72D297353CC}">
              <c16:uniqueId val="{00000000-A459-49BB-8F01-2D6F96174F0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Factors'!$L$27:$L$34</c:f>
              <c:numCache>
                <c:formatCode>General</c:formatCode>
                <c:ptCount val="8"/>
                <c:pt idx="0" formatCode="0.0">
                  <c:v>0</c:v>
                </c:pt>
                <c:pt idx="2" formatCode="0.0">
                  <c:v>0</c:v>
                </c:pt>
                <c:pt idx="6" formatCode="0.0">
                  <c:v>0</c:v>
                </c:pt>
              </c:numCache>
            </c:numRef>
          </c:val>
          <c:extLst>
            <c:ext xmlns:c16="http://schemas.microsoft.com/office/drawing/2014/chart" uri="{C3380CC4-5D6E-409C-BE32-E72D297353CC}">
              <c16:uniqueId val="{00000001-A459-49BB-8F01-2D6F96174F0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Factors'!$M$27:$M$34</c:f>
              <c:numCache>
                <c:formatCode>0.0</c:formatCode>
                <c:ptCount val="8"/>
                <c:pt idx="5">
                  <c:v>0</c:v>
                </c:pt>
                <c:pt idx="6">
                  <c:v>0</c:v>
                </c:pt>
              </c:numCache>
            </c:numRef>
          </c:val>
          <c:extLst>
            <c:ext xmlns:c16="http://schemas.microsoft.com/office/drawing/2014/chart" uri="{C3380CC4-5D6E-409C-BE32-E72D297353CC}">
              <c16:uniqueId val="{00000002-A459-49BB-8F01-2D6F96174F0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Factors'!$N$27:$N$34</c:f>
              <c:numCache>
                <c:formatCode>0.0</c:formatCode>
                <c:ptCount val="8"/>
                <c:pt idx="7">
                  <c:v>0</c:v>
                </c:pt>
              </c:numCache>
            </c:numRef>
          </c:val>
          <c:extLst>
            <c:ext xmlns:c16="http://schemas.microsoft.com/office/drawing/2014/chart" uri="{C3380CC4-5D6E-409C-BE32-E72D297353CC}">
              <c16:uniqueId val="{00000003-A459-49BB-8F01-2D6F96174F0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Factors'!$J$36:$O$36</c:f>
          <c:strCache>
            <c:ptCount val="6"/>
            <c:pt idx="0">
              <c:v>EPA WARM - Landfill with Flare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Factors'!$K$40:$K$48</c:f>
              <c:numCache>
                <c:formatCode>0.0</c:formatCode>
                <c:ptCount val="9"/>
                <c:pt idx="1">
                  <c:v>0</c:v>
                </c:pt>
                <c:pt idx="3">
                  <c:v>0</c:v>
                </c:pt>
                <c:pt idx="4">
                  <c:v>0</c:v>
                </c:pt>
                <c:pt idx="7">
                  <c:v>0</c:v>
                </c:pt>
              </c:numCache>
            </c:numRef>
          </c:val>
          <c:extLst>
            <c:ext xmlns:c16="http://schemas.microsoft.com/office/drawing/2014/chart" uri="{C3380CC4-5D6E-409C-BE32-E72D297353CC}">
              <c16:uniqueId val="{00000000-3AB0-48C4-9632-CEDC70C0C90E}"/>
            </c:ext>
          </c:extLst>
        </c:ser>
        <c:ser>
          <c:idx val="1"/>
          <c:order val="1"/>
          <c:tx>
            <c:strRef>
              <c:f>'EOL Factors'!$L$14</c:f>
              <c:strCache>
                <c:ptCount val="1"/>
                <c:pt idx="0">
                  <c:v>C2-4 biogenic emissions</c:v>
                </c:pt>
              </c:strCache>
            </c:strRef>
          </c:tx>
          <c:spPr>
            <a:solidFill>
              <a:srgbClr val="CEE6B0"/>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Factors'!$L$40:$L$48</c:f>
              <c:numCache>
                <c:formatCode>0.0</c:formatCode>
                <c:ptCount val="9"/>
                <c:pt idx="0">
                  <c:v>0</c:v>
                </c:pt>
                <c:pt idx="2">
                  <c:v>0</c:v>
                </c:pt>
                <c:pt idx="7">
                  <c:v>0</c:v>
                </c:pt>
              </c:numCache>
            </c:numRef>
          </c:val>
          <c:extLst>
            <c:ext xmlns:c16="http://schemas.microsoft.com/office/drawing/2014/chart" uri="{C3380CC4-5D6E-409C-BE32-E72D297353CC}">
              <c16:uniqueId val="{00000001-3AB0-48C4-9632-CEDC70C0C90E}"/>
            </c:ext>
          </c:extLst>
        </c:ser>
        <c:ser>
          <c:idx val="2"/>
          <c:order val="2"/>
          <c:tx>
            <c:strRef>
              <c:f>'EOL Factors'!$M$14</c:f>
              <c:strCache>
                <c:ptCount val="1"/>
                <c:pt idx="0">
                  <c:v>Module D</c:v>
                </c:pt>
              </c:strCache>
            </c:strRef>
          </c:tx>
          <c:spPr>
            <a:solidFill>
              <a:schemeClr val="accent3"/>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Factors'!$M$40:$M$48</c:f>
              <c:numCache>
                <c:formatCode>0.0</c:formatCode>
                <c:ptCount val="9"/>
                <c:pt idx="7">
                  <c:v>0</c:v>
                </c:pt>
              </c:numCache>
            </c:numRef>
          </c:val>
          <c:extLst>
            <c:ext xmlns:c16="http://schemas.microsoft.com/office/drawing/2014/chart" uri="{C3380CC4-5D6E-409C-BE32-E72D297353CC}">
              <c16:uniqueId val="{00000002-3AB0-48C4-9632-CEDC70C0C90E}"/>
            </c:ext>
          </c:extLst>
        </c:ser>
        <c:ser>
          <c:idx val="3"/>
          <c:order val="3"/>
          <c:tx>
            <c:strRef>
              <c:f>'EOL Factors'!$N$14</c:f>
              <c:strCache>
                <c:ptCount val="1"/>
                <c:pt idx="0">
                  <c:v>Net</c:v>
                </c:pt>
              </c:strCache>
            </c:strRef>
          </c:tx>
          <c:spPr>
            <a:solidFill>
              <a:srgbClr val="5CACC8"/>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Factors'!$N$40:$N$48</c:f>
              <c:numCache>
                <c:formatCode>0.0</c:formatCode>
                <c:ptCount val="9"/>
                <c:pt idx="8">
                  <c:v>0</c:v>
                </c:pt>
              </c:numCache>
            </c:numRef>
          </c:val>
          <c:extLst>
            <c:ext xmlns:c16="http://schemas.microsoft.com/office/drawing/2014/chart" uri="{C3380CC4-5D6E-409C-BE32-E72D297353CC}">
              <c16:uniqueId val="{00000003-3AB0-48C4-9632-CEDC70C0C90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Factors'!$J$50:$O$50</c:f>
          <c:strCache>
            <c:ptCount val="6"/>
            <c:pt idx="0">
              <c:v>EPA WARM - Incineration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Factors'!$K$54:$K$61</c:f>
              <c:numCache>
                <c:formatCode>0.0</c:formatCode>
                <c:ptCount val="8"/>
                <c:pt idx="0">
                  <c:v>0</c:v>
                </c:pt>
                <c:pt idx="5">
                  <c:v>0</c:v>
                </c:pt>
                <c:pt idx="6">
                  <c:v>0</c:v>
                </c:pt>
              </c:numCache>
            </c:numRef>
          </c:val>
          <c:extLst>
            <c:ext xmlns:c16="http://schemas.microsoft.com/office/drawing/2014/chart" uri="{C3380CC4-5D6E-409C-BE32-E72D297353CC}">
              <c16:uniqueId val="{00000000-2C62-4C2A-92B7-E3153AF6ED6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Factors'!$L$54:$L$61</c:f>
              <c:numCache>
                <c:formatCode>0.0</c:formatCode>
                <c:ptCount val="8"/>
                <c:pt idx="1">
                  <c:v>0</c:v>
                </c:pt>
                <c:pt idx="6">
                  <c:v>0</c:v>
                </c:pt>
              </c:numCache>
            </c:numRef>
          </c:val>
          <c:extLst>
            <c:ext xmlns:c16="http://schemas.microsoft.com/office/drawing/2014/chart" uri="{C3380CC4-5D6E-409C-BE32-E72D297353CC}">
              <c16:uniqueId val="{00000001-2C62-4C2A-92B7-E3153AF6ED6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Factors'!$M$54:$M$61</c:f>
              <c:numCache>
                <c:formatCode>0.0</c:formatCode>
                <c:ptCount val="8"/>
                <c:pt idx="2">
                  <c:v>0</c:v>
                </c:pt>
                <c:pt idx="6">
                  <c:v>0</c:v>
                </c:pt>
              </c:numCache>
            </c:numRef>
          </c:val>
          <c:extLst>
            <c:ext xmlns:c16="http://schemas.microsoft.com/office/drawing/2014/chart" uri="{C3380CC4-5D6E-409C-BE32-E72D297353CC}">
              <c16:uniqueId val="{00000002-2C62-4C2A-92B7-E3153AF6ED6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Factors'!$N$54:$N$61</c:f>
              <c:numCache>
                <c:formatCode>0.0</c:formatCode>
                <c:ptCount val="8"/>
                <c:pt idx="7">
                  <c:v>0</c:v>
                </c:pt>
              </c:numCache>
            </c:numRef>
          </c:val>
          <c:extLst>
            <c:ext xmlns:c16="http://schemas.microsoft.com/office/drawing/2014/chart" uri="{C3380CC4-5D6E-409C-BE32-E72D297353CC}">
              <c16:uniqueId val="{00000003-2C62-4C2A-92B7-E3153AF6ED6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Factors'!$J$63:$O$63</c:f>
          <c:strCache>
            <c:ptCount val="6"/>
            <c:pt idx="0">
              <c:v>EPA WARM - Recycling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Factors'!$K$67:$K$70</c:f>
              <c:numCache>
                <c:formatCode>0.0</c:formatCode>
                <c:ptCount val="4"/>
                <c:pt idx="0">
                  <c:v>0</c:v>
                </c:pt>
                <c:pt idx="2">
                  <c:v>0</c:v>
                </c:pt>
              </c:numCache>
            </c:numRef>
          </c:val>
          <c:extLst>
            <c:ext xmlns:c16="http://schemas.microsoft.com/office/drawing/2014/chart" uri="{C3380CC4-5D6E-409C-BE32-E72D297353CC}">
              <c16:uniqueId val="{00000000-FF19-4570-BC02-AF02D79E8B05}"/>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Factors'!$L$67:$L$70</c:f>
              <c:numCache>
                <c:formatCode>0.0</c:formatCode>
                <c:ptCount val="4"/>
                <c:pt idx="2">
                  <c:v>0</c:v>
                </c:pt>
              </c:numCache>
            </c:numRef>
          </c:val>
          <c:extLst>
            <c:ext xmlns:c16="http://schemas.microsoft.com/office/drawing/2014/chart" uri="{C3380CC4-5D6E-409C-BE32-E72D297353CC}">
              <c16:uniqueId val="{00000001-FF19-4570-BC02-AF02D79E8B05}"/>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Factors'!$M$67:$M$70</c:f>
              <c:numCache>
                <c:formatCode>0.0</c:formatCode>
                <c:ptCount val="4"/>
                <c:pt idx="1">
                  <c:v>0</c:v>
                </c:pt>
                <c:pt idx="2">
                  <c:v>0</c:v>
                </c:pt>
              </c:numCache>
            </c:numRef>
          </c:val>
          <c:extLst>
            <c:ext xmlns:c16="http://schemas.microsoft.com/office/drawing/2014/chart" uri="{C3380CC4-5D6E-409C-BE32-E72D297353CC}">
              <c16:uniqueId val="{00000002-FF19-4570-BC02-AF02D79E8B05}"/>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Factors'!$N$67:$N$70</c:f>
              <c:numCache>
                <c:formatCode>0.0</c:formatCode>
                <c:ptCount val="4"/>
                <c:pt idx="3">
                  <c:v>0</c:v>
                </c:pt>
              </c:numCache>
            </c:numRef>
          </c:val>
          <c:extLst>
            <c:ext xmlns:c16="http://schemas.microsoft.com/office/drawing/2014/chart" uri="{C3380CC4-5D6E-409C-BE32-E72D297353CC}">
              <c16:uniqueId val="{00000003-FF19-4570-BC02-AF02D79E8B05}"/>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Factors'!$K$76:$K$81</c:f>
              <c:numCache>
                <c:formatCode>0.0</c:formatCode>
                <c:ptCount val="6"/>
                <c:pt idx="0">
                  <c:v>0</c:v>
                </c:pt>
                <c:pt idx="1">
                  <c:v>0</c:v>
                </c:pt>
                <c:pt idx="4">
                  <c:v>0</c:v>
                </c:pt>
              </c:numCache>
            </c:numRef>
          </c:val>
          <c:extLst>
            <c:ext xmlns:c16="http://schemas.microsoft.com/office/drawing/2014/chart" uri="{C3380CC4-5D6E-409C-BE32-E72D297353CC}">
              <c16:uniqueId val="{00000000-6AC0-4FFF-A501-7E18DF917DBE}"/>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Factors'!$L$76:$L$81</c:f>
              <c:numCache>
                <c:formatCode>0.0</c:formatCode>
                <c:ptCount val="6"/>
                <c:pt idx="0">
                  <c:v>0</c:v>
                </c:pt>
                <c:pt idx="4">
                  <c:v>0</c:v>
                </c:pt>
              </c:numCache>
            </c:numRef>
          </c:val>
          <c:extLst>
            <c:ext xmlns:c16="http://schemas.microsoft.com/office/drawing/2014/chart" uri="{C3380CC4-5D6E-409C-BE32-E72D297353CC}">
              <c16:uniqueId val="{00000001-6AC0-4FFF-A501-7E18DF917DBE}"/>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Factors'!$M$76:$M$81</c:f>
              <c:numCache>
                <c:formatCode>0.0</c:formatCode>
                <c:ptCount val="6"/>
                <c:pt idx="2">
                  <c:v>0</c:v>
                </c:pt>
                <c:pt idx="3">
                  <c:v>0</c:v>
                </c:pt>
                <c:pt idx="4">
                  <c:v>0</c:v>
                </c:pt>
              </c:numCache>
            </c:numRef>
          </c:val>
          <c:extLst>
            <c:ext xmlns:c16="http://schemas.microsoft.com/office/drawing/2014/chart" uri="{C3380CC4-5D6E-409C-BE32-E72D297353CC}">
              <c16:uniqueId val="{00000002-6AC0-4FFF-A501-7E18DF917DBE}"/>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Factors'!$N$76:$N$81</c:f>
              <c:numCache>
                <c:formatCode>0.0</c:formatCode>
                <c:ptCount val="6"/>
                <c:pt idx="5">
                  <c:v>0</c:v>
                </c:pt>
              </c:numCache>
            </c:numRef>
          </c:val>
          <c:extLst>
            <c:ext xmlns:c16="http://schemas.microsoft.com/office/drawing/2014/chart" uri="{C3380CC4-5D6E-409C-BE32-E72D297353CC}">
              <c16:uniqueId val="{00000003-6AC0-4FFF-A501-7E18DF917DB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Factors'!$K$87:$K$93</c:f>
              <c:numCache>
                <c:formatCode>0.0</c:formatCode>
                <c:ptCount val="7"/>
                <c:pt idx="5">
                  <c:v>0</c:v>
                </c:pt>
              </c:numCache>
            </c:numRef>
          </c:val>
          <c:extLst>
            <c:ext xmlns:c16="http://schemas.microsoft.com/office/drawing/2014/chart" uri="{C3380CC4-5D6E-409C-BE32-E72D297353CC}">
              <c16:uniqueId val="{00000000-20DB-4023-A809-8368E3686393}"/>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Factors'!$L$87:$L$93</c:f>
              <c:numCache>
                <c:formatCode>0.0</c:formatCode>
                <c:ptCount val="7"/>
                <c:pt idx="0">
                  <c:v>0</c:v>
                </c:pt>
                <c:pt idx="5">
                  <c:v>0</c:v>
                </c:pt>
              </c:numCache>
            </c:numRef>
          </c:val>
          <c:extLst>
            <c:ext xmlns:c16="http://schemas.microsoft.com/office/drawing/2014/chart" uri="{C3380CC4-5D6E-409C-BE32-E72D297353CC}">
              <c16:uniqueId val="{00000001-20DB-4023-A809-8368E3686393}"/>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Factors'!$M$87:$M$93</c:f>
              <c:numCache>
                <c:formatCode>0.0</c:formatCode>
                <c:ptCount val="7"/>
                <c:pt idx="2">
                  <c:v>0</c:v>
                </c:pt>
                <c:pt idx="3">
                  <c:v>0</c:v>
                </c:pt>
                <c:pt idx="4">
                  <c:v>0</c:v>
                </c:pt>
                <c:pt idx="5">
                  <c:v>0</c:v>
                </c:pt>
              </c:numCache>
            </c:numRef>
          </c:val>
          <c:extLst>
            <c:ext xmlns:c16="http://schemas.microsoft.com/office/drawing/2014/chart" uri="{C3380CC4-5D6E-409C-BE32-E72D297353CC}">
              <c16:uniqueId val="{00000002-20DB-4023-A809-8368E3686393}"/>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Factors'!$N$87:$N$93</c:f>
              <c:numCache>
                <c:formatCode>0.0</c:formatCode>
                <c:ptCount val="7"/>
                <c:pt idx="6">
                  <c:v>0</c:v>
                </c:pt>
              </c:numCache>
            </c:numRef>
          </c:val>
          <c:extLst>
            <c:ext xmlns:c16="http://schemas.microsoft.com/office/drawing/2014/chart" uri="{C3380CC4-5D6E-409C-BE32-E72D297353CC}">
              <c16:uniqueId val="{00000003-20DB-4023-A809-8368E3686393}"/>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Factors'!$K$99:$K$103</c:f>
              <c:numCache>
                <c:formatCode>0.0</c:formatCode>
                <c:ptCount val="5"/>
                <c:pt idx="3">
                  <c:v>0</c:v>
                </c:pt>
              </c:numCache>
            </c:numRef>
          </c:val>
          <c:extLst>
            <c:ext xmlns:c16="http://schemas.microsoft.com/office/drawing/2014/chart" uri="{C3380CC4-5D6E-409C-BE32-E72D297353CC}">
              <c16:uniqueId val="{00000000-5F32-4583-A187-CDB92BA2260D}"/>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Factors'!$L$99:$L$103</c:f>
              <c:numCache>
                <c:formatCode>0.0</c:formatCode>
                <c:ptCount val="5"/>
                <c:pt idx="3">
                  <c:v>0</c:v>
                </c:pt>
              </c:numCache>
            </c:numRef>
          </c:val>
          <c:extLst>
            <c:ext xmlns:c16="http://schemas.microsoft.com/office/drawing/2014/chart" uri="{C3380CC4-5D6E-409C-BE32-E72D297353CC}">
              <c16:uniqueId val="{00000001-5F32-4583-A187-CDB92BA2260D}"/>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Factors'!$M$99:$M$103</c:f>
              <c:numCache>
                <c:formatCode>0.0</c:formatCode>
                <c:ptCount val="5"/>
                <c:pt idx="0">
                  <c:v>0</c:v>
                </c:pt>
                <c:pt idx="1">
                  <c:v>0</c:v>
                </c:pt>
                <c:pt idx="2">
                  <c:v>0</c:v>
                </c:pt>
                <c:pt idx="3">
                  <c:v>0</c:v>
                </c:pt>
              </c:numCache>
            </c:numRef>
          </c:val>
          <c:extLst>
            <c:ext xmlns:c16="http://schemas.microsoft.com/office/drawing/2014/chart" uri="{C3380CC4-5D6E-409C-BE32-E72D297353CC}">
              <c16:uniqueId val="{00000002-5F32-4583-A187-CDB92BA2260D}"/>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Factors'!$N$99:$N$103</c:f>
              <c:numCache>
                <c:formatCode>0.0</c:formatCode>
                <c:ptCount val="5"/>
                <c:pt idx="4">
                  <c:v>0</c:v>
                </c:pt>
              </c:numCache>
            </c:numRef>
          </c:val>
          <c:extLst>
            <c:ext xmlns:c16="http://schemas.microsoft.com/office/drawing/2014/chart" uri="{C3380CC4-5D6E-409C-BE32-E72D297353CC}">
              <c16:uniqueId val="{00000003-5F32-4583-A187-CDB92BA2260D}"/>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85726</xdr:colOff>
      <xdr:row>1</xdr:row>
      <xdr:rowOff>818198</xdr:rowOff>
    </xdr:from>
    <xdr:to>
      <xdr:col>8</xdr:col>
      <xdr:colOff>1657350</xdr:colOff>
      <xdr:row>1</xdr:row>
      <xdr:rowOff>1552576</xdr:rowOff>
    </xdr:to>
    <xdr:pic>
      <xdr:nvPicPr>
        <xdr:cNvPr id="5" name="Picture 4">
          <a:extLst>
            <a:ext uri="{FF2B5EF4-FFF2-40B4-BE49-F238E27FC236}">
              <a16:creationId xmlns:a16="http://schemas.microsoft.com/office/drawing/2014/main" id="{4B6F024B-37B1-458C-8310-752157A41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5326" y="1008698"/>
          <a:ext cx="1571624" cy="734378"/>
        </a:xfrm>
        <a:prstGeom prst="rect">
          <a:avLst/>
        </a:prstGeom>
      </xdr:spPr>
    </xdr:pic>
    <xdr:clientData/>
  </xdr:twoCellAnchor>
  <xdr:twoCellAnchor editAs="oneCell">
    <xdr:from>
      <xdr:col>8</xdr:col>
      <xdr:colOff>417195</xdr:colOff>
      <xdr:row>5</xdr:row>
      <xdr:rowOff>18098</xdr:rowOff>
    </xdr:from>
    <xdr:to>
      <xdr:col>8</xdr:col>
      <xdr:colOff>1314451</xdr:colOff>
      <xdr:row>5</xdr:row>
      <xdr:rowOff>896550</xdr:rowOff>
    </xdr:to>
    <xdr:pic>
      <xdr:nvPicPr>
        <xdr:cNvPr id="7" name="Picture 6">
          <a:extLst>
            <a:ext uri="{FF2B5EF4-FFF2-40B4-BE49-F238E27FC236}">
              <a16:creationId xmlns:a16="http://schemas.microsoft.com/office/drawing/2014/main" id="{1CAE59B5-F753-4B84-9321-AB77C53815A1}"/>
            </a:ext>
            <a:ext uri="{147F2762-F138-4A5C-976F-8EAC2B608ADB}">
              <a16:predDERef xmlns:a16="http://schemas.microsoft.com/office/drawing/2014/main" pred="{4B6F024B-37B1-458C-8310-752157A41E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439" t="23726" r="25445" b="23333"/>
        <a:stretch/>
      </xdr:blipFill>
      <xdr:spPr>
        <a:xfrm>
          <a:off x="4836795" y="3408998"/>
          <a:ext cx="897256" cy="878452"/>
        </a:xfrm>
        <a:prstGeom prst="rect">
          <a:avLst/>
        </a:prstGeom>
      </xdr:spPr>
    </xdr:pic>
    <xdr:clientData/>
  </xdr:twoCellAnchor>
  <xdr:twoCellAnchor editAs="oneCell">
    <xdr:from>
      <xdr:col>8</xdr:col>
      <xdr:colOff>38100</xdr:colOff>
      <xdr:row>3</xdr:row>
      <xdr:rowOff>161926</xdr:rowOff>
    </xdr:from>
    <xdr:to>
      <xdr:col>8</xdr:col>
      <xdr:colOff>1684697</xdr:colOff>
      <xdr:row>3</xdr:row>
      <xdr:rowOff>514350</xdr:rowOff>
    </xdr:to>
    <xdr:pic>
      <xdr:nvPicPr>
        <xdr:cNvPr id="8" name="Picture 7" descr="See the source image">
          <a:extLst>
            <a:ext uri="{FF2B5EF4-FFF2-40B4-BE49-F238E27FC236}">
              <a16:creationId xmlns:a16="http://schemas.microsoft.com/office/drawing/2014/main" id="{3E7CB3D5-1737-4E45-8798-87D0D31934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57700" y="2733676"/>
          <a:ext cx="1646597" cy="352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26630</xdr:colOff>
      <xdr:row>1</xdr:row>
      <xdr:rowOff>1797881</xdr:rowOff>
    </xdr:from>
    <xdr:to>
      <xdr:col>7</xdr:col>
      <xdr:colOff>433387</xdr:colOff>
      <xdr:row>3</xdr:row>
      <xdr:rowOff>523875</xdr:rowOff>
    </xdr:to>
    <xdr:pic>
      <xdr:nvPicPr>
        <xdr:cNvPr id="4" name="Picture 3">
          <a:extLst>
            <a:ext uri="{FF2B5EF4-FFF2-40B4-BE49-F238E27FC236}">
              <a16:creationId xmlns:a16="http://schemas.microsoft.com/office/drawing/2014/main" id="{56AD81C9-0038-4802-9AF6-77942A26B85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0468" y="1978856"/>
          <a:ext cx="4264382" cy="1097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338760</xdr:colOff>
      <xdr:row>0</xdr:row>
      <xdr:rowOff>0</xdr:rowOff>
    </xdr:from>
    <xdr:to>
      <xdr:col>8</xdr:col>
      <xdr:colOff>519735</xdr:colOff>
      <xdr:row>16</xdr:row>
      <xdr:rowOff>133723</xdr:rowOff>
    </xdr:to>
    <xdr:pic>
      <xdr:nvPicPr>
        <xdr:cNvPr id="5" name="Picture 4">
          <a:extLst>
            <a:ext uri="{FF2B5EF4-FFF2-40B4-BE49-F238E27FC236}">
              <a16:creationId xmlns:a16="http://schemas.microsoft.com/office/drawing/2014/main" id="{7F1BAF9D-BC35-4BA9-9906-981AC2132B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760" y="0"/>
          <a:ext cx="5018018" cy="3049201"/>
        </a:xfrm>
        <a:prstGeom prst="rect">
          <a:avLst/>
        </a:prstGeom>
      </xdr:spPr>
    </xdr:pic>
    <xdr:clientData/>
  </xdr:twoCellAnchor>
  <xdr:twoCellAnchor editAs="oneCell">
    <xdr:from>
      <xdr:col>0</xdr:col>
      <xdr:colOff>266700</xdr:colOff>
      <xdr:row>23</xdr:row>
      <xdr:rowOff>109537</xdr:rowOff>
    </xdr:from>
    <xdr:to>
      <xdr:col>9</xdr:col>
      <xdr:colOff>66033</xdr:colOff>
      <xdr:row>31</xdr:row>
      <xdr:rowOff>128586</xdr:rowOff>
    </xdr:to>
    <xdr:pic>
      <xdr:nvPicPr>
        <xdr:cNvPr id="6" name="Picture 5">
          <a:extLst>
            <a:ext uri="{FF2B5EF4-FFF2-40B4-BE49-F238E27FC236}">
              <a16:creationId xmlns:a16="http://schemas.microsoft.com/office/drawing/2014/main" id="{192EC1AF-922C-4D31-AB5A-4DCBE748184C}"/>
            </a:ext>
          </a:extLst>
        </xdr:cNvPr>
        <xdr:cNvPicPr>
          <a:picLocks noChangeAspect="1"/>
        </xdr:cNvPicPr>
      </xdr:nvPicPr>
      <xdr:blipFill rotWithShape="1">
        <a:blip xmlns:r="http://schemas.openxmlformats.org/officeDocument/2006/relationships" r:embed="rId2"/>
        <a:srcRect t="5852"/>
        <a:stretch/>
      </xdr:blipFill>
      <xdr:spPr>
        <a:xfrm>
          <a:off x="266700" y="7148512"/>
          <a:ext cx="5285733" cy="14668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10</xdr:row>
      <xdr:rowOff>0</xdr:rowOff>
    </xdr:from>
    <xdr:to>
      <xdr:col>15</xdr:col>
      <xdr:colOff>0</xdr:colOff>
      <xdr:row>26</xdr:row>
      <xdr:rowOff>9523</xdr:rowOff>
    </xdr:to>
    <xdr:graphicFrame macro="">
      <xdr:nvGraphicFramePr>
        <xdr:cNvPr id="2" name="Chart 1">
          <a:extLst>
            <a:ext uri="{FF2B5EF4-FFF2-40B4-BE49-F238E27FC236}">
              <a16:creationId xmlns:a16="http://schemas.microsoft.com/office/drawing/2014/main" id="{7924FC5C-548B-4D3D-B20D-DC0756766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7812</xdr:colOff>
      <xdr:row>35</xdr:row>
      <xdr:rowOff>179294</xdr:rowOff>
    </xdr:from>
    <xdr:to>
      <xdr:col>15</xdr:col>
      <xdr:colOff>0</xdr:colOff>
      <xdr:row>49</xdr:row>
      <xdr:rowOff>268941</xdr:rowOff>
    </xdr:to>
    <xdr:graphicFrame macro="">
      <xdr:nvGraphicFramePr>
        <xdr:cNvPr id="3" name="Chart 2">
          <a:extLst>
            <a:ext uri="{FF2B5EF4-FFF2-40B4-BE49-F238E27FC236}">
              <a16:creationId xmlns:a16="http://schemas.microsoft.com/office/drawing/2014/main" id="{C2E06687-AD71-44C1-854B-5837E824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269701</xdr:colOff>
      <xdr:row>6</xdr:row>
      <xdr:rowOff>148198</xdr:rowOff>
    </xdr:from>
    <xdr:to>
      <xdr:col>5</xdr:col>
      <xdr:colOff>269701</xdr:colOff>
      <xdr:row>112</xdr:row>
      <xdr:rowOff>374196</xdr:rowOff>
    </xdr:to>
    <xdr:cxnSp macro="">
      <xdr:nvCxnSpPr>
        <xdr:cNvPr id="6" name="Straight Connector 5">
          <a:extLst>
            <a:ext uri="{FF2B5EF4-FFF2-40B4-BE49-F238E27FC236}">
              <a16:creationId xmlns:a16="http://schemas.microsoft.com/office/drawing/2014/main" id="{0504DF13-6EF5-4427-B7DF-365C7680C974}"/>
            </a:ext>
          </a:extLst>
        </xdr:cNvPr>
        <xdr:cNvCxnSpPr/>
      </xdr:nvCxnSpPr>
      <xdr:spPr>
        <a:xfrm>
          <a:off x="6773915" y="1250377"/>
          <a:ext cx="0" cy="29107159"/>
        </a:xfrm>
        <a:prstGeom prst="line">
          <a:avLst/>
        </a:prstGeom>
        <a:ln w="22225">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42460</xdr:colOff>
      <xdr:row>57</xdr:row>
      <xdr:rowOff>1800</xdr:rowOff>
    </xdr:from>
    <xdr:to>
      <xdr:col>15</xdr:col>
      <xdr:colOff>29053</xdr:colOff>
      <xdr:row>69</xdr:row>
      <xdr:rowOff>162364</xdr:rowOff>
    </xdr:to>
    <xdr:graphicFrame macro="">
      <xdr:nvGraphicFramePr>
        <xdr:cNvPr id="9" name="Chart 8">
          <a:extLst>
            <a:ext uri="{FF2B5EF4-FFF2-40B4-BE49-F238E27FC236}">
              <a16:creationId xmlns:a16="http://schemas.microsoft.com/office/drawing/2014/main" id="{ABAE939A-75C1-4836-9B6F-E2FE2C949D92}"/>
            </a:ext>
            <a:ext uri="{147F2762-F138-4A5C-976F-8EAC2B608ADB}">
              <a16:predDERef xmlns:a16="http://schemas.microsoft.com/office/drawing/2014/main" pred="{219E70ED-A3A4-441B-92B7-CBDA8C7A3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217715</xdr:colOff>
      <xdr:row>0</xdr:row>
      <xdr:rowOff>0</xdr:rowOff>
    </xdr:from>
    <xdr:to>
      <xdr:col>1</xdr:col>
      <xdr:colOff>1189570</xdr:colOff>
      <xdr:row>6</xdr:row>
      <xdr:rowOff>115660</xdr:rowOff>
    </xdr:to>
    <xdr:pic>
      <xdr:nvPicPr>
        <xdr:cNvPr id="10" name="Picture 9">
          <a:extLst>
            <a:ext uri="{FF2B5EF4-FFF2-40B4-BE49-F238E27FC236}">
              <a16:creationId xmlns:a16="http://schemas.microsoft.com/office/drawing/2014/main" id="{12F0150F-9DC3-422E-B485-0AC18200315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7715" y="0"/>
          <a:ext cx="1237195" cy="1217839"/>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0.78203</cdr:x>
      <cdr:y>0.23527</cdr:y>
    </cdr:from>
    <cdr:to>
      <cdr:x>0.9026</cdr:x>
      <cdr:y>0.39896</cdr:y>
    </cdr:to>
    <cdr:sp macro="" textlink="'Scenario 1 - Calc Sheet'!$J$56">
      <cdr:nvSpPr>
        <cdr:cNvPr id="2" name="TextBox 1">
          <a:extLst xmlns:a="http://schemas.openxmlformats.org/drawingml/2006/main">
            <a:ext uri="{FF2B5EF4-FFF2-40B4-BE49-F238E27FC236}">
              <a16:creationId xmlns:a16="http://schemas.microsoft.com/office/drawing/2014/main" id="{B9024446-62EF-4F0F-AC29-A25FA3298038}"/>
            </a:ext>
          </a:extLst>
        </cdr:cNvPr>
        <cdr:cNvSpPr txBox="1"/>
      </cdr:nvSpPr>
      <cdr:spPr>
        <a:xfrm xmlns:a="http://schemas.openxmlformats.org/drawingml/2006/main">
          <a:off x="6644253" y="817281"/>
          <a:ext cx="1024380" cy="5686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33FADE3-F279-4778-A887-2966AE422305}" type="TxLink">
            <a:rPr lang="en-US" sz="2000" b="0" i="0" u="none" strike="noStrike">
              <a:solidFill>
                <a:srgbClr val="000000"/>
              </a:solidFill>
              <a:latin typeface="Calibri"/>
              <a:cs typeface="Calibri"/>
            </a:rPr>
            <a:pPr/>
            <a:t>#DIV/0!</a:t>
          </a:fld>
          <a:endParaRPr lang="en-US" sz="2000"/>
        </a:p>
      </cdr:txBody>
    </cdr:sp>
  </cdr:relSizeAnchor>
  <cdr:relSizeAnchor xmlns:cdr="http://schemas.openxmlformats.org/drawingml/2006/chartDrawing">
    <cdr:from>
      <cdr:x>0.7758</cdr:x>
      <cdr:y>0.15669</cdr:y>
    </cdr:from>
    <cdr:to>
      <cdr:x>0.90454</cdr:x>
      <cdr:y>0.26582</cdr:y>
    </cdr:to>
    <cdr:sp macro="" textlink="">
      <cdr:nvSpPr>
        <cdr:cNvPr id="3" name="TextBox 2">
          <a:extLst xmlns:a="http://schemas.openxmlformats.org/drawingml/2006/main">
            <a:ext uri="{FF2B5EF4-FFF2-40B4-BE49-F238E27FC236}">
              <a16:creationId xmlns:a16="http://schemas.microsoft.com/office/drawing/2014/main" id="{882C98F5-951C-4715-9715-D74C8663BEF7}"/>
            </a:ext>
          </a:extLst>
        </cdr:cNvPr>
        <cdr:cNvSpPr txBox="1"/>
      </cdr:nvSpPr>
      <cdr:spPr>
        <a:xfrm xmlns:a="http://schemas.openxmlformats.org/drawingml/2006/main">
          <a:off x="6591303" y="544297"/>
          <a:ext cx="1093793" cy="3790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b="0" i="0" u="none" strike="noStrike">
              <a:solidFill>
                <a:srgbClr val="000000"/>
              </a:solidFill>
              <a:latin typeface="Calibri"/>
              <a:cs typeface="Calibri"/>
            </a:rPr>
            <a:t>Savings: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240087</xdr:colOff>
      <xdr:row>11</xdr:row>
      <xdr:rowOff>179455</xdr:rowOff>
    </xdr:from>
    <xdr:to>
      <xdr:col>8</xdr:col>
      <xdr:colOff>1288677</xdr:colOff>
      <xdr:row>20</xdr:row>
      <xdr:rowOff>186357</xdr:rowOff>
    </xdr:to>
    <xdr:graphicFrame macro="">
      <xdr:nvGraphicFramePr>
        <xdr:cNvPr id="4" name="Chart 3">
          <a:extLst>
            <a:ext uri="{FF2B5EF4-FFF2-40B4-BE49-F238E27FC236}">
              <a16:creationId xmlns:a16="http://schemas.microsoft.com/office/drawing/2014/main" id="{E86E7B10-F02C-48FA-9724-0A3D3D901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161645</xdr:colOff>
      <xdr:row>24</xdr:row>
      <xdr:rowOff>358</xdr:rowOff>
    </xdr:from>
    <xdr:to>
      <xdr:col>8</xdr:col>
      <xdr:colOff>1210235</xdr:colOff>
      <xdr:row>34</xdr:row>
      <xdr:rowOff>27214</xdr:rowOff>
    </xdr:to>
    <xdr:graphicFrame macro="">
      <xdr:nvGraphicFramePr>
        <xdr:cNvPr id="5" name="Chart 4">
          <a:extLst>
            <a:ext uri="{FF2B5EF4-FFF2-40B4-BE49-F238E27FC236}">
              <a16:creationId xmlns:a16="http://schemas.microsoft.com/office/drawing/2014/main" id="{3B55E945-9168-4F4D-8EBF-B66E0FC1B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13607</xdr:colOff>
      <xdr:row>36</xdr:row>
      <xdr:rowOff>156483</xdr:rowOff>
    </xdr:from>
    <xdr:to>
      <xdr:col>8</xdr:col>
      <xdr:colOff>1062197</xdr:colOff>
      <xdr:row>48</xdr:row>
      <xdr:rowOff>20412</xdr:rowOff>
    </xdr:to>
    <xdr:graphicFrame macro="">
      <xdr:nvGraphicFramePr>
        <xdr:cNvPr id="6" name="Chart 5">
          <a:extLst>
            <a:ext uri="{FF2B5EF4-FFF2-40B4-BE49-F238E27FC236}">
              <a16:creationId xmlns:a16="http://schemas.microsoft.com/office/drawing/2014/main" id="{16B695B9-5BE3-4A8C-B280-CFD674C0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93723</xdr:rowOff>
    </xdr:from>
    <xdr:to>
      <xdr:col>8</xdr:col>
      <xdr:colOff>1048590</xdr:colOff>
      <xdr:row>61</xdr:row>
      <xdr:rowOff>441615</xdr:rowOff>
    </xdr:to>
    <xdr:graphicFrame macro="">
      <xdr:nvGraphicFramePr>
        <xdr:cNvPr id="7" name="Chart 6">
          <a:extLst>
            <a:ext uri="{FF2B5EF4-FFF2-40B4-BE49-F238E27FC236}">
              <a16:creationId xmlns:a16="http://schemas.microsoft.com/office/drawing/2014/main" id="{E0685840-46A0-439E-A41E-75791561B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63</xdr:row>
      <xdr:rowOff>129886</xdr:rowOff>
    </xdr:from>
    <xdr:to>
      <xdr:col>8</xdr:col>
      <xdr:colOff>1048590</xdr:colOff>
      <xdr:row>70</xdr:row>
      <xdr:rowOff>969817</xdr:rowOff>
    </xdr:to>
    <xdr:graphicFrame macro="">
      <xdr:nvGraphicFramePr>
        <xdr:cNvPr id="8" name="Chart 7">
          <a:extLst>
            <a:ext uri="{FF2B5EF4-FFF2-40B4-BE49-F238E27FC236}">
              <a16:creationId xmlns:a16="http://schemas.microsoft.com/office/drawing/2014/main" id="{FC963D48-5BC3-4D36-90A6-57C81F64F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72</xdr:row>
      <xdr:rowOff>147205</xdr:rowOff>
    </xdr:from>
    <xdr:to>
      <xdr:col>8</xdr:col>
      <xdr:colOff>1048590</xdr:colOff>
      <xdr:row>81</xdr:row>
      <xdr:rowOff>987135</xdr:rowOff>
    </xdr:to>
    <xdr:graphicFrame macro="">
      <xdr:nvGraphicFramePr>
        <xdr:cNvPr id="9" name="Chart 8">
          <a:extLst>
            <a:ext uri="{FF2B5EF4-FFF2-40B4-BE49-F238E27FC236}">
              <a16:creationId xmlns:a16="http://schemas.microsoft.com/office/drawing/2014/main" id="{DDF16BEC-2A77-4A92-85F4-CC17D256D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84</xdr:row>
      <xdr:rowOff>2</xdr:rowOff>
    </xdr:from>
    <xdr:to>
      <xdr:col>8</xdr:col>
      <xdr:colOff>1048590</xdr:colOff>
      <xdr:row>93</xdr:row>
      <xdr:rowOff>839930</xdr:rowOff>
    </xdr:to>
    <xdr:graphicFrame macro="">
      <xdr:nvGraphicFramePr>
        <xdr:cNvPr id="10" name="Chart 9">
          <a:extLst>
            <a:ext uri="{FF2B5EF4-FFF2-40B4-BE49-F238E27FC236}">
              <a16:creationId xmlns:a16="http://schemas.microsoft.com/office/drawing/2014/main" id="{2BD67C24-CFBF-4E9C-A7CB-70DDAD88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95</xdr:row>
      <xdr:rowOff>164523</xdr:rowOff>
    </xdr:from>
    <xdr:to>
      <xdr:col>8</xdr:col>
      <xdr:colOff>1048590</xdr:colOff>
      <xdr:row>109</xdr:row>
      <xdr:rowOff>95248</xdr:rowOff>
    </xdr:to>
    <xdr:graphicFrame macro="">
      <xdr:nvGraphicFramePr>
        <xdr:cNvPr id="11" name="Chart 10">
          <a:extLst>
            <a:ext uri="{FF2B5EF4-FFF2-40B4-BE49-F238E27FC236}">
              <a16:creationId xmlns:a16="http://schemas.microsoft.com/office/drawing/2014/main" id="{027819F1-F9A1-430D-A73D-6F8307ED7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unn, Jacob" id="{9D416587-5F1C-44FE-8985-A6FB801EC47A}" userId="S::jacob.dunn@zgf.com::1081f788-c55c-4b89-a307-f95774849cb0"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1" dT="2021-06-02T22:47:30.47" personId="{9D416587-5F1C-44FE-8985-A6FB801EC47A}" id="{84430F59-64D7-445E-98E8-5662C4A21ADA}">
    <text>check why recycling is not updating in the EOL graph</text>
  </threadedComment>
</ThreadedComments>
</file>

<file path=xl/threadedComments/threadedComment2.xml><?xml version="1.0" encoding="utf-8"?>
<ThreadedComments xmlns="http://schemas.microsoft.com/office/spreadsheetml/2018/threadedcomments" xmlns:x="http://schemas.openxmlformats.org/spreadsheetml/2006/main">
  <threadedComment ref="T45" dT="2021-03-12T00:39:53.53" personId="{9D416587-5F1C-44FE-8985-A6FB801EC47A}" id="{321A4D09-5F07-4D70-B900-01D7103B9ECC}">
    <text>double check why there is energy export with flare?</text>
  </threadedComment>
  <threadedComment ref="S55" dT="2021-03-12T00:45:05.80" personId="{9D416587-5F1C-44FE-8985-A6FB801EC47A}" id="{2261449E-DBD8-48FE-81F0-CDC38FC116B7}">
    <text>from the epd - 853.66 CO2e/450.18 kg ODW = emissions from biogenic carbon in wood going into atmosphere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blebits.com/office-addins-blog/2020/09/02/create-dynamic-dependent-drop-down-exce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s://corrim.org/wp-content/uploads/Module-G1-PNW-Glulam.pdf" TargetMode="External"/><Relationship Id="rId13" Type="http://schemas.openxmlformats.org/officeDocument/2006/relationships/hyperlink" Target="https://www.awc.org/pdf/greenbuilding/epd/AWC-EPD-LVL-1307.pdf" TargetMode="External"/><Relationship Id="rId3" Type="http://schemas.openxmlformats.org/officeDocument/2006/relationships/hyperlink" Target="https://www.structurlam.com/wp-content/uploads/2021/02/Structurlam-Environmental-Product-Declaration-Glulam.pdf" TargetMode="External"/><Relationship Id="rId7" Type="http://schemas.openxmlformats.org/officeDocument/2006/relationships/hyperlink" Target="https://www.awc.org/pdf/greenbuilding/epd/AWC-EPD-Glulam-1307.pdf" TargetMode="External"/><Relationship Id="rId12" Type="http://schemas.openxmlformats.org/officeDocument/2006/relationships/hyperlink" Target="https://www.awc.org/pdf/greenbuilding/epd/AWC-EPD-LVL-1307.pdf" TargetMode="External"/><Relationship Id="rId17" Type="http://schemas.openxmlformats.org/officeDocument/2006/relationships/hyperlink" Target="https://www.awc.org/pdf/greenbuilding/epd/AWC-EPD-SoftwoodLumber-1307.pdf" TargetMode="External"/><Relationship Id="rId2" Type="http://schemas.openxmlformats.org/officeDocument/2006/relationships/hyperlink" Target="http://www.clt.lt/failai/files/EPD%20according%20to%20ISO%2014025.pdf" TargetMode="External"/><Relationship Id="rId16" Type="http://schemas.openxmlformats.org/officeDocument/2006/relationships/hyperlink" Target="https://www.awc.org/pdf/greenbuilding/epd/AWC_EPD_NorthAmericanSoftwoodLumber_20200605.pdf" TargetMode="External"/><Relationship Id="rId1" Type="http://schemas.openxmlformats.org/officeDocument/2006/relationships/hyperlink" Target="https://www.awc.org/pdf/greenbuilding/epd/AWC-EPD-Glulam-1307.pdf" TargetMode="External"/><Relationship Id="rId6" Type="http://schemas.openxmlformats.org/officeDocument/2006/relationships/hyperlink" Target="https://www.awc.org/pdf/greenbuilding/epd/AWC_EPD_NorthAmericanGluedLaminatedTimber_20200605.pdf" TargetMode="External"/><Relationship Id="rId11" Type="http://schemas.openxmlformats.org/officeDocument/2006/relationships/hyperlink" Target="https://www.awc.org/pdf/greenbuilding/epd/AWC_EPD_NorthAmericanLaminatedVeneerLumber_20200605.pdf" TargetMode="External"/><Relationship Id="rId5" Type="http://schemas.openxmlformats.org/officeDocument/2006/relationships/hyperlink" Target="https://www.awc.org/pdf/greenbuilding/epd/AWC-EPD-Glulam-1307.pdf" TargetMode="External"/><Relationship Id="rId15" Type="http://schemas.openxmlformats.org/officeDocument/2006/relationships/hyperlink" Target="http://gabi-documentation-2021.gabi-software.com/xml-data/processes/bdd72752-09d1-44ad-a47b-e7b31fae976f.xml" TargetMode="External"/><Relationship Id="rId10" Type="http://schemas.openxmlformats.org/officeDocument/2006/relationships/hyperlink" Target="http://www.athenasmi.org/wp-content/uploads/2018/07/CtoG-LCA-of-Canadian-Glulam.pdf" TargetMode="External"/><Relationship Id="rId4" Type="http://schemas.openxmlformats.org/officeDocument/2006/relationships/hyperlink" Target="https://www.nordic.ca/data/files/datasheet/file/EPD_Nordic_X-Lam.pdf" TargetMode="External"/><Relationship Id="rId9" Type="http://schemas.openxmlformats.org/officeDocument/2006/relationships/hyperlink" Target="https://corrim.org/wp-content/uploads/Module-G2-SE-Glulam.pdf" TargetMode="External"/><Relationship Id="rId14" Type="http://schemas.openxmlformats.org/officeDocument/2006/relationships/hyperlink" Target="http://gabi-documentation-2021.gabi-software.com/xml-data/processes/09730248-3647-4d05-bac8-29d35de9219e.x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F6ED-594B-4F7F-B82A-4A22DBDE8307}">
  <sheetPr>
    <tabColor rgb="FFFF0000"/>
  </sheetPr>
  <dimension ref="A1:XFD38"/>
  <sheetViews>
    <sheetView workbookViewId="0"/>
    <sheetView workbookViewId="1"/>
    <sheetView workbookViewId="2"/>
  </sheetViews>
  <sheetFormatPr defaultColWidth="9" defaultRowHeight="14.25" x14ac:dyDescent="0.45"/>
  <cols>
    <col min="1" max="1" width="11.73046875" style="15" customWidth="1"/>
    <col min="2" max="2" width="15" style="15" customWidth="1"/>
    <col min="3" max="3" width="34" style="15" customWidth="1"/>
    <col min="4" max="8" width="18" style="15" customWidth="1"/>
    <col min="9" max="9" width="18.1328125" style="15" customWidth="1"/>
    <col min="10" max="10" width="16.1328125" style="15" customWidth="1"/>
    <col min="11" max="11" width="15" style="15" customWidth="1"/>
    <col min="12" max="12" width="15.265625" style="15" customWidth="1"/>
    <col min="13" max="13" width="15.86328125" style="15" customWidth="1"/>
    <col min="14" max="14" width="10" style="15" customWidth="1"/>
    <col min="15" max="20" width="9" style="15"/>
    <col min="21" max="21" width="19" style="15" customWidth="1"/>
    <col min="22" max="16384" width="9" style="15"/>
  </cols>
  <sheetData>
    <row r="1" spans="1:44 16384:16384" x14ac:dyDescent="0.45">
      <c r="A1" s="54"/>
      <c r="B1" s="54" t="s">
        <v>0</v>
      </c>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XFD1" s="54"/>
    </row>
    <row r="2" spans="1:44 16384:16384" x14ac:dyDescent="0.45">
      <c r="A2" s="54"/>
      <c r="B2" s="54" t="s">
        <v>1</v>
      </c>
      <c r="C2" s="54" t="s">
        <v>2</v>
      </c>
      <c r="D2" s="54" t="s">
        <v>2</v>
      </c>
      <c r="E2" s="54" t="s">
        <v>2</v>
      </c>
      <c r="F2" s="54" t="s">
        <v>3</v>
      </c>
      <c r="G2" s="54" t="s">
        <v>3</v>
      </c>
      <c r="H2" s="54"/>
      <c r="I2" s="54" t="s">
        <v>2</v>
      </c>
      <c r="J2" s="54" t="s">
        <v>4</v>
      </c>
      <c r="K2" s="54" t="s">
        <v>3</v>
      </c>
      <c r="L2" s="54" t="s">
        <v>3</v>
      </c>
      <c r="M2" s="54" t="s">
        <v>3</v>
      </c>
      <c r="N2" s="54" t="s">
        <v>3</v>
      </c>
      <c r="O2" s="54" t="s">
        <v>3</v>
      </c>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XFD2" s="54" t="s">
        <v>3</v>
      </c>
    </row>
    <row r="3" spans="1:44 16384:16384" x14ac:dyDescent="0.45">
      <c r="A3" s="54"/>
      <c r="B3" s="54" t="s">
        <v>5</v>
      </c>
      <c r="C3" s="54"/>
      <c r="D3" s="54"/>
      <c r="E3" s="54"/>
      <c r="F3" s="54"/>
      <c r="G3" s="54"/>
      <c r="H3" s="54"/>
      <c r="I3" s="54" t="s">
        <v>6</v>
      </c>
      <c r="J3" s="54" t="s">
        <v>7</v>
      </c>
      <c r="K3" s="54" t="s">
        <v>8</v>
      </c>
      <c r="L3" s="54" t="s">
        <v>9</v>
      </c>
      <c r="M3" s="54" t="s">
        <v>10</v>
      </c>
      <c r="N3" s="54" t="s">
        <v>8</v>
      </c>
      <c r="O3" s="54" t="s">
        <v>9</v>
      </c>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XFD3" s="54"/>
    </row>
    <row r="4" spans="1:44 16384:16384" x14ac:dyDescent="0.45">
      <c r="A4" s="54"/>
      <c r="B4" s="54" t="s">
        <v>11</v>
      </c>
      <c r="C4" s="54" t="s">
        <v>12</v>
      </c>
      <c r="D4" s="54"/>
      <c r="E4" s="54"/>
      <c r="F4" s="54"/>
      <c r="G4" s="54"/>
      <c r="H4" s="54"/>
      <c r="I4" s="54" t="s">
        <v>13</v>
      </c>
      <c r="J4" s="54" t="s">
        <v>13</v>
      </c>
      <c r="K4" s="54" t="s">
        <v>14</v>
      </c>
      <c r="L4" s="54" t="s">
        <v>15</v>
      </c>
      <c r="M4" s="54" t="s">
        <v>12</v>
      </c>
      <c r="N4" s="54" t="s">
        <v>12</v>
      </c>
      <c r="O4" s="54" t="s">
        <v>12</v>
      </c>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4" t="s">
        <v>12</v>
      </c>
      <c r="XFD4" s="54"/>
    </row>
    <row r="5" spans="1:44 16384:16384" x14ac:dyDescent="0.45">
      <c r="A5" s="54"/>
      <c r="B5" s="58" t="s">
        <v>16</v>
      </c>
      <c r="C5" s="58" t="s">
        <v>17</v>
      </c>
      <c r="D5" s="58" t="s">
        <v>18</v>
      </c>
      <c r="E5" s="58" t="s">
        <v>19</v>
      </c>
      <c r="F5" s="58" t="s">
        <v>20</v>
      </c>
      <c r="G5" s="58" t="s">
        <v>21</v>
      </c>
      <c r="H5" s="58" t="s">
        <v>22</v>
      </c>
      <c r="I5" s="58" t="s">
        <v>23</v>
      </c>
      <c r="J5" s="58" t="s">
        <v>23</v>
      </c>
      <c r="K5" s="58" t="s">
        <v>23</v>
      </c>
      <c r="L5" s="58" t="s">
        <v>23</v>
      </c>
      <c r="M5" s="58" t="s">
        <v>23</v>
      </c>
      <c r="N5" s="58" t="s">
        <v>23</v>
      </c>
      <c r="O5" s="58" t="s">
        <v>23</v>
      </c>
      <c r="P5" s="54"/>
      <c r="Q5" s="54"/>
      <c r="R5" s="54"/>
      <c r="S5" s="58" t="s">
        <v>24</v>
      </c>
      <c r="T5" s="58" t="s">
        <v>25</v>
      </c>
      <c r="U5" s="58" t="s">
        <v>26</v>
      </c>
      <c r="V5" s="58" t="s">
        <v>27</v>
      </c>
      <c r="W5" s="58" t="s">
        <v>28</v>
      </c>
      <c r="X5" s="58" t="s">
        <v>29</v>
      </c>
      <c r="Y5" s="54"/>
      <c r="Z5" s="54"/>
      <c r="AA5" s="54"/>
      <c r="AB5" s="54"/>
      <c r="AC5" s="54"/>
      <c r="AD5" s="54"/>
      <c r="AE5" s="54"/>
      <c r="AF5" s="54"/>
      <c r="AG5" s="54"/>
      <c r="AH5" s="54"/>
      <c r="AI5" s="54"/>
      <c r="AJ5" s="54"/>
      <c r="AK5" s="54"/>
      <c r="AL5" s="54"/>
      <c r="AM5" s="54"/>
      <c r="AN5" s="54"/>
      <c r="AO5" s="54"/>
      <c r="AP5" s="54"/>
      <c r="AQ5" s="54"/>
      <c r="AR5" s="3" t="s">
        <v>30</v>
      </c>
      <c r="XFD5" s="54"/>
    </row>
    <row r="6" spans="1:44 16384:16384" x14ac:dyDescent="0.45">
      <c r="A6" s="54"/>
      <c r="B6" s="58" t="s">
        <v>31</v>
      </c>
      <c r="C6" s="58" t="s">
        <v>32</v>
      </c>
      <c r="D6" s="58" t="s">
        <v>33</v>
      </c>
      <c r="E6" s="58" t="s">
        <v>33</v>
      </c>
      <c r="F6" s="58" t="s">
        <v>20</v>
      </c>
      <c r="G6" s="58"/>
      <c r="H6" s="58"/>
      <c r="I6" s="2"/>
      <c r="J6" s="2"/>
      <c r="K6" s="2"/>
      <c r="L6" s="54"/>
      <c r="M6" s="2"/>
      <c r="N6" s="2"/>
      <c r="O6" s="54"/>
      <c r="P6" s="54"/>
      <c r="Q6" s="54"/>
      <c r="R6" s="54"/>
      <c r="S6" s="58" t="s">
        <v>34</v>
      </c>
      <c r="T6" s="58" t="s">
        <v>35</v>
      </c>
      <c r="U6" s="58"/>
      <c r="V6" s="58" t="s">
        <v>36</v>
      </c>
      <c r="W6" s="58" t="s">
        <v>37</v>
      </c>
      <c r="X6" s="54"/>
      <c r="Y6" s="54"/>
      <c r="Z6" s="54"/>
      <c r="AA6" s="54"/>
      <c r="AB6" s="54"/>
      <c r="AC6" s="54"/>
      <c r="AD6" s="54"/>
      <c r="AE6" s="54"/>
      <c r="AF6" s="54"/>
      <c r="AG6" s="54"/>
      <c r="AH6" s="54"/>
      <c r="AI6" s="54"/>
      <c r="AJ6" s="54"/>
      <c r="AK6" s="54"/>
      <c r="AL6" s="54"/>
      <c r="AM6" s="54"/>
      <c r="AN6" s="54"/>
      <c r="AO6" s="54"/>
      <c r="AP6" s="54"/>
      <c r="AQ6" s="54"/>
      <c r="AR6" s="4"/>
      <c r="XFD6" s="54"/>
    </row>
    <row r="7" spans="1:44 16384:16384" x14ac:dyDescent="0.45">
      <c r="A7" s="54"/>
      <c r="B7" s="7" t="s">
        <v>38</v>
      </c>
      <c r="C7" s="58"/>
      <c r="D7" s="58"/>
      <c r="E7" s="58"/>
      <c r="F7" s="58"/>
      <c r="G7" s="58"/>
      <c r="H7" s="58"/>
      <c r="I7" s="9">
        <v>1.93</v>
      </c>
      <c r="J7" s="9">
        <v>1.93</v>
      </c>
      <c r="K7" s="9">
        <v>1.93</v>
      </c>
      <c r="L7" s="9">
        <v>1.93</v>
      </c>
      <c r="M7" s="9">
        <v>1.93</v>
      </c>
      <c r="N7" s="9">
        <v>1.93</v>
      </c>
      <c r="O7" s="9">
        <v>1.93</v>
      </c>
      <c r="P7" s="9"/>
      <c r="Q7" s="54"/>
      <c r="R7" s="54"/>
      <c r="S7" s="58"/>
      <c r="T7" s="58"/>
      <c r="U7" s="58"/>
      <c r="V7" s="58"/>
      <c r="W7" s="58"/>
      <c r="X7" s="54"/>
      <c r="Y7" s="54"/>
      <c r="Z7" s="54"/>
      <c r="AA7" s="54"/>
      <c r="AB7" s="54"/>
      <c r="AC7" s="54"/>
      <c r="AD7" s="54"/>
      <c r="AE7" s="54"/>
      <c r="AF7" s="54"/>
      <c r="AG7" s="54"/>
      <c r="AH7" s="54"/>
      <c r="AI7" s="54"/>
      <c r="AJ7" s="54"/>
      <c r="AK7" s="54"/>
      <c r="AL7" s="54"/>
      <c r="AM7" s="54"/>
      <c r="AN7" s="54"/>
      <c r="AO7" s="54"/>
      <c r="AP7" s="54"/>
      <c r="AQ7" s="54"/>
      <c r="AR7" s="6"/>
      <c r="XFD7" s="54"/>
    </row>
    <row r="8" spans="1:44 16384:16384" x14ac:dyDescent="0.45">
      <c r="A8" s="54"/>
      <c r="B8" s="7" t="s">
        <v>39</v>
      </c>
      <c r="C8" s="58"/>
      <c r="D8" s="58"/>
      <c r="E8" s="58"/>
      <c r="F8" s="58"/>
      <c r="G8" s="58"/>
      <c r="H8" s="58"/>
      <c r="I8" s="9">
        <v>355.4051255</v>
      </c>
      <c r="J8" s="9">
        <v>964</v>
      </c>
      <c r="K8" s="54">
        <v>964.28</v>
      </c>
      <c r="L8" s="54">
        <v>281.73</v>
      </c>
      <c r="M8" s="9"/>
      <c r="N8" s="54">
        <f>M9+AR9</f>
        <v>977.38</v>
      </c>
      <c r="O8" s="54">
        <f>977.38-820.6</f>
        <v>156.77999999999997</v>
      </c>
      <c r="P8" s="9"/>
      <c r="Q8" s="54"/>
      <c r="R8" s="54"/>
      <c r="S8" s="58"/>
      <c r="T8" s="58"/>
      <c r="U8" s="58"/>
      <c r="V8" s="58"/>
      <c r="W8" s="58"/>
      <c r="X8" s="54"/>
      <c r="Y8" s="54"/>
      <c r="Z8" s="54"/>
      <c r="AA8" s="54"/>
      <c r="AB8" s="54"/>
      <c r="AC8" s="54"/>
      <c r="AD8" s="54"/>
      <c r="AE8" s="54"/>
      <c r="AF8" s="54"/>
      <c r="AG8" s="54"/>
      <c r="AH8" s="54"/>
      <c r="AI8" s="54"/>
      <c r="AJ8" s="54"/>
      <c r="AK8" s="54"/>
      <c r="AL8" s="54"/>
      <c r="AM8" s="54"/>
      <c r="AN8" s="54"/>
      <c r="AO8" s="54"/>
      <c r="AP8" s="54"/>
      <c r="AQ8" s="54"/>
      <c r="AR8" s="6"/>
      <c r="XFD8" s="54"/>
    </row>
    <row r="9" spans="1:44 16384:16384" x14ac:dyDescent="0.45">
      <c r="A9" s="319" t="s">
        <v>0</v>
      </c>
      <c r="B9" s="215" t="s">
        <v>40</v>
      </c>
      <c r="C9" s="49">
        <f>'DO NOT USE Carbon'!C6/0.02831685</f>
        <v>568.39993159171308</v>
      </c>
      <c r="D9" s="49">
        <f>'DO NOT USE Carbon'!D6/0.02831685</f>
        <v>537.80993527329133</v>
      </c>
      <c r="E9" s="49">
        <f>'DO NOT USE Carbon'!E6/0.02831685</f>
        <v>542.90515066006981</v>
      </c>
      <c r="F9" s="49">
        <f>'DO NOT USE Carbon'!F6/0.02831685</f>
        <v>30608.98369698607</v>
      </c>
      <c r="G9" s="49">
        <f>'DO NOT USE Carbon'!G6/0.02831685</f>
        <v>0</v>
      </c>
      <c r="H9" s="49">
        <f>'DO NOT USE Carbon'!H6/0.02831685</f>
        <v>0</v>
      </c>
      <c r="I9" s="49">
        <v>264</v>
      </c>
      <c r="J9" s="49">
        <v>264</v>
      </c>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4">
        <v>977.38</v>
      </c>
      <c r="XFD9" s="54"/>
    </row>
    <row r="10" spans="1:44 16384:16384" ht="28.5" x14ac:dyDescent="0.45">
      <c r="A10" s="319"/>
      <c r="B10" s="215" t="s">
        <v>41</v>
      </c>
      <c r="C10" s="49">
        <f>'DO NOT USE Carbon'!C7/0.02831685</f>
        <v>0</v>
      </c>
      <c r="D10" s="49">
        <f>'DO NOT USE Carbon'!D7/0.02831685</f>
        <v>0</v>
      </c>
      <c r="E10" s="49">
        <f>'DO NOT USE Carbon'!E7/0.02831685</f>
        <v>0</v>
      </c>
      <c r="F10" s="49">
        <f>'DO NOT USE Carbon'!F7/0.02831685</f>
        <v>0</v>
      </c>
      <c r="G10" s="49">
        <f>'DO NOT USE Carbon'!G7/0.02831685</f>
        <v>0</v>
      </c>
      <c r="H10" s="49">
        <f>'DO NOT USE Carbon'!H7/0.02831685</f>
        <v>0</v>
      </c>
      <c r="I10" s="49">
        <f>'DO NOT USE Carbon'!I7/0.02831685</f>
        <v>0</v>
      </c>
      <c r="J10" s="49">
        <f>'DO NOT USE Carbon'!J7/0.02831685</f>
        <v>0</v>
      </c>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4"/>
      <c r="XFD10" s="54"/>
    </row>
    <row r="11" spans="1:44 16384:16384" x14ac:dyDescent="0.45">
      <c r="A11" s="319"/>
      <c r="B11" s="215" t="s">
        <v>42</v>
      </c>
      <c r="C11" s="49">
        <f>'DO NOT USE Carbon'!C8/0.02831685</f>
        <v>45.373994539131644</v>
      </c>
      <c r="D11" s="49">
        <f>'DO NOT USE Carbon'!D8/0.02831685</f>
        <v>470.58369336413125</v>
      </c>
      <c r="E11" s="49">
        <f>'DO NOT USE Carbon'!E8/0.02831685</f>
        <v>475.04200682756021</v>
      </c>
      <c r="F11" s="49">
        <f>'DO NOT USE Carbon'!F8/0.02831685</f>
        <v>-1995.984722877015</v>
      </c>
      <c r="G11" s="49">
        <f>'DO NOT USE Carbon'!G8/0.02831685</f>
        <v>0</v>
      </c>
      <c r="H11" s="49">
        <f>'DO NOT USE Carbon'!H8/0.02831685</f>
        <v>0</v>
      </c>
      <c r="I11" s="49">
        <f>'DO NOT USE Carbon'!I8/0.02831685</f>
        <v>49.445616049102206</v>
      </c>
      <c r="J11" s="49">
        <f>'DO NOT USE Carbon'!J8/0.02831685</f>
        <v>-90.774889075025655</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4"/>
      <c r="XFD11" s="54"/>
    </row>
    <row r="12" spans="1:44 16384:16384" x14ac:dyDescent="0.45">
      <c r="A12" s="319"/>
      <c r="B12" s="215" t="s">
        <v>43</v>
      </c>
      <c r="C12" s="49"/>
      <c r="D12" s="49"/>
      <c r="E12" s="49"/>
      <c r="F12" s="49"/>
      <c r="G12" s="49"/>
      <c r="H12" s="49"/>
      <c r="I12" s="49">
        <v>-964.28</v>
      </c>
      <c r="J12" s="49">
        <v>-964</v>
      </c>
      <c r="K12" s="54">
        <v>-964.28</v>
      </c>
      <c r="L12" s="54">
        <v>-964.28</v>
      </c>
      <c r="M12" s="54"/>
      <c r="N12" s="54">
        <v>-977.38</v>
      </c>
      <c r="O12" s="54">
        <v>-977.38</v>
      </c>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4"/>
      <c r="XFD12" s="54"/>
    </row>
    <row r="13" spans="1:44 16384:16384" ht="28.5" x14ac:dyDescent="0.45">
      <c r="A13" s="319"/>
      <c r="B13" s="215" t="s">
        <v>44</v>
      </c>
      <c r="C13" s="49">
        <f>'DO NOT USE Carbon'!C13/0.02831685</f>
        <v>12.520870493083375</v>
      </c>
      <c r="D13" s="49">
        <f>'DO NOT USE Carbon'!D13/0.02831685</f>
        <v>12.27013367326016</v>
      </c>
      <c r="E13" s="49">
        <f>'DO NOT USE Carbon'!E13/0.02831685</f>
        <v>12.386381012309526</v>
      </c>
      <c r="F13" s="49">
        <f>'DO NOT USE Carbon'!F13/0.02831685</f>
        <v>1688.7471593768373</v>
      </c>
      <c r="G13" s="49">
        <f>'DO NOT USE Carbon'!G13/0.02831685</f>
        <v>0</v>
      </c>
      <c r="H13" s="49">
        <f>'DO NOT USE Carbon'!H13/0.02831685</f>
        <v>0</v>
      </c>
      <c r="I13" s="49">
        <f>'DO NOT USE Carbon'!I13/0.02831685</f>
        <v>13.644426973860686</v>
      </c>
      <c r="J13" s="49">
        <f>'DO NOT USE Carbon'!J13/0.02831685</f>
        <v>13.569457594883435</v>
      </c>
      <c r="K13" s="49"/>
      <c r="L13" s="49"/>
      <c r="M13" s="49"/>
      <c r="N13" s="49"/>
      <c r="O13" s="49"/>
      <c r="P13" s="49"/>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10">
        <f>'DO NOT USE Carbon'!Q13/0.02831685</f>
        <v>0</v>
      </c>
      <c r="XFD13" s="54"/>
    </row>
    <row r="14" spans="1:44 16384:16384" ht="28.5" x14ac:dyDescent="0.45">
      <c r="A14" s="319"/>
      <c r="B14" s="215" t="s">
        <v>45</v>
      </c>
      <c r="C14" s="49">
        <f>'DO NOT USE Carbon'!C9/0.02831685</f>
        <v>-705.59991507936797</v>
      </c>
      <c r="D14" s="49">
        <f>'DO NOT USE Carbon'!D9/0.02831685</f>
        <v>-561.81930738370613</v>
      </c>
      <c r="E14" s="49">
        <f>'DO NOT USE Carbon'!E9/0.02831685</f>
        <v>-557.44725290989288</v>
      </c>
      <c r="F14" s="49">
        <f>'DO NOT USE Carbon'!F9/0.02831685</f>
        <v>-24209.260563939839</v>
      </c>
      <c r="G14" s="49">
        <f>'DO NOT USE Carbon'!G9/0.02831685</f>
        <v>4304.5042086248995</v>
      </c>
      <c r="H14" s="49" t="e">
        <f>'DO NOT USE Carbon'!H9/0.02831685</f>
        <v>#VALUE!</v>
      </c>
      <c r="I14" s="49">
        <v>198.10284619999999</v>
      </c>
      <c r="J14" s="49">
        <f>'DO NOT USE Carbon'!J9/0.02831685</f>
        <v>198.10284615785019</v>
      </c>
      <c r="K14" s="49">
        <v>197.87</v>
      </c>
      <c r="L14" s="49">
        <v>197.87</v>
      </c>
      <c r="M14" s="49">
        <v>137.19</v>
      </c>
      <c r="N14" s="54">
        <v>137.19</v>
      </c>
      <c r="O14" s="54">
        <v>137.19</v>
      </c>
      <c r="P14" s="54"/>
      <c r="Q14" s="54"/>
      <c r="R14" s="54"/>
      <c r="S14" s="54"/>
      <c r="T14" s="54"/>
      <c r="U14" s="54"/>
      <c r="V14" s="54"/>
      <c r="W14" s="54"/>
      <c r="X14" s="54">
        <f>SUM(X15:X17)</f>
        <v>123.57</v>
      </c>
      <c r="Y14" s="54"/>
      <c r="Z14" s="54"/>
      <c r="AA14" s="54"/>
      <c r="AB14" s="54"/>
      <c r="AC14" s="54"/>
      <c r="AD14" s="54"/>
      <c r="AE14" s="54"/>
      <c r="AF14" s="54"/>
      <c r="AG14" s="54"/>
      <c r="AH14" s="54"/>
      <c r="AI14" s="54"/>
      <c r="AJ14" s="54"/>
      <c r="AK14" s="54"/>
      <c r="AL14" s="54"/>
      <c r="AM14" s="54"/>
      <c r="AN14" s="54"/>
      <c r="AO14" s="54"/>
      <c r="AP14" s="54"/>
      <c r="AQ14" s="54"/>
      <c r="AR14" s="10"/>
      <c r="XFD14" s="54"/>
    </row>
    <row r="15" spans="1:44 16384:16384" x14ac:dyDescent="0.45">
      <c r="A15" s="319"/>
      <c r="B15" s="215" t="s">
        <v>46</v>
      </c>
      <c r="C15" s="49" t="e">
        <f>'DO NOT USE Carbon'!C10/0.02831685</f>
        <v>#VALUE!</v>
      </c>
      <c r="D15" s="49" t="e">
        <f>'DO NOT USE Carbon'!D10/0.02831685</f>
        <v>#VALUE!</v>
      </c>
      <c r="E15" s="49" t="e">
        <f>'DO NOT USE Carbon'!E10/0.02831685</f>
        <v>#VALUE!</v>
      </c>
      <c r="F15" s="49">
        <f>'DO NOT USE Carbon'!F10/0.02831685</f>
        <v>-25291.654968684721</v>
      </c>
      <c r="G15" s="49">
        <f>'DO NOT USE Carbon'!G10/0.02831685</f>
        <v>1337.719414412267</v>
      </c>
      <c r="H15" s="49" t="e">
        <f>'DO NOT USE Carbon'!H10/0.02831685</f>
        <v>#VALUE!</v>
      </c>
      <c r="I15" s="49">
        <f>'DO NOT USE Carbon'!I10/0.02831685</f>
        <v>0</v>
      </c>
      <c r="J15" s="49">
        <f>'DO NOT USE Carbon'!J10/0.02831685</f>
        <v>0</v>
      </c>
      <c r="K15" s="54">
        <v>11.37</v>
      </c>
      <c r="L15" s="54">
        <v>11.37</v>
      </c>
      <c r="M15" s="54">
        <v>66.260000000000005</v>
      </c>
      <c r="N15" s="54">
        <f>M15+AR15</f>
        <v>-1354.99</v>
      </c>
      <c r="O15" s="54">
        <v>-1354.99</v>
      </c>
      <c r="P15" s="54"/>
      <c r="Q15" s="54"/>
      <c r="R15" s="54"/>
      <c r="S15" s="54"/>
      <c r="T15" s="54"/>
      <c r="U15" s="54"/>
      <c r="V15" s="54"/>
      <c r="W15" s="54"/>
      <c r="X15" s="54">
        <v>61.16</v>
      </c>
      <c r="Y15" s="54"/>
      <c r="Z15" s="54"/>
      <c r="AA15" s="54"/>
      <c r="AB15" s="54"/>
      <c r="AC15" s="54"/>
      <c r="AD15" s="54"/>
      <c r="AE15" s="54"/>
      <c r="AF15" s="54"/>
      <c r="AG15" s="54"/>
      <c r="AH15" s="54"/>
      <c r="AI15" s="54"/>
      <c r="AJ15" s="54"/>
      <c r="AK15" s="54"/>
      <c r="AL15" s="54"/>
      <c r="AM15" s="54"/>
      <c r="AN15" s="54"/>
      <c r="AO15" s="54"/>
      <c r="AP15" s="54"/>
      <c r="AQ15" s="54"/>
      <c r="AR15" s="10">
        <f>-1664.37+243.12</f>
        <v>-1421.25</v>
      </c>
      <c r="XFD15" s="54"/>
    </row>
    <row r="16" spans="1:44 16384:16384" x14ac:dyDescent="0.45">
      <c r="A16" s="319"/>
      <c r="B16" s="215" t="s">
        <v>47</v>
      </c>
      <c r="C16" s="49" t="e">
        <f>'DO NOT USE Carbon'!C11/0.02831685</f>
        <v>#VALUE!</v>
      </c>
      <c r="D16" s="49" t="e">
        <f>'DO NOT USE Carbon'!D11/0.02831685</f>
        <v>#VALUE!</v>
      </c>
      <c r="E16" s="49" t="e">
        <f>'DO NOT USE Carbon'!E11/0.02831685</f>
        <v>#VALUE!</v>
      </c>
      <c r="F16" s="49">
        <f>'DO NOT USE Carbon'!F11/0.02831685</f>
        <v>969.3874848367667</v>
      </c>
      <c r="G16" s="49">
        <f>'DO NOT USE Carbon'!G11/0.02831685</f>
        <v>1835.3030086326692</v>
      </c>
      <c r="H16" s="49" t="e">
        <f>'DO NOT USE Carbon'!H11/0.02831685</f>
        <v>#VALUE!</v>
      </c>
      <c r="I16" s="49">
        <f>'DO NOT USE Carbon'!I11/0.02831685</f>
        <v>0</v>
      </c>
      <c r="J16" s="49">
        <f>'DO NOT USE Carbon'!J11/0.02831685</f>
        <v>0</v>
      </c>
      <c r="K16" s="54"/>
      <c r="L16" s="54"/>
      <c r="M16" s="54">
        <v>23.79</v>
      </c>
      <c r="N16" s="54">
        <f>M16+AR16</f>
        <v>23.79</v>
      </c>
      <c r="O16" s="54">
        <v>23.79</v>
      </c>
      <c r="P16" s="54"/>
      <c r="Q16" s="54"/>
      <c r="R16" s="54"/>
      <c r="S16" s="54"/>
      <c r="T16" s="54"/>
      <c r="U16" s="54"/>
      <c r="V16" s="54"/>
      <c r="W16" s="54"/>
      <c r="X16" s="54">
        <v>40.799999999999997</v>
      </c>
      <c r="Y16" s="54"/>
      <c r="Z16" s="54"/>
      <c r="AA16" s="54"/>
      <c r="AB16" s="54"/>
      <c r="AC16" s="54"/>
      <c r="AD16" s="54"/>
      <c r="AE16" s="54"/>
      <c r="AF16" s="54"/>
      <c r="AG16" s="54"/>
      <c r="AH16" s="54"/>
      <c r="AI16" s="54"/>
      <c r="AJ16" s="54"/>
      <c r="AK16" s="54"/>
      <c r="AL16" s="54"/>
      <c r="AM16" s="54"/>
      <c r="AN16" s="54"/>
      <c r="AO16" s="54"/>
      <c r="AP16" s="54"/>
      <c r="AQ16" s="54"/>
      <c r="AR16" s="4">
        <v>0</v>
      </c>
      <c r="XFD16" s="54"/>
    </row>
    <row r="17" spans="1:44" x14ac:dyDescent="0.45">
      <c r="A17" s="319"/>
      <c r="B17" s="215" t="s">
        <v>48</v>
      </c>
      <c r="C17" s="49" t="e">
        <f>'DO NOT USE Carbon'!C12/0.02831685</f>
        <v>#VALUE!</v>
      </c>
      <c r="D17" s="49" t="e">
        <f>'DO NOT USE Carbon'!D12/0.02831685</f>
        <v>#VALUE!</v>
      </c>
      <c r="E17" s="49" t="e">
        <f>'DO NOT USE Carbon'!E12/0.02831685</f>
        <v>#VALUE!</v>
      </c>
      <c r="F17" s="49">
        <f>'DO NOT USE Carbon'!F12/0.02831685</f>
        <v>113.00691990811126</v>
      </c>
      <c r="G17" s="49">
        <f>'DO NOT USE Carbon'!G12/0.02831685</f>
        <v>1131.4817855799638</v>
      </c>
      <c r="H17" s="49" t="e">
        <f>'DO NOT USE Carbon'!H12/0.02831685</f>
        <v>#VALUE!</v>
      </c>
      <c r="I17" s="49">
        <f>'DO NOT USE Carbon'!I12/0.02831685</f>
        <v>0</v>
      </c>
      <c r="J17" s="49">
        <f>'DO NOT USE Carbon'!J12/0.02831685</f>
        <v>0</v>
      </c>
      <c r="K17" s="54">
        <v>186.59</v>
      </c>
      <c r="L17" s="54">
        <v>186.59</v>
      </c>
      <c r="M17" s="54">
        <v>47.15</v>
      </c>
      <c r="N17" s="54">
        <f>M17+AR17</f>
        <v>491.02</v>
      </c>
      <c r="O17" s="54">
        <v>491.02</v>
      </c>
      <c r="P17" s="54"/>
      <c r="Q17" s="54"/>
      <c r="R17" s="54"/>
      <c r="S17" s="54"/>
      <c r="T17" s="54"/>
      <c r="U17" s="54"/>
      <c r="V17" s="54"/>
      <c r="W17" s="54"/>
      <c r="X17" s="54">
        <v>21.61</v>
      </c>
      <c r="Y17" s="54"/>
      <c r="Z17" s="54"/>
      <c r="AA17" s="54"/>
      <c r="AB17" s="54"/>
      <c r="AC17" s="54"/>
      <c r="AD17" s="54"/>
      <c r="AE17" s="54"/>
      <c r="AF17" s="54"/>
      <c r="AG17" s="54"/>
      <c r="AH17" s="54"/>
      <c r="AI17" s="54"/>
      <c r="AJ17" s="54"/>
      <c r="AK17" s="54"/>
      <c r="AL17" s="54"/>
      <c r="AM17" s="54"/>
      <c r="AN17" s="54"/>
      <c r="AO17" s="54"/>
      <c r="AP17" s="54"/>
      <c r="AQ17" s="54"/>
      <c r="AR17" s="4">
        <f>405.65-0.01+38.23</f>
        <v>443.87</v>
      </c>
    </row>
    <row r="18" spans="1:44" x14ac:dyDescent="0.45">
      <c r="A18" s="319"/>
      <c r="B18" s="215"/>
      <c r="C18" s="49"/>
      <c r="D18" s="49"/>
      <c r="E18" s="49"/>
      <c r="F18" s="49"/>
      <c r="G18" s="49"/>
      <c r="H18" s="49"/>
      <c r="I18" s="49"/>
      <c r="J18" s="49"/>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4"/>
    </row>
    <row r="19" spans="1:44" ht="28.5" x14ac:dyDescent="0.45">
      <c r="A19" s="319"/>
      <c r="B19" s="215" t="s">
        <v>49</v>
      </c>
      <c r="C19" s="49">
        <f>'DO NOT USE Carbon'!C14/0.02831685</f>
        <v>0</v>
      </c>
      <c r="D19" s="49">
        <f>'DO NOT USE Carbon'!D14/0.02831685</f>
        <v>0</v>
      </c>
      <c r="E19" s="49">
        <f>'DO NOT USE Carbon'!E14/0.02831685</f>
        <v>0</v>
      </c>
      <c r="F19" s="49">
        <f>'DO NOT USE Carbon'!F14/0.02831685</f>
        <v>0</v>
      </c>
      <c r="G19" s="49">
        <f>'DO NOT USE Carbon'!G14/0.02831685</f>
        <v>0</v>
      </c>
      <c r="H19" s="49">
        <f>'DO NOT USE Carbon'!H14/0.02831685</f>
        <v>0</v>
      </c>
      <c r="I19" s="54">
        <v>964.28</v>
      </c>
      <c r="J19" s="54">
        <v>964.28</v>
      </c>
      <c r="K19" s="54">
        <v>964.28</v>
      </c>
      <c r="L19" s="54">
        <v>964.28</v>
      </c>
      <c r="M19" s="54">
        <v>977.38</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4"/>
    </row>
    <row r="20" spans="1:44" x14ac:dyDescent="0.45">
      <c r="A20" s="319"/>
      <c r="B20" s="215" t="s">
        <v>50</v>
      </c>
      <c r="C20" s="49">
        <f>'DO NOT USE Carbon'!C15/0.02831685</f>
        <v>0</v>
      </c>
      <c r="D20" s="49">
        <f>'DO NOT USE Carbon'!D15/0.02831685</f>
        <v>0</v>
      </c>
      <c r="E20" s="49">
        <f>'DO NOT USE Carbon'!E15/0.02831685</f>
        <v>0</v>
      </c>
      <c r="F20" s="49">
        <f>'DO NOT USE Carbon'!F15/0.02831685</f>
        <v>0</v>
      </c>
      <c r="G20" s="49">
        <f>'DO NOT USE Carbon'!G15/0.02831685</f>
        <v>0</v>
      </c>
      <c r="H20" s="49">
        <f>'DO NOT USE Carbon'!H15/0.02831685</f>
        <v>0</v>
      </c>
      <c r="I20" s="49"/>
      <c r="J20" s="49"/>
      <c r="K20" s="54">
        <v>682.55</v>
      </c>
      <c r="L20" s="54">
        <v>682.55</v>
      </c>
      <c r="M20" s="54">
        <v>820.6</v>
      </c>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4"/>
    </row>
    <row r="21" spans="1:44" x14ac:dyDescent="0.45">
      <c r="A21" s="198"/>
      <c r="B21" s="215"/>
      <c r="C21" s="49"/>
      <c r="D21" s="49"/>
      <c r="E21" s="49"/>
      <c r="F21" s="49"/>
      <c r="G21" s="49"/>
      <c r="H21" s="49"/>
      <c r="I21" s="49"/>
      <c r="J21" s="49"/>
      <c r="K21" s="49"/>
      <c r="L21" s="49"/>
      <c r="M21" s="49"/>
      <c r="N21" s="49"/>
      <c r="O21" s="49"/>
      <c r="P21" s="49"/>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49"/>
    </row>
    <row r="22" spans="1:44" x14ac:dyDescent="0.45">
      <c r="A22" s="319" t="s">
        <v>51</v>
      </c>
      <c r="B22" s="215"/>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row>
    <row r="23" spans="1:44" x14ac:dyDescent="0.45">
      <c r="A23" s="319"/>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row>
    <row r="24" spans="1:44" x14ac:dyDescent="0.45">
      <c r="A24" s="319"/>
      <c r="B24" s="54"/>
      <c r="C24" s="54"/>
      <c r="D24" s="54"/>
      <c r="E24" s="54"/>
      <c r="F24" s="54"/>
      <c r="G24" s="54"/>
      <c r="H24" s="54"/>
      <c r="I24" s="54"/>
      <c r="J24" s="54"/>
      <c r="K24" s="54"/>
      <c r="L24" s="54"/>
      <c r="M24" s="54"/>
      <c r="N24" s="54"/>
      <c r="O24" s="54"/>
      <c r="P24" s="54"/>
      <c r="Q24" s="54"/>
      <c r="R24" s="57"/>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row>
    <row r="25" spans="1:44" x14ac:dyDescent="0.45">
      <c r="A25" s="319"/>
      <c r="B25" s="54"/>
      <c r="C25" s="54"/>
      <c r="D25" s="54"/>
      <c r="E25" s="54"/>
      <c r="F25" s="54"/>
      <c r="G25" s="54"/>
      <c r="H25" s="54"/>
      <c r="I25" s="54"/>
      <c r="J25" s="54"/>
      <c r="K25" s="54"/>
      <c r="L25" s="54"/>
      <c r="M25" s="54"/>
      <c r="N25" s="54"/>
      <c r="O25" s="54"/>
      <c r="P25" s="54"/>
      <c r="Q25" s="54"/>
      <c r="R25" s="57"/>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spans="1:44" x14ac:dyDescent="0.45">
      <c r="A26" s="319"/>
      <c r="B26" s="54"/>
      <c r="C26" s="54"/>
      <c r="D26" s="54"/>
      <c r="E26" s="54"/>
      <c r="F26" s="54"/>
      <c r="G26" s="54"/>
      <c r="H26" s="54"/>
      <c r="I26" s="54"/>
      <c r="J26" s="54"/>
      <c r="K26" s="54"/>
      <c r="L26" s="54"/>
      <c r="M26" s="54"/>
      <c r="N26" s="54"/>
      <c r="O26" s="54"/>
      <c r="P26" s="54"/>
      <c r="Q26" s="54"/>
      <c r="R26" s="57"/>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row>
    <row r="27" spans="1:44" x14ac:dyDescent="0.45">
      <c r="A27" s="319"/>
      <c r="B27" s="54"/>
      <c r="C27" s="54"/>
      <c r="D27" s="54"/>
      <c r="E27" s="54"/>
      <c r="F27" s="54"/>
      <c r="G27" s="54"/>
      <c r="H27" s="54"/>
      <c r="I27" s="54"/>
      <c r="J27" s="54"/>
      <c r="K27" s="54"/>
      <c r="L27" s="54"/>
      <c r="M27" s="54"/>
      <c r="N27" s="54"/>
      <c r="O27" s="54"/>
      <c r="P27" s="54"/>
      <c r="Q27" s="54"/>
      <c r="R27" s="57"/>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row>
    <row r="28" spans="1:44" x14ac:dyDescent="0.45">
      <c r="A28" s="319" t="s">
        <v>51</v>
      </c>
      <c r="B28" s="54"/>
      <c r="C28" s="54"/>
      <c r="D28" s="54"/>
      <c r="E28" s="54"/>
      <c r="F28" s="54"/>
      <c r="G28" s="54"/>
      <c r="H28" s="54"/>
      <c r="I28" s="54"/>
      <c r="J28" s="54"/>
      <c r="K28" s="54"/>
      <c r="L28" s="54"/>
      <c r="M28" s="54"/>
      <c r="N28" s="54"/>
      <c r="O28" s="54"/>
      <c r="P28" s="54"/>
      <c r="Q28" s="54"/>
      <c r="R28" s="57"/>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row>
    <row r="29" spans="1:44" x14ac:dyDescent="0.45">
      <c r="A29" s="319"/>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row>
    <row r="30" spans="1:44" x14ac:dyDescent="0.45">
      <c r="A30" s="319"/>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row>
    <row r="31" spans="1:44" x14ac:dyDescent="0.45">
      <c r="A31" s="319"/>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row>
    <row r="32" spans="1:44" x14ac:dyDescent="0.45">
      <c r="A32" s="319"/>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row>
    <row r="33" spans="1:1" x14ac:dyDescent="0.45">
      <c r="A33" s="319"/>
    </row>
    <row r="38" spans="1:1" x14ac:dyDescent="0.45">
      <c r="A38" s="54" t="s">
        <v>52</v>
      </c>
    </row>
  </sheetData>
  <mergeCells count="3">
    <mergeCell ref="A9:A20"/>
    <mergeCell ref="A22:A27"/>
    <mergeCell ref="A28:A33"/>
  </mergeCells>
  <conditionalFormatting sqref="R24:R28">
    <cfRule type="dataBar" priority="1">
      <dataBar>
        <cfvo type="min"/>
        <cfvo type="max"/>
        <color rgb="FF638EC6"/>
      </dataBar>
      <extLst>
        <ext xmlns:x14="http://schemas.microsoft.com/office/spreadsheetml/2009/9/main" uri="{B025F937-C7B1-47D3-B67F-A62EFF666E3E}">
          <x14:id>{FF2396EB-74DF-4F9E-874A-BF12694B00DE}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F2396EB-74DF-4F9E-874A-BF12694B00DE}">
            <x14:dataBar minLength="0" maxLength="100">
              <x14:cfvo type="min"/>
              <x14:cfvo type="max"/>
              <x14:negativeFillColor rgb="FFFF0000"/>
              <x14:axisColor rgb="FF000000"/>
            </x14:dataBar>
          </x14:cfRule>
          <xm:sqref>R24:R28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674-0CC4-410E-BBE0-8CCFE78155AE}">
  <sheetPr>
    <tabColor rgb="FFFF0000"/>
  </sheetPr>
  <dimension ref="A1:XFD32"/>
  <sheetViews>
    <sheetView workbookViewId="0"/>
    <sheetView workbookViewId="1"/>
    <sheetView workbookViewId="2"/>
  </sheetViews>
  <sheetFormatPr defaultRowHeight="14.25" x14ac:dyDescent="0.45"/>
  <cols>
    <col min="1" max="1" width="11.73046875" customWidth="1"/>
    <col min="2" max="2" width="15" customWidth="1"/>
    <col min="3" max="3" width="17" customWidth="1"/>
    <col min="4" max="8" width="18" customWidth="1"/>
    <col min="9" max="9" width="29.86328125" customWidth="1"/>
    <col min="10" max="10" width="16.1328125" style="15" customWidth="1"/>
    <col min="11" max="11" width="15" style="15" customWidth="1"/>
    <col min="12" max="12" width="17.3984375" style="15" customWidth="1"/>
    <col min="13" max="13" width="15.86328125" customWidth="1"/>
    <col min="21" max="21" width="19" customWidth="1"/>
  </cols>
  <sheetData>
    <row r="1" spans="1:23 16384:16384" x14ac:dyDescent="0.45">
      <c r="A1" s="54"/>
      <c r="B1" s="54" t="s">
        <v>0</v>
      </c>
      <c r="C1" s="54"/>
      <c r="D1" s="54"/>
      <c r="E1" s="54"/>
      <c r="F1" s="54"/>
      <c r="G1" s="54"/>
      <c r="H1" s="54"/>
      <c r="I1" s="54"/>
      <c r="J1" s="54"/>
      <c r="K1" s="54"/>
      <c r="L1" s="54"/>
      <c r="M1" s="54"/>
      <c r="N1" s="54"/>
      <c r="O1" s="54"/>
      <c r="P1" s="54"/>
      <c r="Q1" s="54"/>
      <c r="R1" s="54"/>
      <c r="S1" s="54"/>
      <c r="T1" s="54"/>
      <c r="U1" s="54"/>
      <c r="V1" s="54"/>
      <c r="W1" s="54"/>
      <c r="XFD1" s="54"/>
    </row>
    <row r="2" spans="1:23 16384:16384" x14ac:dyDescent="0.45">
      <c r="A2" s="54"/>
      <c r="B2" s="54" t="s">
        <v>1</v>
      </c>
      <c r="C2" s="54" t="s">
        <v>2</v>
      </c>
      <c r="D2" s="54" t="s">
        <v>2</v>
      </c>
      <c r="E2" s="54" t="s">
        <v>2</v>
      </c>
      <c r="F2" s="54" t="s">
        <v>3</v>
      </c>
      <c r="G2" s="54" t="s">
        <v>3</v>
      </c>
      <c r="H2" s="54"/>
      <c r="I2" s="54" t="s">
        <v>2</v>
      </c>
      <c r="J2" s="54" t="s">
        <v>4</v>
      </c>
      <c r="K2" s="54" t="s">
        <v>3</v>
      </c>
      <c r="L2" s="54" t="s">
        <v>3</v>
      </c>
      <c r="M2" s="54" t="s">
        <v>3</v>
      </c>
      <c r="N2" s="54" t="s">
        <v>3</v>
      </c>
      <c r="O2" s="54"/>
      <c r="P2" s="54"/>
      <c r="Q2" s="54"/>
      <c r="R2" s="54"/>
      <c r="S2" s="54"/>
      <c r="T2" s="54"/>
      <c r="U2" s="54"/>
      <c r="V2" s="54"/>
      <c r="W2" s="54"/>
      <c r="XFD2" s="54" t="s">
        <v>3</v>
      </c>
    </row>
    <row r="3" spans="1:23 16384:16384" x14ac:dyDescent="0.45">
      <c r="A3" s="54"/>
      <c r="B3" s="54" t="s">
        <v>11</v>
      </c>
      <c r="C3" s="54" t="s">
        <v>12</v>
      </c>
      <c r="D3" s="54"/>
      <c r="E3" s="54"/>
      <c r="F3" s="54"/>
      <c r="G3" s="54"/>
      <c r="H3" s="54"/>
      <c r="I3" s="54" t="s">
        <v>13</v>
      </c>
      <c r="J3" s="54" t="s">
        <v>13</v>
      </c>
      <c r="K3" s="54" t="s">
        <v>14</v>
      </c>
      <c r="L3" s="54" t="s">
        <v>12</v>
      </c>
      <c r="M3" s="54" t="s">
        <v>12</v>
      </c>
      <c r="N3" s="54" t="s">
        <v>12</v>
      </c>
      <c r="O3" s="54"/>
      <c r="P3" s="54" t="s">
        <v>12</v>
      </c>
      <c r="Q3" s="54"/>
      <c r="R3" s="54"/>
      <c r="S3" s="54"/>
      <c r="T3" s="54"/>
      <c r="U3" s="54"/>
      <c r="V3" s="54"/>
      <c r="W3" s="54"/>
      <c r="XFD3" s="54"/>
    </row>
    <row r="4" spans="1:23 16384:16384" x14ac:dyDescent="0.45">
      <c r="A4" s="54"/>
      <c r="B4" s="58" t="s">
        <v>16</v>
      </c>
      <c r="C4" s="58" t="s">
        <v>17</v>
      </c>
      <c r="D4" s="58" t="s">
        <v>18</v>
      </c>
      <c r="E4" s="58" t="s">
        <v>19</v>
      </c>
      <c r="F4" s="58" t="s">
        <v>20</v>
      </c>
      <c r="G4" s="58" t="s">
        <v>21</v>
      </c>
      <c r="H4" s="58" t="s">
        <v>22</v>
      </c>
      <c r="I4" s="58" t="s">
        <v>53</v>
      </c>
      <c r="J4" s="58" t="s">
        <v>53</v>
      </c>
      <c r="K4" s="58" t="s">
        <v>23</v>
      </c>
      <c r="L4" s="58" t="s">
        <v>23</v>
      </c>
      <c r="M4" s="58" t="s">
        <v>54</v>
      </c>
      <c r="N4" s="58" t="s">
        <v>55</v>
      </c>
      <c r="O4" s="54"/>
      <c r="P4" s="58" t="s">
        <v>30</v>
      </c>
      <c r="Q4" s="54"/>
      <c r="R4" s="58" t="s">
        <v>24</v>
      </c>
      <c r="S4" s="58" t="s">
        <v>25</v>
      </c>
      <c r="T4" s="58" t="s">
        <v>26</v>
      </c>
      <c r="U4" s="58" t="s">
        <v>27</v>
      </c>
      <c r="V4" s="58" t="s">
        <v>28</v>
      </c>
      <c r="W4" s="58" t="s">
        <v>29</v>
      </c>
      <c r="XFD4" s="54"/>
    </row>
    <row r="5" spans="1:23 16384:16384" ht="85.5" x14ac:dyDescent="0.45">
      <c r="A5" s="54"/>
      <c r="B5" s="58" t="s">
        <v>31</v>
      </c>
      <c r="C5" s="58" t="s">
        <v>32</v>
      </c>
      <c r="D5" s="58" t="s">
        <v>33</v>
      </c>
      <c r="E5" s="58" t="s">
        <v>33</v>
      </c>
      <c r="F5" s="58" t="s">
        <v>20</v>
      </c>
      <c r="G5" s="58"/>
      <c r="H5" s="58"/>
      <c r="I5" s="2" t="s">
        <v>56</v>
      </c>
      <c r="J5" s="2"/>
      <c r="K5" s="2"/>
      <c r="L5" s="2"/>
      <c r="M5" s="2"/>
      <c r="N5" s="54"/>
      <c r="O5" s="54"/>
      <c r="P5" s="54"/>
      <c r="Q5" s="54"/>
      <c r="R5" s="58" t="s">
        <v>34</v>
      </c>
      <c r="S5" s="58" t="s">
        <v>35</v>
      </c>
      <c r="T5" s="58"/>
      <c r="U5" s="58" t="s">
        <v>36</v>
      </c>
      <c r="V5" s="58" t="s">
        <v>37</v>
      </c>
      <c r="W5" s="54"/>
      <c r="XFD5" s="54"/>
    </row>
    <row r="6" spans="1:23 16384:16384" x14ac:dyDescent="0.45">
      <c r="A6" s="319" t="s">
        <v>0</v>
      </c>
      <c r="B6" s="215" t="s">
        <v>57</v>
      </c>
      <c r="C6" s="49">
        <v>16.095295602892801</v>
      </c>
      <c r="D6" s="49">
        <v>15.229083265643499</v>
      </c>
      <c r="E6" s="49">
        <v>15.373363715468599</v>
      </c>
      <c r="F6" s="49">
        <f>4.99+2.38+859.38+0</f>
        <v>866.75</v>
      </c>
      <c r="G6" s="49"/>
      <c r="H6" s="49"/>
      <c r="I6" s="49">
        <v>17.539602026687099</v>
      </c>
      <c r="J6" s="54">
        <v>7.4996919010661998</v>
      </c>
      <c r="K6" s="54"/>
      <c r="L6" s="54"/>
      <c r="M6" s="54">
        <f>L6+P6</f>
        <v>977.38</v>
      </c>
      <c r="N6" s="54">
        <f>977.38-820.6</f>
        <v>156.77999999999997</v>
      </c>
      <c r="O6" s="54"/>
      <c r="P6" s="54">
        <v>977.38</v>
      </c>
      <c r="Q6" s="54"/>
      <c r="R6" s="54"/>
      <c r="S6" s="54"/>
      <c r="T6" s="54"/>
      <c r="U6" s="54"/>
      <c r="V6" s="54"/>
      <c r="W6" s="54"/>
      <c r="XFD6" s="54"/>
    </row>
    <row r="7" spans="1:23 16384:16384" ht="28.5" x14ac:dyDescent="0.45">
      <c r="A7" s="319"/>
      <c r="B7" s="215" t="s">
        <v>41</v>
      </c>
      <c r="C7" s="49">
        <v>0</v>
      </c>
      <c r="D7" s="49">
        <v>0</v>
      </c>
      <c r="E7" s="49">
        <v>0</v>
      </c>
      <c r="F7" s="49">
        <v>0</v>
      </c>
      <c r="G7" s="49"/>
      <c r="H7" s="49"/>
      <c r="I7" s="49">
        <v>0</v>
      </c>
      <c r="J7" s="54">
        <v>0</v>
      </c>
      <c r="K7" s="54"/>
      <c r="L7" s="54"/>
      <c r="M7" s="54"/>
      <c r="N7" s="54"/>
      <c r="O7" s="54"/>
      <c r="P7" s="54"/>
      <c r="Q7" s="54"/>
      <c r="R7" s="54"/>
      <c r="S7" s="54"/>
      <c r="T7" s="54"/>
      <c r="U7" s="54"/>
      <c r="V7" s="54"/>
      <c r="W7" s="54"/>
      <c r="XFD7" s="54"/>
    </row>
    <row r="8" spans="1:23 16384:16384" x14ac:dyDescent="0.45">
      <c r="A8" s="319"/>
      <c r="B8" s="215" t="s">
        <v>58</v>
      </c>
      <c r="C8" s="49">
        <v>1.28484859726541</v>
      </c>
      <c r="D8" s="49">
        <v>13.3254478574381</v>
      </c>
      <c r="E8" s="49">
        <v>13.451693251035</v>
      </c>
      <c r="F8" s="49">
        <v>-56.52</v>
      </c>
      <c r="G8" s="49"/>
      <c r="H8" s="49"/>
      <c r="I8" s="49">
        <v>1.4001440928200199</v>
      </c>
      <c r="J8" s="54">
        <v>-2.5704589177041401</v>
      </c>
      <c r="K8" s="54"/>
      <c r="L8" s="54"/>
      <c r="M8" s="54"/>
      <c r="N8" s="54"/>
      <c r="O8" s="54"/>
      <c r="P8" s="54"/>
      <c r="Q8" s="54"/>
      <c r="R8" s="54"/>
      <c r="S8" s="54"/>
      <c r="T8" s="54"/>
      <c r="U8" s="54"/>
      <c r="V8" s="54"/>
      <c r="W8" s="54"/>
      <c r="XFD8" s="54"/>
    </row>
    <row r="9" spans="1:23 16384:16384" x14ac:dyDescent="0.45">
      <c r="A9" s="319"/>
      <c r="B9" s="215" t="s">
        <v>59</v>
      </c>
      <c r="C9" s="49">
        <v>-19.980366955315201</v>
      </c>
      <c r="D9" s="49">
        <v>-15.9089530542883</v>
      </c>
      <c r="E9" s="49">
        <v>-15.7851502435615</v>
      </c>
      <c r="F9" s="49">
        <f>F10+F11+F12</f>
        <v>-685.52999999999986</v>
      </c>
      <c r="G9" s="49">
        <v>121.89</v>
      </c>
      <c r="H9" s="1" t="s">
        <v>60</v>
      </c>
      <c r="I9" s="49">
        <v>-21.7732990676115</v>
      </c>
      <c r="J9" s="54">
        <v>5.6096485792249204</v>
      </c>
      <c r="K9" s="49">
        <v>197.87</v>
      </c>
      <c r="L9" s="49">
        <v>137.19</v>
      </c>
      <c r="M9" s="54">
        <f>L9+P9</f>
        <v>-1284.06</v>
      </c>
      <c r="N9" s="54">
        <v>-1284.06</v>
      </c>
      <c r="O9" s="54"/>
      <c r="P9" s="49">
        <f>-1664.37+243.12</f>
        <v>-1421.25</v>
      </c>
      <c r="Q9" s="54"/>
      <c r="R9" s="54"/>
      <c r="S9" s="54"/>
      <c r="T9" s="54"/>
      <c r="U9" s="54"/>
      <c r="V9" s="54"/>
      <c r="W9" s="54">
        <f>SUM(W10:W12)</f>
        <v>123.57</v>
      </c>
      <c r="XFD9" s="54"/>
    </row>
    <row r="10" spans="1:23 16384:16384" x14ac:dyDescent="0.45">
      <c r="A10" s="319"/>
      <c r="B10" s="215" t="s">
        <v>46</v>
      </c>
      <c r="C10" s="49" t="s">
        <v>61</v>
      </c>
      <c r="D10" s="49" t="s">
        <v>61</v>
      </c>
      <c r="E10" s="49" t="s">
        <v>61</v>
      </c>
      <c r="F10" s="49">
        <v>-716.18</v>
      </c>
      <c r="G10" s="49">
        <v>37.880000000000003</v>
      </c>
      <c r="H10" s="1" t="s">
        <v>62</v>
      </c>
      <c r="I10" s="54"/>
      <c r="J10" s="54"/>
      <c r="K10" s="54">
        <v>11.37</v>
      </c>
      <c r="L10" s="54">
        <v>66.260000000000005</v>
      </c>
      <c r="M10" s="54">
        <f>L10+P10</f>
        <v>66.260000000000005</v>
      </c>
      <c r="N10" s="54">
        <v>66.260000000000005</v>
      </c>
      <c r="O10" s="54"/>
      <c r="P10" s="54">
        <v>0</v>
      </c>
      <c r="Q10" s="54"/>
      <c r="R10" s="54"/>
      <c r="S10" s="54"/>
      <c r="T10" s="54"/>
      <c r="U10" s="54"/>
      <c r="V10" s="54"/>
      <c r="W10" s="54">
        <v>61.16</v>
      </c>
      <c r="XFD10" s="54"/>
    </row>
    <row r="11" spans="1:23 16384:16384" x14ac:dyDescent="0.45">
      <c r="A11" s="319"/>
      <c r="B11" s="215" t="s">
        <v>47</v>
      </c>
      <c r="C11" s="49" t="s">
        <v>61</v>
      </c>
      <c r="D11" s="49" t="s">
        <v>61</v>
      </c>
      <c r="E11" s="49" t="s">
        <v>61</v>
      </c>
      <c r="F11" s="49">
        <v>27.45</v>
      </c>
      <c r="G11" s="49">
        <v>51.97</v>
      </c>
      <c r="H11" s="1" t="s">
        <v>63</v>
      </c>
      <c r="I11" s="54"/>
      <c r="J11" s="54"/>
      <c r="K11" s="54"/>
      <c r="L11" s="54">
        <v>23.79</v>
      </c>
      <c r="M11" s="54">
        <f>L11+P11</f>
        <v>23.79</v>
      </c>
      <c r="N11" s="54">
        <v>23.79</v>
      </c>
      <c r="O11" s="54"/>
      <c r="P11" s="54">
        <v>0</v>
      </c>
      <c r="Q11" s="54"/>
      <c r="R11" s="54"/>
      <c r="S11" s="54"/>
      <c r="T11" s="54"/>
      <c r="U11" s="54"/>
      <c r="V11" s="54"/>
      <c r="W11" s="54">
        <v>40.799999999999997</v>
      </c>
      <c r="XFD11" s="54"/>
    </row>
    <row r="12" spans="1:23 16384:16384" x14ac:dyDescent="0.45">
      <c r="A12" s="319"/>
      <c r="B12" s="215" t="s">
        <v>48</v>
      </c>
      <c r="C12" s="49" t="s">
        <v>61</v>
      </c>
      <c r="D12" s="49" t="s">
        <v>61</v>
      </c>
      <c r="E12" s="49" t="s">
        <v>61</v>
      </c>
      <c r="F12" s="49">
        <v>3.2</v>
      </c>
      <c r="G12" s="49">
        <v>32.04</v>
      </c>
      <c r="H12" s="1" t="s">
        <v>64</v>
      </c>
      <c r="I12" s="54"/>
      <c r="J12" s="54"/>
      <c r="K12" s="54">
        <v>186.59</v>
      </c>
      <c r="L12" s="54">
        <v>47.15</v>
      </c>
      <c r="M12" s="54">
        <f>L12+P12</f>
        <v>491.02</v>
      </c>
      <c r="N12" s="54">
        <v>491.02</v>
      </c>
      <c r="O12" s="54"/>
      <c r="P12" s="54">
        <f>405.65-0.01+38.23</f>
        <v>443.87</v>
      </c>
      <c r="Q12" s="54"/>
      <c r="R12" s="54"/>
      <c r="S12" s="54"/>
      <c r="T12" s="54"/>
      <c r="U12" s="54"/>
      <c r="V12" s="54"/>
      <c r="W12" s="54">
        <v>21.61</v>
      </c>
      <c r="XFD12" s="54"/>
    </row>
    <row r="13" spans="1:23 16384:16384" s="15" customFormat="1" x14ac:dyDescent="0.45">
      <c r="A13" s="319"/>
      <c r="B13" s="215" t="s">
        <v>65</v>
      </c>
      <c r="C13" s="49">
        <v>0.354551611622068</v>
      </c>
      <c r="D13" s="49">
        <v>0.34745153470565698</v>
      </c>
      <c r="E13" s="49">
        <v>0.35074329316841701</v>
      </c>
      <c r="F13" s="49">
        <v>47.82</v>
      </c>
      <c r="G13" s="49"/>
      <c r="H13" s="49"/>
      <c r="I13" s="11">
        <v>0.38636719195476699</v>
      </c>
      <c r="J13" s="54">
        <v>0.384244295295675</v>
      </c>
      <c r="K13" s="54"/>
      <c r="L13" s="54"/>
      <c r="M13" s="54"/>
      <c r="N13" s="54"/>
      <c r="O13" s="54"/>
      <c r="P13" s="54"/>
      <c r="Q13" s="54"/>
      <c r="R13" s="54"/>
      <c r="S13" s="54"/>
      <c r="T13" s="54"/>
      <c r="U13" s="54"/>
      <c r="V13" s="54"/>
      <c r="W13" s="54"/>
      <c r="XFD13" s="54"/>
    </row>
    <row r="14" spans="1:23 16384:16384" s="15" customFormat="1" ht="28.5" x14ac:dyDescent="0.45">
      <c r="A14" s="319"/>
      <c r="B14" s="215" t="s">
        <v>49</v>
      </c>
      <c r="C14" s="49"/>
      <c r="D14" s="49"/>
      <c r="E14" s="49"/>
      <c r="F14" s="49"/>
      <c r="G14" s="49"/>
      <c r="H14" s="49"/>
      <c r="I14" s="11"/>
      <c r="J14" s="11">
        <f>SUM(J6:J13)</f>
        <v>10.923125857882654</v>
      </c>
      <c r="K14" s="54">
        <v>964.28</v>
      </c>
      <c r="L14" s="54"/>
      <c r="M14" s="54"/>
      <c r="N14" s="54"/>
      <c r="O14" s="54"/>
      <c r="P14" s="54"/>
      <c r="Q14" s="54"/>
      <c r="R14" s="54"/>
      <c r="S14" s="54"/>
      <c r="T14" s="54"/>
      <c r="U14" s="54"/>
      <c r="V14" s="54"/>
      <c r="W14" s="54"/>
      <c r="XFD14" s="54"/>
    </row>
    <row r="15" spans="1:23 16384:16384" x14ac:dyDescent="0.45">
      <c r="A15" s="319"/>
      <c r="B15" s="215" t="s">
        <v>50</v>
      </c>
      <c r="C15" s="54"/>
      <c r="D15" s="54"/>
      <c r="E15" s="54"/>
      <c r="F15" s="54"/>
      <c r="G15" s="54"/>
      <c r="H15" s="54"/>
      <c r="I15" s="54"/>
      <c r="J15" s="54"/>
      <c r="K15" s="54">
        <v>682.55</v>
      </c>
      <c r="L15" s="54"/>
      <c r="M15" s="54"/>
      <c r="N15" s="54"/>
      <c r="O15" s="54"/>
      <c r="P15" s="54"/>
      <c r="Q15" s="54"/>
      <c r="R15" s="54"/>
      <c r="S15" s="54"/>
      <c r="T15" s="54"/>
      <c r="U15" s="54"/>
      <c r="V15" s="54"/>
      <c r="W15" s="54"/>
      <c r="XFD15" s="54"/>
    </row>
    <row r="16" spans="1:23 16384:16384" x14ac:dyDescent="0.45">
      <c r="A16" s="319" t="s">
        <v>51</v>
      </c>
      <c r="B16" s="215"/>
      <c r="C16" s="54"/>
      <c r="D16" s="54"/>
      <c r="E16" s="54"/>
      <c r="F16" s="54"/>
      <c r="G16" s="54"/>
      <c r="H16" s="54"/>
      <c r="I16" s="54"/>
      <c r="J16" s="54"/>
      <c r="K16" s="54"/>
      <c r="L16" s="54"/>
      <c r="M16" s="54"/>
      <c r="N16" s="54"/>
      <c r="O16" s="54"/>
      <c r="P16" s="54"/>
      <c r="Q16" s="54"/>
      <c r="R16" s="54"/>
      <c r="S16" s="54"/>
      <c r="T16" s="54"/>
      <c r="U16" s="54"/>
      <c r="V16" s="54"/>
      <c r="W16" s="54"/>
      <c r="XFD16" s="54"/>
    </row>
    <row r="17" spans="1:18" x14ac:dyDescent="0.45">
      <c r="A17" s="319"/>
      <c r="B17" s="54"/>
      <c r="C17" s="54"/>
      <c r="D17" s="54"/>
      <c r="E17" s="54"/>
      <c r="F17" s="54"/>
      <c r="G17" s="54"/>
      <c r="H17" s="54"/>
      <c r="I17" s="54"/>
      <c r="J17" s="54"/>
      <c r="K17" s="54"/>
      <c r="L17" s="54"/>
      <c r="M17" s="54"/>
      <c r="N17" s="54"/>
      <c r="O17" s="54"/>
      <c r="P17" s="54"/>
      <c r="Q17" s="54"/>
      <c r="R17" s="54"/>
    </row>
    <row r="18" spans="1:18" x14ac:dyDescent="0.45">
      <c r="A18" s="319"/>
      <c r="B18" s="54"/>
      <c r="C18" s="54"/>
      <c r="D18" s="54"/>
      <c r="E18" s="54"/>
      <c r="F18" s="54"/>
      <c r="G18" s="54"/>
      <c r="H18" s="54"/>
      <c r="I18" s="54"/>
      <c r="J18" s="54"/>
      <c r="K18" s="54"/>
      <c r="L18" s="54"/>
      <c r="M18" s="54"/>
      <c r="N18" s="54"/>
      <c r="O18" s="54"/>
      <c r="P18" s="54"/>
      <c r="Q18" s="54"/>
      <c r="R18" s="57"/>
    </row>
    <row r="19" spans="1:18" x14ac:dyDescent="0.45">
      <c r="A19" s="319"/>
      <c r="B19" s="54"/>
      <c r="C19" s="54"/>
      <c r="D19" s="54"/>
      <c r="E19" s="54"/>
      <c r="F19" s="54"/>
      <c r="G19" s="54"/>
      <c r="H19" s="215"/>
      <c r="I19" s="54">
        <f>I9/I20</f>
        <v>-768.91670745903934</v>
      </c>
      <c r="J19" s="54">
        <f>J9/J20</f>
        <v>198.10284615785019</v>
      </c>
      <c r="K19" s="54">
        <f>I19-J19</f>
        <v>-967.01955361688954</v>
      </c>
      <c r="L19" s="54"/>
      <c r="M19" s="54"/>
      <c r="N19" s="54"/>
      <c r="O19" s="54"/>
      <c r="P19" s="54"/>
      <c r="Q19" s="54"/>
      <c r="R19" s="57"/>
    </row>
    <row r="20" spans="1:18" x14ac:dyDescent="0.45">
      <c r="A20" s="319"/>
      <c r="B20" s="54"/>
      <c r="C20" s="54"/>
      <c r="D20" s="54"/>
      <c r="E20" s="54"/>
      <c r="F20" s="54"/>
      <c r="G20" s="54"/>
      <c r="H20" s="215"/>
      <c r="I20" s="54">
        <v>2.8316850000000001E-2</v>
      </c>
      <c r="J20" s="54">
        <v>2.8316850000000001E-2</v>
      </c>
      <c r="K20" s="54"/>
      <c r="L20" s="54"/>
      <c r="M20" s="54"/>
      <c r="N20" s="54"/>
      <c r="O20" s="54"/>
      <c r="P20" s="54"/>
      <c r="Q20" s="54"/>
      <c r="R20" s="57"/>
    </row>
    <row r="21" spans="1:18" x14ac:dyDescent="0.45">
      <c r="A21" s="319"/>
      <c r="B21" s="54"/>
      <c r="C21" s="54"/>
      <c r="D21" s="54"/>
      <c r="E21" s="54"/>
      <c r="F21" s="54"/>
      <c r="G21" s="54"/>
      <c r="H21" s="215"/>
      <c r="I21" s="54"/>
      <c r="J21" s="54"/>
      <c r="K21" s="54"/>
      <c r="L21" s="54"/>
      <c r="M21" s="54"/>
      <c r="N21" s="54"/>
      <c r="O21" s="54"/>
      <c r="P21" s="54"/>
      <c r="Q21" s="54"/>
      <c r="R21" s="57"/>
    </row>
    <row r="22" spans="1:18" x14ac:dyDescent="0.45">
      <c r="A22" s="319" t="s">
        <v>51</v>
      </c>
      <c r="B22" s="54"/>
      <c r="C22" s="54"/>
      <c r="D22" s="54"/>
      <c r="E22" s="54"/>
      <c r="F22" s="54"/>
      <c r="G22" s="54"/>
      <c r="H22" s="215"/>
      <c r="I22" s="54"/>
      <c r="J22" s="54"/>
      <c r="K22" s="54"/>
      <c r="L22" s="54"/>
      <c r="M22" s="54"/>
      <c r="N22" s="54"/>
      <c r="O22" s="54"/>
      <c r="P22" s="54"/>
      <c r="Q22" s="54"/>
      <c r="R22" s="57"/>
    </row>
    <row r="23" spans="1:18" x14ac:dyDescent="0.45">
      <c r="A23" s="319"/>
      <c r="B23" s="54"/>
      <c r="C23" s="54"/>
      <c r="D23" s="54"/>
      <c r="E23" s="54"/>
      <c r="F23" s="54"/>
      <c r="G23" s="54"/>
      <c r="H23" s="215"/>
      <c r="I23" s="54"/>
      <c r="J23" s="54"/>
      <c r="K23" s="54"/>
      <c r="L23" s="54"/>
      <c r="M23" s="54"/>
      <c r="N23" s="54"/>
      <c r="O23" s="54"/>
      <c r="P23" s="54"/>
      <c r="Q23" s="54"/>
      <c r="R23" s="54"/>
    </row>
    <row r="24" spans="1:18" x14ac:dyDescent="0.45">
      <c r="A24" s="319"/>
      <c r="B24" s="54"/>
      <c r="C24" s="54"/>
      <c r="D24" s="54"/>
      <c r="E24" s="54"/>
      <c r="F24" s="54"/>
      <c r="G24" s="54"/>
      <c r="H24" s="215"/>
      <c r="I24" s="54"/>
      <c r="J24" s="54"/>
      <c r="K24" s="54"/>
      <c r="L24" s="54"/>
      <c r="M24" s="54"/>
      <c r="N24" s="54"/>
      <c r="O24" s="54"/>
      <c r="P24" s="54"/>
      <c r="Q24" s="54"/>
      <c r="R24" s="54"/>
    </row>
    <row r="25" spans="1:18" x14ac:dyDescent="0.45">
      <c r="A25" s="319"/>
      <c r="B25" s="54"/>
      <c r="C25" s="54"/>
      <c r="D25" s="54"/>
      <c r="E25" s="54"/>
      <c r="F25" s="54"/>
      <c r="G25" s="54"/>
      <c r="H25" s="215"/>
      <c r="I25" s="54"/>
      <c r="J25" s="54"/>
      <c r="K25" s="54"/>
      <c r="L25" s="54"/>
      <c r="M25" s="54"/>
      <c r="N25" s="54"/>
      <c r="O25" s="54"/>
      <c r="P25" s="54"/>
      <c r="Q25" s="54"/>
      <c r="R25" s="54"/>
    </row>
    <row r="26" spans="1:18" x14ac:dyDescent="0.45">
      <c r="A26" s="319"/>
      <c r="B26" s="54"/>
      <c r="C26" s="54"/>
      <c r="D26" s="54"/>
      <c r="E26" s="54"/>
      <c r="F26" s="54"/>
      <c r="G26" s="54"/>
      <c r="H26" s="215"/>
      <c r="I26" s="54"/>
      <c r="J26" s="54"/>
      <c r="K26" s="54"/>
      <c r="L26" s="54"/>
      <c r="M26" s="54"/>
      <c r="N26" s="54"/>
      <c r="O26" s="54"/>
      <c r="P26" s="54"/>
      <c r="Q26" s="54"/>
      <c r="R26" s="54"/>
    </row>
    <row r="27" spans="1:18" x14ac:dyDescent="0.45">
      <c r="A27" s="319"/>
      <c r="B27" s="54"/>
      <c r="C27" s="54"/>
      <c r="D27" s="54"/>
      <c r="E27" s="54"/>
      <c r="F27" s="54"/>
      <c r="G27" s="54"/>
      <c r="H27" s="215"/>
      <c r="I27" s="54"/>
      <c r="J27" s="54"/>
      <c r="K27" s="54"/>
      <c r="L27" s="54"/>
      <c r="M27" s="54"/>
      <c r="N27" s="54"/>
      <c r="O27" s="54"/>
      <c r="P27" s="54"/>
      <c r="Q27" s="54"/>
      <c r="R27" s="54"/>
    </row>
    <row r="28" spans="1:18" x14ac:dyDescent="0.45">
      <c r="A28" s="54"/>
      <c r="B28" s="54"/>
      <c r="C28" s="54"/>
      <c r="D28" s="54"/>
      <c r="E28" s="54"/>
      <c r="F28" s="54"/>
      <c r="G28" s="54"/>
      <c r="H28" s="215"/>
      <c r="I28" s="54"/>
      <c r="J28" s="54"/>
      <c r="K28" s="54"/>
      <c r="L28" s="54"/>
      <c r="M28" s="54"/>
      <c r="N28" s="54"/>
      <c r="O28" s="54"/>
      <c r="P28" s="54"/>
      <c r="Q28" s="54"/>
      <c r="R28" s="54"/>
    </row>
    <row r="29" spans="1:18" x14ac:dyDescent="0.45">
      <c r="A29" s="54"/>
      <c r="B29" s="54"/>
      <c r="C29" s="54"/>
      <c r="D29" s="54"/>
      <c r="E29" s="54"/>
      <c r="F29" s="54"/>
      <c r="G29" s="54"/>
      <c r="H29" s="54"/>
      <c r="I29" s="54"/>
      <c r="J29" s="54"/>
      <c r="K29" s="54"/>
      <c r="L29" s="54"/>
      <c r="M29" s="54"/>
      <c r="N29" s="54"/>
      <c r="O29" s="54"/>
      <c r="P29" s="54"/>
      <c r="Q29" s="54"/>
      <c r="R29" s="54"/>
    </row>
    <row r="30" spans="1:18" x14ac:dyDescent="0.45">
      <c r="A30" s="54"/>
      <c r="B30" s="54"/>
      <c r="C30" s="54"/>
      <c r="D30" s="54"/>
      <c r="E30" s="54"/>
      <c r="F30" s="54"/>
      <c r="G30" s="54"/>
      <c r="H30" s="54"/>
      <c r="I30" s="54"/>
      <c r="J30" s="54"/>
      <c r="K30" s="54"/>
      <c r="L30" s="54"/>
      <c r="M30" s="54"/>
      <c r="N30" s="54"/>
      <c r="O30" s="54"/>
      <c r="P30" s="54"/>
      <c r="Q30" s="54"/>
      <c r="R30" s="54"/>
    </row>
    <row r="32" spans="1:18" x14ac:dyDescent="0.45">
      <c r="A32" s="54" t="s">
        <v>52</v>
      </c>
      <c r="B32" s="54"/>
      <c r="C32" s="54"/>
      <c r="D32" s="54"/>
      <c r="E32" s="54"/>
      <c r="F32" s="54"/>
      <c r="G32" s="54"/>
      <c r="H32" s="54"/>
      <c r="I32" s="54"/>
      <c r="J32" s="54"/>
      <c r="K32" s="54"/>
      <c r="L32" s="54"/>
      <c r="M32" s="54"/>
      <c r="N32" s="54"/>
      <c r="O32" s="54"/>
      <c r="P32" s="54"/>
      <c r="Q32" s="54"/>
      <c r="R32" s="54"/>
    </row>
  </sheetData>
  <mergeCells count="3">
    <mergeCell ref="A6:A15"/>
    <mergeCell ref="A16:A21"/>
    <mergeCell ref="A22:A27"/>
  </mergeCells>
  <conditionalFormatting sqref="R18:R22">
    <cfRule type="dataBar" priority="1">
      <dataBar>
        <cfvo type="min"/>
        <cfvo type="max"/>
        <color rgb="FF638EC6"/>
      </dataBar>
      <extLst>
        <ext xmlns:x14="http://schemas.microsoft.com/office/spreadsheetml/2009/9/main" uri="{B025F937-C7B1-47D3-B67F-A62EFF666E3E}">
          <x14:id>{5F954E7B-6B96-41CC-91EA-79E05B27D482}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F954E7B-6B96-41CC-91EA-79E05B27D482}">
            <x14:dataBar minLength="0" maxLength="100">
              <x14:cfvo type="min"/>
              <x14:cfvo type="max"/>
              <x14:negativeFillColor rgb="FFFF0000"/>
              <x14:axisColor rgb="FF000000"/>
            </x14:dataBar>
          </x14:cfRule>
          <xm:sqref>R18:R22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5397-8FC5-4DAC-A31A-944C27C64BE7}">
  <sheetPr>
    <tabColor theme="9"/>
  </sheetPr>
  <dimension ref="A1:AF26"/>
  <sheetViews>
    <sheetView workbookViewId="0"/>
    <sheetView workbookViewId="1"/>
    <sheetView workbookViewId="2"/>
  </sheetViews>
  <sheetFormatPr defaultRowHeight="14.25" x14ac:dyDescent="0.45"/>
  <cols>
    <col min="1" max="1" width="37.1328125" customWidth="1"/>
    <col min="2" max="2" width="20.3984375" customWidth="1"/>
    <col min="3" max="3" width="20.265625" style="21" customWidth="1"/>
    <col min="4" max="6" width="13.265625" customWidth="1"/>
    <col min="7" max="7" width="20" customWidth="1"/>
    <col min="8" max="8" width="13.265625" customWidth="1"/>
    <col min="9" max="9" width="13.265625" style="15" customWidth="1"/>
    <col min="10" max="10" width="23.73046875" customWidth="1"/>
    <col min="11" max="11" width="24.86328125" customWidth="1"/>
    <col min="12" max="12" width="21.86328125" customWidth="1"/>
    <col min="13" max="13" width="13.265625" customWidth="1"/>
    <col min="14" max="15" width="13.265625" style="21" customWidth="1"/>
    <col min="16" max="17" width="21.265625" style="21" customWidth="1"/>
    <col min="18" max="18" width="20" style="21" customWidth="1"/>
    <col min="19" max="23" width="21.265625" style="21" customWidth="1"/>
    <col min="24" max="27" width="13.265625" style="21" customWidth="1"/>
    <col min="28" max="32" width="13.265625" customWidth="1"/>
  </cols>
  <sheetData>
    <row r="1" spans="1:32" s="26" customFormat="1" x14ac:dyDescent="0.45">
      <c r="A1" s="24" t="s">
        <v>16</v>
      </c>
      <c r="B1" s="24" t="s">
        <v>17</v>
      </c>
      <c r="C1" s="24" t="s">
        <v>17</v>
      </c>
      <c r="D1" s="24" t="s">
        <v>17</v>
      </c>
      <c r="E1" s="24" t="s">
        <v>17</v>
      </c>
      <c r="F1" s="24" t="s">
        <v>17</v>
      </c>
      <c r="G1" s="24" t="s">
        <v>17</v>
      </c>
      <c r="H1" s="24" t="s">
        <v>17</v>
      </c>
      <c r="I1" s="24" t="s">
        <v>17</v>
      </c>
      <c r="J1" s="24" t="s">
        <v>53</v>
      </c>
      <c r="K1" s="24" t="s">
        <v>53</v>
      </c>
      <c r="L1" s="24" t="s">
        <v>53</v>
      </c>
      <c r="M1" s="24" t="s">
        <v>53</v>
      </c>
      <c r="N1" s="24" t="s">
        <v>53</v>
      </c>
      <c r="O1" s="24" t="s">
        <v>53</v>
      </c>
      <c r="P1" s="24" t="s">
        <v>53</v>
      </c>
      <c r="Q1" s="24"/>
      <c r="R1" s="24" t="s">
        <v>53</v>
      </c>
      <c r="S1" s="24" t="s">
        <v>53</v>
      </c>
      <c r="T1" s="24" t="s">
        <v>53</v>
      </c>
      <c r="U1" s="24" t="s">
        <v>53</v>
      </c>
      <c r="V1" s="24" t="s">
        <v>53</v>
      </c>
      <c r="W1" s="24" t="s">
        <v>53</v>
      </c>
      <c r="X1" s="24" t="s">
        <v>66</v>
      </c>
      <c r="Y1" s="24" t="s">
        <v>67</v>
      </c>
      <c r="Z1" s="24" t="s">
        <v>53</v>
      </c>
      <c r="AA1" s="24" t="s">
        <v>68</v>
      </c>
      <c r="AB1" s="24" t="s">
        <v>24</v>
      </c>
      <c r="AC1" s="24" t="s">
        <v>25</v>
      </c>
      <c r="AD1" s="24" t="s">
        <v>26</v>
      </c>
      <c r="AE1" s="24" t="s">
        <v>27</v>
      </c>
      <c r="AF1" s="25" t="s">
        <v>28</v>
      </c>
    </row>
    <row r="2" spans="1:32" s="26" customFormat="1" x14ac:dyDescent="0.45">
      <c r="A2" s="27" t="s">
        <v>69</v>
      </c>
      <c r="B2" s="27" t="s">
        <v>70</v>
      </c>
      <c r="C2" s="27"/>
      <c r="D2" s="27" t="s">
        <v>71</v>
      </c>
      <c r="E2" s="27" t="s">
        <v>71</v>
      </c>
      <c r="F2" s="27" t="s">
        <v>71</v>
      </c>
      <c r="G2" s="27" t="s">
        <v>71</v>
      </c>
      <c r="H2" s="27" t="s">
        <v>71</v>
      </c>
      <c r="I2" s="27"/>
      <c r="J2" s="27" t="s">
        <v>72</v>
      </c>
      <c r="K2" s="27" t="s">
        <v>72</v>
      </c>
      <c r="L2" s="27" t="s">
        <v>72</v>
      </c>
      <c r="M2" s="27" t="s">
        <v>72</v>
      </c>
      <c r="N2" s="27" t="s">
        <v>72</v>
      </c>
      <c r="O2" s="27" t="s">
        <v>72</v>
      </c>
      <c r="P2" s="27" t="s">
        <v>72</v>
      </c>
      <c r="Q2" s="27" t="s">
        <v>73</v>
      </c>
      <c r="R2" s="27" t="s">
        <v>74</v>
      </c>
      <c r="S2" s="27" t="s">
        <v>74</v>
      </c>
      <c r="T2" s="27" t="s">
        <v>74</v>
      </c>
      <c r="U2" s="27" t="s">
        <v>75</v>
      </c>
      <c r="V2" s="27" t="s">
        <v>75</v>
      </c>
      <c r="W2" s="27" t="s">
        <v>75</v>
      </c>
      <c r="X2" s="27"/>
      <c r="Y2" s="27"/>
      <c r="Z2" s="27"/>
      <c r="AA2" s="27"/>
      <c r="AB2" s="27"/>
      <c r="AC2" s="27"/>
      <c r="AD2" s="27"/>
      <c r="AE2" s="27"/>
      <c r="AF2" s="28"/>
    </row>
    <row r="3" spans="1:32" s="26" customFormat="1" x14ac:dyDescent="0.45">
      <c r="A3" s="27" t="s">
        <v>76</v>
      </c>
      <c r="B3" s="27"/>
      <c r="C3" s="27"/>
      <c r="D3" s="27"/>
      <c r="E3" s="27"/>
      <c r="F3" s="27"/>
      <c r="G3" s="27"/>
      <c r="H3" s="27"/>
      <c r="I3" s="27"/>
      <c r="J3" s="29" t="s">
        <v>77</v>
      </c>
      <c r="K3" s="29" t="s">
        <v>77</v>
      </c>
      <c r="L3" s="29" t="s">
        <v>77</v>
      </c>
      <c r="M3" s="29" t="s">
        <v>13</v>
      </c>
      <c r="N3" s="29" t="s">
        <v>78</v>
      </c>
      <c r="O3" s="29" t="s">
        <v>78</v>
      </c>
      <c r="P3" s="29" t="s">
        <v>78</v>
      </c>
      <c r="Q3" s="27" t="s">
        <v>79</v>
      </c>
      <c r="R3" s="27" t="s">
        <v>80</v>
      </c>
      <c r="S3" s="27" t="s">
        <v>80</v>
      </c>
      <c r="T3" s="27" t="s">
        <v>80</v>
      </c>
      <c r="U3" s="27" t="s">
        <v>81</v>
      </c>
      <c r="V3" s="27" t="s">
        <v>81</v>
      </c>
      <c r="W3" s="27" t="s">
        <v>81</v>
      </c>
      <c r="X3" s="27"/>
      <c r="Y3" s="27"/>
      <c r="Z3" s="27"/>
      <c r="AA3" s="27"/>
      <c r="AB3" s="27"/>
      <c r="AC3" s="27"/>
      <c r="AD3" s="27"/>
      <c r="AE3" s="27"/>
      <c r="AF3" s="28"/>
    </row>
    <row r="4" spans="1:32" s="26" customFormat="1" x14ac:dyDescent="0.45">
      <c r="A4" s="27" t="s">
        <v>82</v>
      </c>
      <c r="B4" s="27"/>
      <c r="C4" s="27"/>
      <c r="D4" s="27"/>
      <c r="E4" s="27"/>
      <c r="F4" s="27"/>
      <c r="G4" s="27"/>
      <c r="H4" s="27"/>
      <c r="I4" s="27"/>
      <c r="J4" s="29" t="s">
        <v>83</v>
      </c>
      <c r="K4" s="29" t="s">
        <v>84</v>
      </c>
      <c r="L4" s="29" t="s">
        <v>85</v>
      </c>
      <c r="M4" s="29" t="s">
        <v>86</v>
      </c>
      <c r="N4" s="29" t="s">
        <v>87</v>
      </c>
      <c r="O4" s="29" t="s">
        <v>85</v>
      </c>
      <c r="P4" s="29" t="s">
        <v>86</v>
      </c>
      <c r="Q4" s="29" t="s">
        <v>85</v>
      </c>
      <c r="R4" s="27" t="s">
        <v>88</v>
      </c>
      <c r="S4" s="29" t="s">
        <v>85</v>
      </c>
      <c r="T4" s="29" t="s">
        <v>86</v>
      </c>
      <c r="U4" s="27" t="s">
        <v>88</v>
      </c>
      <c r="V4" s="29" t="s">
        <v>85</v>
      </c>
      <c r="W4" s="29" t="s">
        <v>86</v>
      </c>
      <c r="X4" s="27"/>
      <c r="Y4" s="27"/>
      <c r="Z4" s="27"/>
      <c r="AA4" s="27"/>
      <c r="AB4" s="27"/>
      <c r="AC4" s="27"/>
      <c r="AD4" s="27"/>
      <c r="AE4" s="27"/>
      <c r="AF4" s="28"/>
    </row>
    <row r="5" spans="1:32" s="26" customFormat="1" x14ac:dyDescent="0.45">
      <c r="A5" s="27" t="s">
        <v>89</v>
      </c>
      <c r="B5" s="27"/>
      <c r="C5" s="27"/>
      <c r="D5" s="27"/>
      <c r="E5" s="27"/>
      <c r="F5" s="27"/>
      <c r="G5" s="27"/>
      <c r="H5" s="27"/>
      <c r="I5" s="27"/>
      <c r="J5" s="29" t="s">
        <v>90</v>
      </c>
      <c r="K5" s="29" t="s">
        <v>90</v>
      </c>
      <c r="L5" s="29"/>
      <c r="M5" s="29"/>
      <c r="N5" s="29"/>
      <c r="O5" s="29"/>
      <c r="P5" s="29"/>
      <c r="Q5" s="29"/>
      <c r="R5" s="27"/>
      <c r="S5" s="27"/>
      <c r="T5" s="27"/>
      <c r="U5" s="27"/>
      <c r="V5" s="27"/>
      <c r="W5" s="27"/>
      <c r="X5" s="27"/>
      <c r="Y5" s="27"/>
      <c r="Z5" s="27"/>
      <c r="AA5" s="27"/>
      <c r="AB5" s="27"/>
      <c r="AC5" s="27"/>
      <c r="AD5" s="27"/>
      <c r="AE5" s="27"/>
      <c r="AF5" s="28"/>
    </row>
    <row r="6" spans="1:32" s="26" customFormat="1" x14ac:dyDescent="0.45">
      <c r="A6" s="27" t="s">
        <v>91</v>
      </c>
      <c r="B6" s="27"/>
      <c r="C6" s="27"/>
      <c r="D6" s="27"/>
      <c r="E6" s="27"/>
      <c r="F6" s="27"/>
      <c r="G6" s="27"/>
      <c r="H6" s="27"/>
      <c r="I6" s="27"/>
      <c r="J6" s="29" t="s">
        <v>83</v>
      </c>
      <c r="K6" s="29" t="s">
        <v>84</v>
      </c>
      <c r="L6" s="29"/>
      <c r="M6" s="29"/>
      <c r="N6" s="29"/>
      <c r="O6" s="29"/>
      <c r="P6" s="29"/>
      <c r="Q6" s="29"/>
      <c r="R6" s="27"/>
      <c r="S6" s="27"/>
      <c r="T6" s="27"/>
      <c r="U6" s="27"/>
      <c r="V6" s="27"/>
      <c r="W6" s="27"/>
      <c r="X6" s="27"/>
      <c r="Y6" s="27"/>
      <c r="Z6" s="27"/>
      <c r="AA6" s="27"/>
      <c r="AB6" s="27"/>
      <c r="AC6" s="27"/>
      <c r="AD6" s="27"/>
      <c r="AE6" s="27"/>
      <c r="AF6" s="28"/>
    </row>
    <row r="7" spans="1:32" x14ac:dyDescent="0.45">
      <c r="A7" s="19" t="s">
        <v>1</v>
      </c>
      <c r="B7" s="19" t="s">
        <v>2</v>
      </c>
      <c r="C7" s="19"/>
      <c r="D7" s="19" t="s">
        <v>2</v>
      </c>
      <c r="E7" s="19" t="s">
        <v>2</v>
      </c>
      <c r="F7" s="19" t="s">
        <v>3</v>
      </c>
      <c r="G7" s="19" t="s">
        <v>3</v>
      </c>
      <c r="H7" s="19" t="s">
        <v>3</v>
      </c>
      <c r="I7" s="19" t="s">
        <v>3</v>
      </c>
      <c r="J7" s="19" t="s">
        <v>2</v>
      </c>
      <c r="K7" s="19" t="s">
        <v>4</v>
      </c>
      <c r="L7" s="19" t="s">
        <v>3</v>
      </c>
      <c r="M7" s="19" t="s">
        <v>3</v>
      </c>
      <c r="N7" s="19" t="s">
        <v>3</v>
      </c>
      <c r="O7" s="19" t="s">
        <v>3</v>
      </c>
      <c r="P7" s="19" t="s">
        <v>3</v>
      </c>
      <c r="Q7" s="19"/>
      <c r="R7" s="19"/>
      <c r="S7" s="19"/>
      <c r="T7" s="19"/>
      <c r="U7" s="19"/>
      <c r="V7" s="19"/>
      <c r="W7" s="19"/>
      <c r="X7" s="19" t="s">
        <v>3</v>
      </c>
      <c r="Y7" s="19" t="s">
        <v>3</v>
      </c>
      <c r="Z7" s="19" t="s">
        <v>3</v>
      </c>
      <c r="AA7" s="19" t="s">
        <v>3</v>
      </c>
      <c r="AB7" s="19" t="s">
        <v>2</v>
      </c>
      <c r="AC7" s="19" t="s">
        <v>2</v>
      </c>
      <c r="AD7" s="19" t="s">
        <v>2</v>
      </c>
      <c r="AE7" s="19" t="s">
        <v>2</v>
      </c>
      <c r="AF7" s="18" t="s">
        <v>2</v>
      </c>
    </row>
    <row r="8" spans="1:32" ht="14.65" thickBot="1" x14ac:dyDescent="0.5">
      <c r="A8" s="19" t="s">
        <v>11</v>
      </c>
      <c r="B8" s="19" t="s">
        <v>92</v>
      </c>
      <c r="C8" s="19"/>
      <c r="D8" s="19" t="s">
        <v>18</v>
      </c>
      <c r="E8" s="19" t="s">
        <v>19</v>
      </c>
      <c r="F8" s="19" t="s">
        <v>20</v>
      </c>
      <c r="G8" s="19" t="s">
        <v>21</v>
      </c>
      <c r="H8" s="19" t="s">
        <v>22</v>
      </c>
      <c r="I8" s="19" t="s">
        <v>29</v>
      </c>
      <c r="J8" s="19" t="s">
        <v>13</v>
      </c>
      <c r="K8" s="19" t="s">
        <v>13</v>
      </c>
      <c r="L8" s="19" t="s">
        <v>14</v>
      </c>
      <c r="M8" s="19" t="s">
        <v>15</v>
      </c>
      <c r="N8" s="19" t="s">
        <v>12</v>
      </c>
      <c r="O8" s="19" t="s">
        <v>12</v>
      </c>
      <c r="P8" s="19" t="s">
        <v>12</v>
      </c>
      <c r="Q8" s="19"/>
      <c r="R8" s="19"/>
      <c r="S8" s="19"/>
      <c r="T8" s="19"/>
      <c r="U8" s="19"/>
      <c r="V8" s="19"/>
      <c r="W8" s="19"/>
      <c r="X8" s="19" t="s">
        <v>93</v>
      </c>
      <c r="Y8" s="19" t="s">
        <v>93</v>
      </c>
      <c r="Z8" s="19" t="s">
        <v>94</v>
      </c>
      <c r="AA8" s="19" t="s">
        <v>95</v>
      </c>
      <c r="AB8" s="19"/>
      <c r="AC8" s="19"/>
      <c r="AD8" s="19"/>
      <c r="AE8" s="19"/>
      <c r="AF8" s="18"/>
    </row>
    <row r="9" spans="1:32" x14ac:dyDescent="0.45">
      <c r="A9" s="13" t="s">
        <v>96</v>
      </c>
      <c r="B9" s="13"/>
      <c r="C9" s="13"/>
      <c r="D9" s="13"/>
      <c r="E9" s="13"/>
      <c r="F9" s="13"/>
      <c r="G9" s="13"/>
      <c r="H9" s="13"/>
      <c r="I9" s="13"/>
      <c r="J9" s="13">
        <v>1.93</v>
      </c>
      <c r="K9" s="13">
        <v>1.93</v>
      </c>
      <c r="L9" s="13">
        <v>1.93</v>
      </c>
      <c r="M9" s="13">
        <v>1.93</v>
      </c>
      <c r="N9" s="13">
        <v>1.93</v>
      </c>
      <c r="O9" s="13">
        <v>1.93</v>
      </c>
      <c r="P9" s="13">
        <v>1.93</v>
      </c>
      <c r="Q9" s="13"/>
      <c r="R9" s="13">
        <v>1.93</v>
      </c>
      <c r="S9" s="13">
        <v>1.93</v>
      </c>
      <c r="T9" s="13">
        <v>1.93</v>
      </c>
      <c r="U9" s="13">
        <v>2.02</v>
      </c>
      <c r="V9" s="13">
        <v>2.02</v>
      </c>
      <c r="W9" s="13">
        <v>2.02</v>
      </c>
      <c r="X9" s="13"/>
      <c r="Y9" s="13"/>
      <c r="Z9" s="13"/>
      <c r="AA9" s="13"/>
      <c r="AB9" s="13"/>
      <c r="AC9" s="13"/>
      <c r="AD9" s="13"/>
      <c r="AE9" s="13"/>
      <c r="AF9" s="14"/>
    </row>
    <row r="10" spans="1:32" x14ac:dyDescent="0.45">
      <c r="A10" s="8" t="s">
        <v>97</v>
      </c>
      <c r="B10" s="8"/>
      <c r="C10" s="54"/>
      <c r="D10" s="8"/>
      <c r="E10" s="8"/>
      <c r="F10" s="8"/>
      <c r="G10" s="8"/>
      <c r="H10" s="8"/>
      <c r="I10" s="8"/>
      <c r="J10" s="8">
        <v>355.4051255</v>
      </c>
      <c r="K10" s="8">
        <v>964</v>
      </c>
      <c r="L10" s="8">
        <v>964.28</v>
      </c>
      <c r="M10" s="8">
        <v>281.73</v>
      </c>
      <c r="N10" s="8"/>
      <c r="O10" s="8">
        <v>977.38</v>
      </c>
      <c r="P10" s="8">
        <v>156.77999999999997</v>
      </c>
      <c r="Q10" s="8"/>
      <c r="R10" s="8"/>
      <c r="S10" s="8">
        <v>933.06</v>
      </c>
      <c r="T10" s="8">
        <f>(T14/P14)*P10</f>
        <v>149.67069798849982</v>
      </c>
      <c r="U10" s="8"/>
      <c r="V10" s="8">
        <v>1006.73</v>
      </c>
      <c r="W10" s="8">
        <f>(W14/P14)*P10</f>
        <v>161.48798768135217</v>
      </c>
      <c r="X10" s="8"/>
      <c r="Y10" s="8"/>
      <c r="Z10" s="8"/>
      <c r="AA10" s="8"/>
      <c r="AB10" s="8"/>
      <c r="AC10" s="8"/>
      <c r="AD10" s="8"/>
      <c r="AE10" s="8"/>
      <c r="AF10" s="20"/>
    </row>
    <row r="11" spans="1:32" x14ac:dyDescent="0.45">
      <c r="A11" s="12" t="s">
        <v>98</v>
      </c>
      <c r="B11" s="8">
        <v>568.39993159171308</v>
      </c>
      <c r="C11" s="8"/>
      <c r="D11" s="8">
        <v>537.80993527329133</v>
      </c>
      <c r="E11" s="8">
        <v>542.90515066006981</v>
      </c>
      <c r="F11" s="8">
        <v>30608.98369698607</v>
      </c>
      <c r="G11" s="8">
        <v>0</v>
      </c>
      <c r="H11" s="8">
        <v>0</v>
      </c>
      <c r="I11" s="8"/>
      <c r="J11" s="8">
        <v>264</v>
      </c>
      <c r="K11" s="8">
        <v>264</v>
      </c>
      <c r="L11" s="8"/>
      <c r="M11" s="8"/>
      <c r="N11" s="8"/>
      <c r="O11" s="8"/>
      <c r="P11" s="8"/>
      <c r="Q11" s="8"/>
      <c r="R11" s="8"/>
      <c r="S11" s="8"/>
      <c r="T11" s="8"/>
      <c r="U11" s="8"/>
      <c r="V11" s="8"/>
      <c r="W11" s="8"/>
      <c r="X11" s="8">
        <v>61.8</v>
      </c>
      <c r="Y11" s="8">
        <v>58.2</v>
      </c>
      <c r="Z11" s="8">
        <v>0</v>
      </c>
      <c r="AA11" s="8"/>
      <c r="AB11" s="8">
        <v>17.621341436059499</v>
      </c>
      <c r="AC11" s="8">
        <v>17.7759146065513</v>
      </c>
      <c r="AD11" s="8">
        <v>20.515555355903999</v>
      </c>
      <c r="AE11" s="22">
        <v>16.3277769134131</v>
      </c>
      <c r="AF11" s="22">
        <v>13.382295342813901</v>
      </c>
    </row>
    <row r="12" spans="1:32" x14ac:dyDescent="0.45">
      <c r="A12" s="12" t="s">
        <v>99</v>
      </c>
      <c r="B12" s="8">
        <v>0</v>
      </c>
      <c r="C12" s="8"/>
      <c r="D12" s="8">
        <v>0</v>
      </c>
      <c r="E12" s="8">
        <v>0</v>
      </c>
      <c r="F12" s="8">
        <v>0</v>
      </c>
      <c r="G12" s="8">
        <v>0</v>
      </c>
      <c r="H12" s="8">
        <v>0</v>
      </c>
      <c r="I12" s="8"/>
      <c r="J12" s="8">
        <v>0</v>
      </c>
      <c r="K12" s="8">
        <v>0</v>
      </c>
      <c r="L12" s="8"/>
      <c r="M12" s="8"/>
      <c r="N12" s="8"/>
      <c r="O12" s="8"/>
      <c r="P12" s="8"/>
      <c r="Q12" s="8"/>
      <c r="R12" s="8"/>
      <c r="S12" s="8"/>
      <c r="T12" s="8"/>
      <c r="U12" s="8"/>
      <c r="V12" s="8"/>
      <c r="W12" s="8"/>
      <c r="X12" s="8"/>
      <c r="Y12" s="8"/>
      <c r="Z12" s="8">
        <v>0</v>
      </c>
      <c r="AA12" s="8"/>
      <c r="AB12" s="8">
        <v>0</v>
      </c>
      <c r="AC12" s="8">
        <v>0</v>
      </c>
      <c r="AD12" s="8">
        <v>0</v>
      </c>
      <c r="AE12" s="8">
        <v>0</v>
      </c>
      <c r="AF12" s="20">
        <v>0</v>
      </c>
    </row>
    <row r="13" spans="1:32" x14ac:dyDescent="0.45">
      <c r="A13" s="12" t="s">
        <v>42</v>
      </c>
      <c r="B13" s="8">
        <v>45.373994539131644</v>
      </c>
      <c r="C13" s="8"/>
      <c r="D13" s="8">
        <v>470.58369336413125</v>
      </c>
      <c r="E13" s="8">
        <v>475.04200682756021</v>
      </c>
      <c r="F13" s="8">
        <v>-1995.984722877015</v>
      </c>
      <c r="G13" s="8">
        <v>0</v>
      </c>
      <c r="H13" s="8">
        <v>0</v>
      </c>
      <c r="I13" s="8"/>
      <c r="J13" s="8">
        <v>49.445616049102206</v>
      </c>
      <c r="K13" s="8">
        <v>-90.774889075025655</v>
      </c>
      <c r="L13" s="8"/>
      <c r="M13" s="8"/>
      <c r="N13" s="8"/>
      <c r="O13" s="8"/>
      <c r="P13" s="8"/>
      <c r="Q13" s="8"/>
      <c r="R13" s="8"/>
      <c r="S13" s="8"/>
      <c r="T13" s="8"/>
      <c r="U13" s="8"/>
      <c r="V13" s="8"/>
      <c r="W13" s="8"/>
      <c r="X13" s="8" t="s">
        <v>100</v>
      </c>
      <c r="Y13" s="8" t="s">
        <v>101</v>
      </c>
      <c r="Z13" s="8">
        <v>0</v>
      </c>
      <c r="AA13" s="8"/>
      <c r="AB13" s="8">
        <v>1.26749999803235</v>
      </c>
      <c r="AC13" s="8">
        <v>1.3927042661306701</v>
      </c>
      <c r="AD13" s="8">
        <v>1.6073491631017001</v>
      </c>
      <c r="AE13" s="22">
        <v>1.7975534216601601</v>
      </c>
      <c r="AF13" s="22">
        <v>1.47328022122721</v>
      </c>
    </row>
    <row r="14" spans="1:32" x14ac:dyDescent="0.45">
      <c r="A14" s="8" t="s">
        <v>102</v>
      </c>
      <c r="B14" s="8"/>
      <c r="C14" s="8"/>
      <c r="D14" s="8"/>
      <c r="E14" s="8"/>
      <c r="F14" s="8"/>
      <c r="G14" s="8"/>
      <c r="H14" s="8"/>
      <c r="I14" s="8"/>
      <c r="J14" s="8">
        <v>-964.28</v>
      </c>
      <c r="K14" s="8">
        <v>-964</v>
      </c>
      <c r="L14" s="8">
        <v>-964.28</v>
      </c>
      <c r="M14" s="8">
        <v>-964.28</v>
      </c>
      <c r="N14" s="8"/>
      <c r="O14" s="8">
        <v>-977.38</v>
      </c>
      <c r="P14" s="8">
        <v>-977.38</v>
      </c>
      <c r="Q14" s="8"/>
      <c r="R14" s="8"/>
      <c r="S14" s="8">
        <v>-933.06</v>
      </c>
      <c r="T14" s="8">
        <v>-933.06</v>
      </c>
      <c r="U14" s="8"/>
      <c r="V14" s="8">
        <v>-1006.73</v>
      </c>
      <c r="W14" s="8">
        <v>-1006.73</v>
      </c>
      <c r="X14" s="8"/>
      <c r="Y14" s="8"/>
      <c r="Z14" s="8"/>
      <c r="AA14" s="8"/>
      <c r="AB14" s="8"/>
      <c r="AC14" s="8"/>
      <c r="AD14" s="8"/>
      <c r="AE14" s="8"/>
      <c r="AF14" s="20"/>
    </row>
    <row r="15" spans="1:32" x14ac:dyDescent="0.45">
      <c r="A15" s="12" t="s">
        <v>44</v>
      </c>
      <c r="B15" s="8">
        <v>12.520870493083375</v>
      </c>
      <c r="C15" s="8"/>
      <c r="D15" s="8">
        <v>12.27013367326016</v>
      </c>
      <c r="E15" s="8">
        <v>12.386381012309526</v>
      </c>
      <c r="F15" s="8">
        <v>1688.7471593768373</v>
      </c>
      <c r="G15" s="8">
        <v>0</v>
      </c>
      <c r="H15" s="8">
        <v>0</v>
      </c>
      <c r="I15" s="8"/>
      <c r="J15" s="8">
        <v>13.644426973860686</v>
      </c>
      <c r="K15" s="8">
        <v>13.569457594883435</v>
      </c>
      <c r="L15" s="8"/>
      <c r="M15" s="8"/>
      <c r="N15" s="8"/>
      <c r="O15" s="8"/>
      <c r="P15" s="8"/>
      <c r="Q15" s="8"/>
      <c r="R15" s="8"/>
      <c r="S15" s="54"/>
      <c r="T15" s="8"/>
      <c r="U15" s="8"/>
      <c r="V15" s="8"/>
      <c r="W15" s="8"/>
      <c r="X15" s="8"/>
      <c r="Y15" s="8"/>
      <c r="Z15" s="8"/>
      <c r="AA15" s="8"/>
      <c r="AB15" s="8">
        <v>0.39497773109416001</v>
      </c>
      <c r="AC15" s="8">
        <v>0.39497773109416001</v>
      </c>
      <c r="AD15" s="8">
        <v>0.45585207208551598</v>
      </c>
      <c r="AE15" s="22">
        <v>0.31325064702560801</v>
      </c>
      <c r="AF15" s="22">
        <v>0.25674117775215999</v>
      </c>
    </row>
    <row r="16" spans="1:32" x14ac:dyDescent="0.45">
      <c r="A16" s="12" t="s">
        <v>45</v>
      </c>
      <c r="B16" s="8">
        <v>-705.59991507936797</v>
      </c>
      <c r="C16" s="8"/>
      <c r="D16" s="8">
        <v>-561.81930738370613</v>
      </c>
      <c r="E16" s="8">
        <v>-557.44725290989288</v>
      </c>
      <c r="F16" s="8">
        <v>-24209.260563939839</v>
      </c>
      <c r="G16" s="8">
        <v>4304.5042086248995</v>
      </c>
      <c r="H16" s="8" t="e">
        <v>#VALUE!</v>
      </c>
      <c r="I16" s="8">
        <v>123.57</v>
      </c>
      <c r="J16" s="8">
        <v>198.10284619999999</v>
      </c>
      <c r="K16" s="8">
        <v>198.10284615785019</v>
      </c>
      <c r="L16" s="8">
        <v>197.87</v>
      </c>
      <c r="M16" s="8">
        <v>197.87</v>
      </c>
      <c r="N16" s="8">
        <v>137.19</v>
      </c>
      <c r="O16" s="8">
        <v>137.19</v>
      </c>
      <c r="P16" s="8">
        <v>137.19</v>
      </c>
      <c r="Q16" s="8"/>
      <c r="R16" s="8">
        <v>135.65</v>
      </c>
      <c r="S16" s="8">
        <v>135.65</v>
      </c>
      <c r="T16" s="8">
        <v>135.65</v>
      </c>
      <c r="U16" s="8">
        <v>135.06</v>
      </c>
      <c r="V16" s="8">
        <v>135.06</v>
      </c>
      <c r="W16" s="8">
        <v>135.06</v>
      </c>
      <c r="X16" s="8">
        <v>-612</v>
      </c>
      <c r="Y16" s="8">
        <v>-408</v>
      </c>
      <c r="Z16" s="8">
        <v>202</v>
      </c>
      <c r="AA16" s="23">
        <v>121.4</v>
      </c>
      <c r="AB16" s="22">
        <v>-20.712804845894599</v>
      </c>
      <c r="AC16" s="8">
        <v>-21.9493902098286</v>
      </c>
      <c r="AD16" s="8">
        <v>-25.332250961203201</v>
      </c>
      <c r="AE16" s="8">
        <v>-33.4045344191846</v>
      </c>
      <c r="AF16" s="20">
        <v>-20.503149745411999</v>
      </c>
    </row>
    <row r="17" spans="1:32" x14ac:dyDescent="0.45">
      <c r="A17" s="8" t="s">
        <v>46</v>
      </c>
      <c r="B17" s="8" t="e">
        <v>#VALUE!</v>
      </c>
      <c r="C17" s="8"/>
      <c r="D17" s="8" t="e">
        <v>#VALUE!</v>
      </c>
      <c r="E17" s="8" t="e">
        <v>#VALUE!</v>
      </c>
      <c r="F17" s="8">
        <v>-25291.654968684721</v>
      </c>
      <c r="G17" s="8">
        <v>1337.719414412267</v>
      </c>
      <c r="H17" s="8" t="e">
        <v>#VALUE!</v>
      </c>
      <c r="I17" s="8">
        <v>61.16</v>
      </c>
      <c r="J17" s="8">
        <v>0</v>
      </c>
      <c r="K17" s="8">
        <v>0</v>
      </c>
      <c r="L17" s="8">
        <v>11.37</v>
      </c>
      <c r="M17" s="8">
        <v>11.37</v>
      </c>
      <c r="N17" s="8">
        <v>66.260000000000005</v>
      </c>
      <c r="O17" s="8">
        <v>-1354.99</v>
      </c>
      <c r="P17" s="8">
        <v>-1354.99</v>
      </c>
      <c r="Q17" s="8"/>
      <c r="R17" s="8"/>
      <c r="S17" s="8"/>
      <c r="T17" s="8"/>
      <c r="U17" s="8"/>
      <c r="V17" s="8"/>
      <c r="W17" s="8"/>
      <c r="X17" s="8"/>
      <c r="Y17" s="8"/>
      <c r="Z17" s="8">
        <v>27</v>
      </c>
      <c r="AA17" s="8">
        <v>54.34</v>
      </c>
      <c r="AB17" s="8" t="e">
        <v>#VALUE!</v>
      </c>
      <c r="AC17" s="8" t="e">
        <v>#VALUE!</v>
      </c>
      <c r="AD17" s="8" t="e">
        <v>#VALUE!</v>
      </c>
      <c r="AE17" s="8" t="e">
        <v>#VALUE!</v>
      </c>
      <c r="AF17" s="8" t="e">
        <v>#VALUE!</v>
      </c>
    </row>
    <row r="18" spans="1:32" x14ac:dyDescent="0.45">
      <c r="A18" s="8" t="s">
        <v>47</v>
      </c>
      <c r="B18" s="8" t="e">
        <v>#VALUE!</v>
      </c>
      <c r="C18" s="8"/>
      <c r="D18" s="8" t="e">
        <v>#VALUE!</v>
      </c>
      <c r="E18" s="8" t="e">
        <v>#VALUE!</v>
      </c>
      <c r="F18" s="8">
        <v>969.3874848367667</v>
      </c>
      <c r="G18" s="8">
        <v>1835.3030086326692</v>
      </c>
      <c r="H18" s="8" t="e">
        <v>#VALUE!</v>
      </c>
      <c r="I18" s="8">
        <v>40.799999999999997</v>
      </c>
      <c r="J18" s="8">
        <v>0</v>
      </c>
      <c r="K18" s="8">
        <v>0</v>
      </c>
      <c r="L18" s="8"/>
      <c r="M18" s="8"/>
      <c r="N18" s="8">
        <v>23.79</v>
      </c>
      <c r="O18" s="8">
        <v>23.79</v>
      </c>
      <c r="P18" s="8">
        <v>23.79</v>
      </c>
      <c r="Q18" s="8"/>
      <c r="R18" s="8"/>
      <c r="S18" s="8"/>
      <c r="T18" s="8"/>
      <c r="U18" s="8"/>
      <c r="V18" s="8"/>
      <c r="W18" s="8"/>
      <c r="X18" s="8"/>
      <c r="Y18" s="8"/>
      <c r="Z18" s="8">
        <v>39</v>
      </c>
      <c r="AA18" s="8">
        <v>36.94</v>
      </c>
      <c r="AB18" s="8" t="e">
        <v>#VALUE!</v>
      </c>
      <c r="AC18" s="8" t="e">
        <v>#VALUE!</v>
      </c>
      <c r="AD18" s="8" t="e">
        <v>#VALUE!</v>
      </c>
      <c r="AE18" s="8" t="e">
        <v>#VALUE!</v>
      </c>
      <c r="AF18" s="8" t="e">
        <v>#VALUE!</v>
      </c>
    </row>
    <row r="19" spans="1:32" x14ac:dyDescent="0.45">
      <c r="A19" s="8" t="s">
        <v>48</v>
      </c>
      <c r="B19" s="8" t="e">
        <v>#VALUE!</v>
      </c>
      <c r="C19" s="8"/>
      <c r="D19" s="8" t="e">
        <v>#VALUE!</v>
      </c>
      <c r="E19" s="8" t="e">
        <v>#VALUE!</v>
      </c>
      <c r="F19" s="8">
        <v>113.00691990811126</v>
      </c>
      <c r="G19" s="8">
        <v>1131.4817855799638</v>
      </c>
      <c r="H19" s="8" t="e">
        <v>#VALUE!</v>
      </c>
      <c r="I19" s="8">
        <v>21.61</v>
      </c>
      <c r="J19" s="8">
        <v>0</v>
      </c>
      <c r="K19" s="8">
        <v>0</v>
      </c>
      <c r="L19" s="8">
        <v>186.59</v>
      </c>
      <c r="M19" s="8">
        <v>186.59</v>
      </c>
      <c r="N19" s="8">
        <v>47.15</v>
      </c>
      <c r="O19" s="8">
        <v>491.02</v>
      </c>
      <c r="P19" s="8">
        <v>491.02</v>
      </c>
      <c r="Q19" s="8"/>
      <c r="R19" s="8"/>
      <c r="S19" s="8"/>
      <c r="T19" s="8"/>
      <c r="U19" s="8"/>
      <c r="V19" s="8"/>
      <c r="W19" s="8"/>
      <c r="X19" s="8"/>
      <c r="Y19" s="8"/>
      <c r="Z19" s="8">
        <v>136</v>
      </c>
      <c r="AA19" s="8">
        <v>30.11</v>
      </c>
      <c r="AB19" s="8" t="e">
        <v>#VALUE!</v>
      </c>
      <c r="AC19" s="8" t="e">
        <v>#VALUE!</v>
      </c>
      <c r="AD19" s="8" t="e">
        <v>#VALUE!</v>
      </c>
      <c r="AE19" s="8" t="e">
        <v>#VALUE!</v>
      </c>
      <c r="AF19" s="8" t="e">
        <v>#VALUE!</v>
      </c>
    </row>
    <row r="20" spans="1:32" ht="14.65" thickBot="1" x14ac:dyDescent="0.5">
      <c r="A20" s="17" t="s">
        <v>103</v>
      </c>
      <c r="B20" s="17">
        <v>0</v>
      </c>
      <c r="C20" s="17"/>
      <c r="D20" s="17">
        <v>0</v>
      </c>
      <c r="E20" s="17">
        <v>0</v>
      </c>
      <c r="F20" s="17">
        <v>0</v>
      </c>
      <c r="G20" s="17">
        <v>0</v>
      </c>
      <c r="H20" s="17">
        <v>0</v>
      </c>
      <c r="I20" s="17"/>
      <c r="J20" s="17"/>
      <c r="K20" s="17"/>
      <c r="L20" s="17">
        <v>-682.55</v>
      </c>
      <c r="M20" s="17">
        <v>-682.55</v>
      </c>
      <c r="N20" s="17">
        <v>-820.6</v>
      </c>
      <c r="O20" s="17">
        <v>-820.6</v>
      </c>
      <c r="P20" s="17">
        <v>-820.6</v>
      </c>
      <c r="Q20" s="17"/>
      <c r="R20" s="17"/>
      <c r="S20" s="17"/>
      <c r="T20" s="17"/>
      <c r="U20" s="17"/>
      <c r="V20" s="17"/>
      <c r="W20" s="17"/>
      <c r="X20" s="17"/>
      <c r="Y20" s="17"/>
      <c r="Z20" s="17">
        <v>-978.36</v>
      </c>
      <c r="AA20" s="17">
        <v>-843.6</v>
      </c>
      <c r="AB20" s="17">
        <v>0</v>
      </c>
      <c r="AC20" s="17">
        <v>0</v>
      </c>
      <c r="AD20" s="17">
        <v>0</v>
      </c>
      <c r="AE20" s="17">
        <v>0</v>
      </c>
      <c r="AF20" s="17">
        <v>0</v>
      </c>
    </row>
    <row r="23" spans="1:32" x14ac:dyDescent="0.45">
      <c r="A23" s="54"/>
      <c r="B23" s="54">
        <f>B15/468</f>
        <v>2.6753996780092684E-2</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5" spans="1:32" x14ac:dyDescent="0.45">
      <c r="A25" s="54"/>
      <c r="B25" s="54">
        <v>468</v>
      </c>
      <c r="C25" s="54">
        <f>-B15/B25</f>
        <v>-2.6753996780092684E-2</v>
      </c>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row>
    <row r="26" spans="1:32" x14ac:dyDescent="0.45">
      <c r="A26" s="54"/>
      <c r="B26" s="54"/>
      <c r="C26" s="54">
        <f>B15/B25</f>
        <v>2.6753996780092684E-2</v>
      </c>
      <c r="D26" s="54"/>
      <c r="E26" s="54"/>
      <c r="F26" s="54"/>
      <c r="G26" s="54"/>
      <c r="H26" s="54"/>
      <c r="I26" s="54"/>
      <c r="J26" s="54"/>
      <c r="K26" s="30" t="s">
        <v>104</v>
      </c>
      <c r="L26" s="54"/>
      <c r="M26" s="54"/>
      <c r="N26" s="54"/>
      <c r="O26" s="54"/>
      <c r="P26" s="54"/>
      <c r="Q26" s="54"/>
      <c r="R26" s="54"/>
      <c r="S26" s="54"/>
      <c r="T26" s="54"/>
      <c r="U26" s="54"/>
      <c r="V26" s="54"/>
      <c r="W26" s="54"/>
      <c r="X26" s="54"/>
      <c r="Y26" s="54"/>
      <c r="Z26" s="54"/>
      <c r="AA26" s="54"/>
      <c r="AB26" s="54"/>
      <c r="AC26" s="54"/>
      <c r="AD26" s="54"/>
      <c r="AE26" s="54"/>
      <c r="AF26" s="54"/>
    </row>
  </sheetData>
  <hyperlinks>
    <hyperlink ref="K26" r:id="rId1" location=":~:text=%20How%20to%20make%20dynamic%20drop%20down%20list,To%20get%20entries%20for%20the%20secondary...%20More%20" display="https://www.ablebits.com/office-addins-blog/2020/09/02/create-dynamic-dependent-drop-down-excel/ - :~:text=%20How%20to%20make%20dynamic%20drop%20down%20list,To%20get%20entries%20for%20the%20secondary...%20More%20" xr:uid="{03A16291-CE77-4059-802E-5F27CB20A50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0407-7744-4CFF-B895-52E45D162FD4}">
  <sheetPr>
    <tabColor theme="9" tint="0.59999389629810485"/>
    <pageSetUpPr autoPageBreaks="0"/>
  </sheetPr>
  <dimension ref="A1:M25"/>
  <sheetViews>
    <sheetView zoomScale="85" zoomScaleNormal="85" workbookViewId="0">
      <selection activeCell="I14" sqref="I14"/>
    </sheetView>
    <sheetView zoomScale="85" zoomScaleNormal="85" workbookViewId="1">
      <selection activeCell="H13" sqref="H13"/>
    </sheetView>
    <sheetView workbookViewId="2"/>
  </sheetViews>
  <sheetFormatPr defaultRowHeight="14.25" x14ac:dyDescent="0.45"/>
  <cols>
    <col min="1" max="1" width="3.1328125" style="54" customWidth="1"/>
    <col min="2" max="7" width="9" style="54"/>
    <col min="9" max="9" width="25.73046875" style="54" customWidth="1"/>
    <col min="10" max="10" width="107" style="54" customWidth="1"/>
  </cols>
  <sheetData>
    <row r="1" spans="2:13" s="38" customFormat="1" x14ac:dyDescent="0.45">
      <c r="I1" s="205"/>
      <c r="J1" s="205"/>
    </row>
    <row r="2" spans="2:13" ht="172.5" customHeight="1" x14ac:dyDescent="0.45">
      <c r="B2" s="175"/>
      <c r="C2" s="176"/>
      <c r="D2" s="176"/>
      <c r="E2" s="176"/>
      <c r="F2" s="176"/>
      <c r="G2" s="176"/>
      <c r="H2" s="177"/>
      <c r="I2" s="8"/>
      <c r="J2" s="76" t="s">
        <v>105</v>
      </c>
      <c r="K2" s="54"/>
      <c r="L2" s="54"/>
      <c r="M2" s="54"/>
    </row>
    <row r="3" spans="2:13" x14ac:dyDescent="0.45">
      <c r="B3" s="178"/>
      <c r="C3" s="179"/>
      <c r="D3" s="179"/>
      <c r="E3" s="179"/>
      <c r="F3" s="179"/>
      <c r="G3" s="179"/>
      <c r="H3" s="180"/>
      <c r="I3" s="77"/>
      <c r="J3" s="78"/>
      <c r="K3" s="54"/>
      <c r="L3" s="54"/>
      <c r="M3" s="54"/>
    </row>
    <row r="4" spans="2:13" ht="51.75" customHeight="1" x14ac:dyDescent="0.45">
      <c r="B4" s="178"/>
      <c r="C4" s="179"/>
      <c r="D4" s="179"/>
      <c r="E4" s="179"/>
      <c r="F4" s="179"/>
      <c r="G4" s="179"/>
      <c r="H4" s="180"/>
      <c r="I4" s="8"/>
      <c r="J4" s="76" t="s">
        <v>106</v>
      </c>
      <c r="K4" s="54"/>
      <c r="L4" s="54"/>
      <c r="M4" s="54"/>
    </row>
    <row r="5" spans="2:13" s="54" customFormat="1" x14ac:dyDescent="0.45">
      <c r="B5" s="178"/>
      <c r="C5" s="179"/>
      <c r="D5" s="179"/>
      <c r="E5" s="179"/>
      <c r="F5" s="179"/>
      <c r="G5" s="179"/>
      <c r="H5" s="180"/>
      <c r="I5" s="37"/>
      <c r="J5" s="83"/>
    </row>
    <row r="6" spans="2:13" s="54" customFormat="1" ht="72.75" customHeight="1" x14ac:dyDescent="0.45">
      <c r="B6" s="178"/>
      <c r="C6" s="179"/>
      <c r="D6" s="179"/>
      <c r="E6" s="179"/>
      <c r="F6" s="179"/>
      <c r="G6" s="179"/>
      <c r="H6" s="180"/>
      <c r="I6" s="8"/>
      <c r="J6" s="76" t="s">
        <v>107</v>
      </c>
    </row>
    <row r="7" spans="2:13" s="54" customFormat="1" ht="15" customHeight="1" x14ac:dyDescent="0.45">
      <c r="B7" s="178"/>
      <c r="C7" s="179"/>
      <c r="D7" s="179"/>
      <c r="E7" s="179"/>
      <c r="F7" s="179"/>
      <c r="G7" s="179"/>
      <c r="H7" s="180"/>
      <c r="I7" s="37"/>
      <c r="J7" s="83"/>
    </row>
    <row r="8" spans="2:13" s="54" customFormat="1" ht="47.65" customHeight="1" x14ac:dyDescent="0.45">
      <c r="B8" s="181"/>
      <c r="C8" s="182"/>
      <c r="D8" s="182"/>
      <c r="E8" s="182"/>
      <c r="F8" s="182"/>
      <c r="G8" s="182"/>
      <c r="H8" s="183"/>
      <c r="I8" s="8"/>
      <c r="J8" s="76" t="s">
        <v>437</v>
      </c>
      <c r="M8" s="54" t="s">
        <v>108</v>
      </c>
    </row>
    <row r="9" spans="2:13" x14ac:dyDescent="0.45">
      <c r="H9" s="54"/>
      <c r="I9" s="38"/>
      <c r="J9" s="38"/>
      <c r="K9" s="54"/>
      <c r="L9" s="54"/>
      <c r="M9" s="54"/>
    </row>
    <row r="11" spans="2:13" ht="46.5" customHeight="1" x14ac:dyDescent="0.45">
      <c r="B11" s="320" t="s">
        <v>438</v>
      </c>
      <c r="C11" s="320"/>
      <c r="D11" s="320"/>
      <c r="E11" s="320"/>
      <c r="F11" s="320"/>
      <c r="G11" s="320"/>
      <c r="H11" s="320"/>
      <c r="I11" s="320"/>
      <c r="J11" s="320"/>
      <c r="K11" s="54"/>
      <c r="L11" s="54"/>
      <c r="M11" s="54"/>
    </row>
    <row r="12" spans="2:13" ht="14.65" x14ac:dyDescent="0.45">
      <c r="B12" s="79"/>
      <c r="H12" s="54"/>
      <c r="K12" s="54"/>
      <c r="L12" s="54"/>
      <c r="M12" s="54"/>
    </row>
    <row r="13" spans="2:13" x14ac:dyDescent="0.45">
      <c r="B13" s="80" t="s">
        <v>109</v>
      </c>
      <c r="H13" s="54"/>
      <c r="K13" s="54"/>
      <c r="L13" s="54"/>
      <c r="M13" s="54"/>
    </row>
    <row r="14" spans="2:13" x14ac:dyDescent="0.45">
      <c r="B14" s="81" t="s">
        <v>110</v>
      </c>
      <c r="H14" s="54"/>
      <c r="K14" s="54"/>
      <c r="L14" s="54"/>
      <c r="M14" s="54"/>
    </row>
    <row r="15" spans="2:13" x14ac:dyDescent="0.45">
      <c r="B15" s="54" t="s">
        <v>111</v>
      </c>
      <c r="H15" s="54"/>
      <c r="I15" s="82"/>
      <c r="K15" s="54"/>
      <c r="L15" s="54"/>
      <c r="M15" s="54"/>
    </row>
    <row r="16" spans="2:13" x14ac:dyDescent="0.45">
      <c r="H16" s="54"/>
      <c r="I16" s="82"/>
      <c r="K16" s="54"/>
      <c r="L16" s="54"/>
      <c r="M16" s="54"/>
    </row>
    <row r="17" spans="9:10" x14ac:dyDescent="0.45">
      <c r="I17" s="81"/>
    </row>
    <row r="18" spans="9:10" x14ac:dyDescent="0.45">
      <c r="I18" s="82"/>
    </row>
    <row r="19" spans="9:10" x14ac:dyDescent="0.45">
      <c r="I19" s="82"/>
    </row>
    <row r="20" spans="9:10" x14ac:dyDescent="0.45">
      <c r="I20" s="81"/>
    </row>
    <row r="21" spans="9:10" x14ac:dyDescent="0.45">
      <c r="I21" s="82"/>
    </row>
    <row r="22" spans="9:10" x14ac:dyDescent="0.45">
      <c r="I22" s="81"/>
      <c r="J22" s="81"/>
    </row>
    <row r="23" spans="9:10" x14ac:dyDescent="0.45">
      <c r="I23" s="82"/>
      <c r="J23" s="81"/>
    </row>
    <row r="24" spans="9:10" x14ac:dyDescent="0.45">
      <c r="I24" s="81"/>
      <c r="J24" s="81"/>
    </row>
    <row r="25" spans="9:10" x14ac:dyDescent="0.45">
      <c r="I25" s="82"/>
      <c r="J25" s="81"/>
    </row>
  </sheetData>
  <mergeCells count="1">
    <mergeCell ref="B11:J11"/>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DA1-8AFF-4158-8288-5EF235680113}">
  <sheetPr>
    <tabColor theme="9" tint="0.59999389629810485"/>
  </sheetPr>
  <dimension ref="A1:I33"/>
  <sheetViews>
    <sheetView topLeftCell="A10" zoomScale="115" zoomScaleNormal="115" workbookViewId="0">
      <selection activeCell="C41" sqref="C41"/>
    </sheetView>
    <sheetView workbookViewId="1">
      <selection activeCell="D39" sqref="D39"/>
    </sheetView>
    <sheetView workbookViewId="2"/>
  </sheetViews>
  <sheetFormatPr defaultRowHeight="14.25" x14ac:dyDescent="0.45"/>
  <cols>
    <col min="1" max="1" width="4.86328125" style="7" customWidth="1"/>
    <col min="2" max="9" width="9" style="84"/>
  </cols>
  <sheetData>
    <row r="1" spans="2:9" x14ac:dyDescent="0.45">
      <c r="B1" s="322"/>
      <c r="C1" s="322"/>
      <c r="D1" s="322"/>
      <c r="E1" s="322"/>
      <c r="F1" s="322"/>
      <c r="G1" s="322"/>
      <c r="H1" s="322"/>
      <c r="I1" s="322"/>
    </row>
    <row r="2" spans="2:9" x14ac:dyDescent="0.45">
      <c r="B2" s="322"/>
      <c r="C2" s="322"/>
      <c r="D2" s="322"/>
      <c r="E2" s="322"/>
      <c r="F2" s="322"/>
      <c r="G2" s="322"/>
      <c r="H2" s="322"/>
      <c r="I2" s="322"/>
    </row>
    <row r="3" spans="2:9" x14ac:dyDescent="0.45">
      <c r="B3" s="322"/>
      <c r="C3" s="322"/>
      <c r="D3" s="322"/>
      <c r="E3" s="322"/>
      <c r="F3" s="322"/>
      <c r="G3" s="322"/>
      <c r="H3" s="322"/>
      <c r="I3" s="322"/>
    </row>
    <row r="4" spans="2:9" x14ac:dyDescent="0.45">
      <c r="B4" s="322"/>
      <c r="C4" s="322"/>
      <c r="D4" s="322"/>
      <c r="E4" s="322"/>
      <c r="F4" s="322"/>
      <c r="G4" s="322"/>
      <c r="H4" s="322"/>
      <c r="I4" s="322"/>
    </row>
    <row r="5" spans="2:9" x14ac:dyDescent="0.45">
      <c r="B5" s="322"/>
      <c r="C5" s="322"/>
      <c r="D5" s="322"/>
      <c r="E5" s="322"/>
      <c r="F5" s="322"/>
      <c r="G5" s="322"/>
      <c r="H5" s="322"/>
      <c r="I5" s="322"/>
    </row>
    <row r="6" spans="2:9" x14ac:dyDescent="0.45">
      <c r="B6" s="322"/>
      <c r="C6" s="322"/>
      <c r="D6" s="322"/>
      <c r="E6" s="322"/>
      <c r="F6" s="322"/>
      <c r="G6" s="322"/>
      <c r="H6" s="322"/>
      <c r="I6" s="322"/>
    </row>
    <row r="7" spans="2:9" x14ac:dyDescent="0.45">
      <c r="B7" s="322"/>
      <c r="C7" s="322"/>
      <c r="D7" s="322"/>
      <c r="E7" s="322"/>
      <c r="F7" s="322"/>
      <c r="G7" s="322"/>
      <c r="H7" s="322"/>
      <c r="I7" s="322"/>
    </row>
    <row r="8" spans="2:9" x14ac:dyDescent="0.45">
      <c r="B8" s="322"/>
      <c r="C8" s="322"/>
      <c r="D8" s="322"/>
      <c r="E8" s="322"/>
      <c r="F8" s="322"/>
      <c r="G8" s="322"/>
      <c r="H8" s="322"/>
      <c r="I8" s="322"/>
    </row>
    <row r="9" spans="2:9" x14ac:dyDescent="0.45">
      <c r="B9" s="322"/>
      <c r="C9" s="322"/>
      <c r="D9" s="322"/>
      <c r="E9" s="322"/>
      <c r="F9" s="322"/>
      <c r="G9" s="322"/>
      <c r="H9" s="322"/>
      <c r="I9" s="322"/>
    </row>
    <row r="10" spans="2:9" x14ac:dyDescent="0.45">
      <c r="B10" s="322"/>
      <c r="C10" s="322"/>
      <c r="D10" s="322"/>
      <c r="E10" s="322"/>
      <c r="F10" s="322"/>
      <c r="G10" s="322"/>
      <c r="H10" s="322"/>
      <c r="I10" s="322"/>
    </row>
    <row r="11" spans="2:9" x14ac:dyDescent="0.45">
      <c r="B11" s="322"/>
      <c r="C11" s="322"/>
      <c r="D11" s="322"/>
      <c r="E11" s="322"/>
      <c r="F11" s="322"/>
      <c r="G11" s="322"/>
      <c r="H11" s="322"/>
      <c r="I11" s="322"/>
    </row>
    <row r="12" spans="2:9" x14ac:dyDescent="0.45">
      <c r="B12" s="322"/>
      <c r="C12" s="322"/>
      <c r="D12" s="322"/>
      <c r="E12" s="322"/>
      <c r="F12" s="322"/>
      <c r="G12" s="322"/>
      <c r="H12" s="322"/>
      <c r="I12" s="322"/>
    </row>
    <row r="13" spans="2:9" x14ac:dyDescent="0.45">
      <c r="B13" s="322"/>
      <c r="C13" s="322"/>
      <c r="D13" s="322"/>
      <c r="E13" s="322"/>
      <c r="F13" s="322"/>
      <c r="G13" s="322"/>
      <c r="H13" s="322"/>
      <c r="I13" s="322"/>
    </row>
    <row r="14" spans="2:9" x14ac:dyDescent="0.45">
      <c r="B14" s="322"/>
      <c r="C14" s="322"/>
      <c r="D14" s="322"/>
      <c r="E14" s="322"/>
      <c r="F14" s="322"/>
      <c r="G14" s="322"/>
      <c r="H14" s="322"/>
      <c r="I14" s="322"/>
    </row>
    <row r="15" spans="2:9" x14ac:dyDescent="0.45">
      <c r="B15" s="322"/>
      <c r="C15" s="322"/>
      <c r="D15" s="322"/>
      <c r="E15" s="322"/>
      <c r="F15" s="322"/>
      <c r="G15" s="322"/>
      <c r="H15" s="322"/>
      <c r="I15" s="322"/>
    </row>
    <row r="16" spans="2:9" x14ac:dyDescent="0.45">
      <c r="B16" s="322"/>
      <c r="C16" s="322"/>
      <c r="D16" s="322"/>
      <c r="E16" s="322"/>
      <c r="F16" s="322"/>
      <c r="G16" s="322"/>
      <c r="H16" s="322"/>
      <c r="I16" s="322"/>
    </row>
    <row r="17" spans="1:9" x14ac:dyDescent="0.45">
      <c r="B17" s="322"/>
      <c r="C17" s="322"/>
      <c r="D17" s="322"/>
      <c r="E17" s="322"/>
      <c r="F17" s="322"/>
      <c r="G17" s="322"/>
      <c r="H17" s="322"/>
      <c r="I17" s="322"/>
    </row>
    <row r="18" spans="1:9" s="54" customFormat="1" x14ac:dyDescent="0.45">
      <c r="A18" s="7"/>
      <c r="B18" s="84"/>
      <c r="C18" s="84"/>
      <c r="D18" s="84"/>
      <c r="E18" s="84"/>
      <c r="F18" s="84"/>
      <c r="G18" s="84"/>
      <c r="H18" s="84"/>
      <c r="I18" s="84"/>
    </row>
    <row r="19" spans="1:9" ht="24.75" customHeight="1" x14ac:dyDescent="0.45">
      <c r="B19" s="447" t="s">
        <v>439</v>
      </c>
      <c r="C19" s="447"/>
      <c r="D19" s="447"/>
      <c r="E19" s="447"/>
      <c r="F19" s="447"/>
      <c r="G19" s="447"/>
      <c r="H19" s="447"/>
      <c r="I19" s="447"/>
    </row>
    <row r="20" spans="1:9" s="54" customFormat="1" x14ac:dyDescent="0.45">
      <c r="A20" s="7"/>
      <c r="B20" s="283"/>
      <c r="C20" s="84"/>
      <c r="D20" s="84"/>
      <c r="E20" s="84"/>
      <c r="F20" s="84"/>
      <c r="G20" s="84"/>
      <c r="H20" s="84"/>
      <c r="I20" s="84"/>
    </row>
    <row r="21" spans="1:9" ht="269.25" customHeight="1" x14ac:dyDescent="0.45">
      <c r="B21" s="321" t="s">
        <v>112</v>
      </c>
      <c r="C21" s="321"/>
      <c r="D21" s="321"/>
      <c r="E21" s="321"/>
      <c r="F21" s="321"/>
      <c r="G21" s="321"/>
      <c r="H21" s="321"/>
      <c r="I21" s="321"/>
    </row>
    <row r="22" spans="1:9" x14ac:dyDescent="0.45">
      <c r="A22" s="58"/>
      <c r="B22" s="282"/>
      <c r="C22" s="282"/>
      <c r="D22" s="282"/>
      <c r="E22" s="282"/>
      <c r="F22" s="282"/>
      <c r="G22" s="282"/>
      <c r="H22" s="282"/>
      <c r="I22" s="282"/>
    </row>
    <row r="23" spans="1:9" x14ac:dyDescent="0.45">
      <c r="A23" s="58"/>
      <c r="B23" s="84" t="s">
        <v>113</v>
      </c>
    </row>
    <row r="24" spans="1:9" x14ac:dyDescent="0.45">
      <c r="A24" s="58"/>
    </row>
    <row r="25" spans="1:9" x14ac:dyDescent="0.45">
      <c r="A25" s="58"/>
    </row>
    <row r="26" spans="1:9" x14ac:dyDescent="0.45">
      <c r="A26" s="58"/>
    </row>
    <row r="27" spans="1:9" x14ac:dyDescent="0.45">
      <c r="A27" s="58"/>
      <c r="B27" s="323"/>
      <c r="C27" s="323"/>
      <c r="D27" s="323"/>
      <c r="E27" s="323"/>
      <c r="F27" s="323"/>
      <c r="G27" s="323"/>
      <c r="H27" s="323"/>
      <c r="I27" s="323"/>
    </row>
    <row r="28" spans="1:9" x14ac:dyDescent="0.45">
      <c r="A28" s="58"/>
    </row>
    <row r="29" spans="1:9" x14ac:dyDescent="0.45">
      <c r="A29" s="58"/>
    </row>
    <row r="30" spans="1:9" x14ac:dyDescent="0.45">
      <c r="A30" s="58"/>
    </row>
    <row r="33" spans="2:9" ht="29.25" customHeight="1" x14ac:dyDescent="0.45">
      <c r="B33" s="447" t="s">
        <v>439</v>
      </c>
      <c r="C33" s="447"/>
      <c r="D33" s="447"/>
      <c r="E33" s="447"/>
      <c r="F33" s="447"/>
      <c r="G33" s="447"/>
      <c r="H33" s="447"/>
      <c r="I33" s="447"/>
    </row>
  </sheetData>
  <mergeCells count="5">
    <mergeCell ref="B21:I21"/>
    <mergeCell ref="B1:I17"/>
    <mergeCell ref="B27:I27"/>
    <mergeCell ref="B19:I19"/>
    <mergeCell ref="B33:I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F75B-0ED3-418A-8F3E-D9963FAAF5BB}">
  <sheetPr>
    <tabColor theme="9" tint="0.59999389629810485"/>
    <pageSetUpPr autoPageBreaks="0"/>
  </sheetPr>
  <dimension ref="A1:O115"/>
  <sheetViews>
    <sheetView showGridLines="0" zoomScale="85" zoomScaleNormal="85" workbookViewId="0">
      <selection activeCell="H28" sqref="H28"/>
    </sheetView>
    <sheetView tabSelected="1" zoomScale="70" zoomScaleNormal="70" workbookViewId="1">
      <selection activeCell="D3" sqref="D3"/>
    </sheetView>
    <sheetView tabSelected="1" topLeftCell="G1" zoomScale="70" zoomScaleNormal="70" workbookViewId="2">
      <selection activeCell="O6" sqref="O6"/>
    </sheetView>
  </sheetViews>
  <sheetFormatPr defaultRowHeight="14.25" x14ac:dyDescent="0.45"/>
  <cols>
    <col min="1" max="1" width="3.73046875" customWidth="1"/>
    <col min="2" max="2" width="25.59765625" customWidth="1"/>
    <col min="3" max="3" width="25.73046875" customWidth="1"/>
    <col min="4" max="4" width="25.73046875" style="54" customWidth="1"/>
    <col min="5" max="5" width="10.265625" customWidth="1"/>
    <col min="6" max="6" width="7.73046875" customWidth="1"/>
    <col min="7" max="7" width="9.86328125" style="54" customWidth="1"/>
    <col min="8" max="8" width="10.9296875" customWidth="1"/>
    <col min="9" max="9" width="13" customWidth="1"/>
    <col min="10" max="10" width="15.86328125" customWidth="1"/>
    <col min="11" max="11" width="11.3984375" customWidth="1"/>
    <col min="12" max="12" width="13.86328125" customWidth="1"/>
    <col min="13" max="13" width="15.59765625" customWidth="1"/>
    <col min="14" max="14" width="17.1328125" customWidth="1"/>
    <col min="15" max="15" width="12.265625" customWidth="1"/>
  </cols>
  <sheetData>
    <row r="1" spans="1:15" s="54" customFormat="1" x14ac:dyDescent="0.45"/>
    <row r="2" spans="1:15" s="54" customFormat="1" x14ac:dyDescent="0.45"/>
    <row r="3" spans="1:15" s="54" customFormat="1" x14ac:dyDescent="0.45"/>
    <row r="4" spans="1:15" s="54" customFormat="1" x14ac:dyDescent="0.45">
      <c r="C4" s="65"/>
    </row>
    <row r="5" spans="1:15" s="54" customFormat="1" x14ac:dyDescent="0.45"/>
    <row r="6" spans="1:15" s="54" customFormat="1" x14ac:dyDescent="0.45"/>
    <row r="7" spans="1:15" ht="14.65" thickBot="1" x14ac:dyDescent="0.5">
      <c r="A7" s="54"/>
      <c r="B7" s="54"/>
      <c r="C7" s="54"/>
      <c r="E7" s="54"/>
      <c r="F7" s="54"/>
      <c r="H7" s="54"/>
      <c r="I7" s="54"/>
      <c r="J7" s="54"/>
      <c r="K7" s="54"/>
      <c r="L7" s="54"/>
      <c r="M7" s="54"/>
      <c r="N7" s="54"/>
      <c r="O7" s="54"/>
    </row>
    <row r="8" spans="1:15" ht="36.4" thickBot="1" x14ac:dyDescent="1.1000000000000001">
      <c r="A8" s="54"/>
      <c r="B8" s="386" t="s">
        <v>114</v>
      </c>
      <c r="C8" s="387"/>
      <c r="D8" s="138"/>
      <c r="E8" s="59"/>
      <c r="F8" s="59"/>
      <c r="G8" s="74" t="s">
        <v>115</v>
      </c>
      <c r="H8" s="75"/>
      <c r="I8" s="54"/>
      <c r="J8" s="54"/>
      <c r="K8" s="54"/>
      <c r="L8" s="382" t="s">
        <v>116</v>
      </c>
      <c r="M8" s="383"/>
      <c r="N8" s="384">
        <f>O28</f>
        <v>0</v>
      </c>
      <c r="O8" s="385"/>
    </row>
    <row r="9" spans="1:15" s="54" customFormat="1" ht="14.65" customHeight="1" x14ac:dyDescent="1.05">
      <c r="A9" s="38"/>
      <c r="B9" s="317" t="s">
        <v>117</v>
      </c>
      <c r="C9" s="318" t="s">
        <v>118</v>
      </c>
      <c r="D9" s="73"/>
      <c r="E9" s="69"/>
      <c r="F9" s="70"/>
      <c r="G9" s="63"/>
      <c r="H9" s="64"/>
      <c r="I9" s="65"/>
      <c r="J9" s="65"/>
      <c r="K9" s="65"/>
      <c r="L9" s="66"/>
      <c r="M9" s="66"/>
      <c r="N9" s="67"/>
      <c r="O9" s="68"/>
    </row>
    <row r="10" spans="1:15" ht="14.65" thickBot="1" x14ac:dyDescent="0.5">
      <c r="A10" s="54"/>
      <c r="B10" s="54"/>
      <c r="C10" s="54"/>
      <c r="E10" s="54"/>
      <c r="F10" s="54"/>
      <c r="H10" s="54"/>
      <c r="I10" s="54"/>
      <c r="J10" s="54"/>
      <c r="K10" s="54"/>
      <c r="L10" s="54"/>
      <c r="M10" s="54"/>
      <c r="N10" s="54"/>
      <c r="O10" s="54"/>
    </row>
    <row r="11" spans="1:15" ht="57" customHeight="1" x14ac:dyDescent="0.85">
      <c r="A11" s="54"/>
      <c r="B11" s="360" t="s">
        <v>119</v>
      </c>
      <c r="C11" s="361"/>
      <c r="D11" s="361"/>
      <c r="E11" s="362"/>
      <c r="F11" s="54"/>
      <c r="H11" s="54"/>
      <c r="I11" s="54"/>
      <c r="J11" s="54"/>
      <c r="K11" s="54"/>
      <c r="L11" s="54"/>
      <c r="M11" s="54"/>
      <c r="N11" s="54"/>
      <c r="O11" s="54"/>
    </row>
    <row r="12" spans="1:15" x14ac:dyDescent="0.45">
      <c r="A12" s="54"/>
      <c r="B12" s="345"/>
      <c r="C12" s="346"/>
      <c r="D12" s="346"/>
      <c r="E12" s="347"/>
      <c r="F12" s="54"/>
      <c r="H12" s="54"/>
      <c r="I12" s="54"/>
      <c r="J12" s="54"/>
      <c r="K12" s="54"/>
      <c r="L12" s="54"/>
      <c r="M12" s="54"/>
      <c r="N12" s="54"/>
      <c r="O12" s="54"/>
    </row>
    <row r="13" spans="1:15" ht="14.25" customHeight="1" x14ac:dyDescent="0.5">
      <c r="A13" s="54"/>
      <c r="B13" s="331" t="s">
        <v>120</v>
      </c>
      <c r="C13" s="332"/>
      <c r="D13" s="332"/>
      <c r="E13" s="333"/>
      <c r="F13" s="54"/>
      <c r="H13" s="54"/>
      <c r="I13" s="54"/>
      <c r="J13" s="54"/>
      <c r="K13" s="54"/>
      <c r="L13" s="54"/>
      <c r="M13" s="54"/>
      <c r="N13" s="54"/>
      <c r="O13" s="54"/>
    </row>
    <row r="14" spans="1:15" x14ac:dyDescent="0.45">
      <c r="A14" s="54"/>
      <c r="B14" s="325"/>
      <c r="C14" s="326"/>
      <c r="D14" s="326"/>
      <c r="E14" s="341"/>
      <c r="F14" s="54"/>
      <c r="H14" s="54"/>
      <c r="I14" s="54"/>
      <c r="J14" s="54"/>
      <c r="K14" s="54"/>
      <c r="L14" s="54"/>
      <c r="M14" s="54"/>
      <c r="N14" s="54"/>
      <c r="O14" s="54"/>
    </row>
    <row r="15" spans="1:15" x14ac:dyDescent="0.45">
      <c r="A15" s="54"/>
      <c r="B15" s="345"/>
      <c r="C15" s="346"/>
      <c r="D15" s="346"/>
      <c r="E15" s="347"/>
      <c r="F15" s="54"/>
      <c r="H15" s="54"/>
      <c r="I15" s="54"/>
      <c r="J15" s="54"/>
      <c r="K15" s="54"/>
      <c r="L15" s="54"/>
      <c r="M15" s="54"/>
      <c r="N15" s="54"/>
      <c r="O15" s="54"/>
    </row>
    <row r="16" spans="1:15" s="21" customFormat="1" ht="14.25" customHeight="1" x14ac:dyDescent="0.5">
      <c r="A16" s="54"/>
      <c r="B16" s="331" t="s">
        <v>121</v>
      </c>
      <c r="C16" s="332"/>
      <c r="D16" s="332"/>
      <c r="E16" s="333"/>
      <c r="F16" s="54"/>
      <c r="G16" s="54"/>
      <c r="H16" s="54"/>
      <c r="I16" s="54"/>
      <c r="J16" s="54"/>
      <c r="K16" s="54"/>
      <c r="L16" s="54"/>
      <c r="M16" s="54"/>
      <c r="N16" s="54"/>
      <c r="O16" s="54"/>
    </row>
    <row r="17" spans="2:15" s="54" customFormat="1" ht="15.75" x14ac:dyDescent="0.5">
      <c r="B17" s="331"/>
      <c r="C17" s="332"/>
      <c r="D17" s="332"/>
      <c r="E17" s="333"/>
    </row>
    <row r="18" spans="2:15" s="21" customFormat="1" x14ac:dyDescent="0.45">
      <c r="B18" s="345" t="s">
        <v>122</v>
      </c>
      <c r="C18" s="346"/>
      <c r="D18" s="346"/>
      <c r="E18" s="347"/>
      <c r="F18" s="54"/>
      <c r="G18" s="54"/>
      <c r="H18" s="54"/>
      <c r="I18" s="54"/>
      <c r="J18" s="54"/>
      <c r="K18" s="54"/>
      <c r="L18" s="54"/>
      <c r="M18" s="54"/>
      <c r="N18" s="54"/>
      <c r="O18" s="54"/>
    </row>
    <row r="19" spans="2:15" s="21" customFormat="1" x14ac:dyDescent="0.45">
      <c r="B19" s="325"/>
      <c r="C19" s="326"/>
      <c r="D19" s="326"/>
      <c r="E19" s="341"/>
      <c r="F19" s="54"/>
      <c r="G19" s="54"/>
      <c r="H19" s="54"/>
      <c r="I19" s="54"/>
      <c r="J19" s="54"/>
      <c r="K19" s="54"/>
      <c r="L19" s="54"/>
      <c r="M19" s="54"/>
      <c r="N19" s="54"/>
      <c r="O19" s="54"/>
    </row>
    <row r="20" spans="2:15" s="54" customFormat="1" x14ac:dyDescent="0.45">
      <c r="B20" s="345"/>
      <c r="C20" s="346"/>
      <c r="D20" s="346"/>
      <c r="E20" s="347"/>
    </row>
    <row r="21" spans="2:15" s="21" customFormat="1" x14ac:dyDescent="0.45">
      <c r="B21" s="345" t="s">
        <v>123</v>
      </c>
      <c r="C21" s="346"/>
      <c r="D21" s="346"/>
      <c r="E21" s="347"/>
      <c r="F21" s="54"/>
      <c r="G21" s="54"/>
      <c r="H21" s="54"/>
      <c r="I21" s="54"/>
      <c r="J21" s="54"/>
      <c r="K21" s="54"/>
      <c r="L21" s="54"/>
      <c r="M21" s="54"/>
      <c r="N21" s="54"/>
      <c r="O21" s="54"/>
    </row>
    <row r="22" spans="2:15" s="21" customFormat="1" x14ac:dyDescent="0.45">
      <c r="B22" s="325"/>
      <c r="C22" s="326"/>
      <c r="D22" s="326"/>
      <c r="E22" s="341"/>
      <c r="F22" s="54"/>
      <c r="G22" s="54"/>
      <c r="H22" s="54"/>
      <c r="I22" s="54"/>
      <c r="J22" s="54"/>
      <c r="K22" s="54"/>
      <c r="L22" s="54"/>
      <c r="M22" s="54"/>
      <c r="N22" s="54"/>
      <c r="O22" s="54"/>
    </row>
    <row r="23" spans="2:15" s="21" customFormat="1" x14ac:dyDescent="0.45">
      <c r="B23" s="345"/>
      <c r="C23" s="346"/>
      <c r="D23" s="346"/>
      <c r="E23" s="347"/>
      <c r="F23" s="54"/>
      <c r="G23" s="54"/>
      <c r="H23" s="54"/>
      <c r="I23" s="54"/>
      <c r="J23" s="54"/>
      <c r="K23" s="54"/>
      <c r="L23" s="54"/>
      <c r="M23" s="54"/>
      <c r="N23" s="54"/>
      <c r="O23" s="54"/>
    </row>
    <row r="24" spans="2:15" s="21" customFormat="1" x14ac:dyDescent="0.45">
      <c r="B24" s="345" t="s">
        <v>124</v>
      </c>
      <c r="C24" s="346"/>
      <c r="D24" s="346"/>
      <c r="E24" s="347"/>
      <c r="F24" s="54"/>
      <c r="G24" s="54"/>
      <c r="H24" s="54"/>
      <c r="I24" s="54"/>
      <c r="J24" s="54"/>
      <c r="K24" s="54"/>
      <c r="L24" s="54"/>
      <c r="M24" s="54"/>
      <c r="N24" s="54"/>
      <c r="O24" s="54"/>
    </row>
    <row r="25" spans="2:15" s="21" customFormat="1" ht="14.65" thickBot="1" x14ac:dyDescent="0.5">
      <c r="B25" s="364" t="str">
        <f>IF(B19="cubic yards",B22*0.76455486,IF(B19="cubic foot",B22*0.02831685,IF(B19="board feet",B22*0.00235974,IF(B19="meters cubed",B22,"NA"))))</f>
        <v>NA</v>
      </c>
      <c r="C25" s="365"/>
      <c r="D25" s="365"/>
      <c r="E25" s="366"/>
      <c r="F25" s="54"/>
      <c r="G25" s="54"/>
      <c r="H25" s="54"/>
      <c r="I25" s="54"/>
      <c r="J25" s="54"/>
      <c r="K25" s="54"/>
      <c r="L25" s="54"/>
      <c r="M25" s="54"/>
      <c r="N25" s="54"/>
      <c r="O25" s="54"/>
    </row>
    <row r="26" spans="2:15" s="21" customFormat="1" ht="10.9" customHeight="1" thickBot="1" x14ac:dyDescent="0.5">
      <c r="B26" s="55"/>
      <c r="C26" s="55"/>
      <c r="D26" s="55"/>
      <c r="E26" s="54"/>
      <c r="F26" s="54"/>
      <c r="G26" s="54"/>
      <c r="H26" s="54"/>
      <c r="I26" s="54"/>
      <c r="J26" s="54"/>
      <c r="K26" s="54"/>
      <c r="L26" s="54"/>
      <c r="M26" s="54"/>
      <c r="N26" s="54"/>
      <c r="O26" s="54"/>
    </row>
    <row r="27" spans="2:15" ht="54.75" customHeight="1" thickTop="1" x14ac:dyDescent="0.85">
      <c r="B27" s="357" t="s">
        <v>125</v>
      </c>
      <c r="C27" s="358"/>
      <c r="D27" s="358"/>
      <c r="E27" s="359"/>
      <c r="F27" s="54"/>
      <c r="G27" s="150" t="s">
        <v>126</v>
      </c>
      <c r="H27" s="151" t="s">
        <v>127</v>
      </c>
      <c r="I27" s="151" t="s">
        <v>128</v>
      </c>
      <c r="J27" s="151" t="s">
        <v>129</v>
      </c>
      <c r="K27" s="151" t="s">
        <v>130</v>
      </c>
      <c r="L27" s="151" t="s">
        <v>131</v>
      </c>
      <c r="M27" s="151" t="s">
        <v>132</v>
      </c>
      <c r="N27" s="151" t="s">
        <v>58</v>
      </c>
      <c r="O27" s="152" t="s">
        <v>133</v>
      </c>
    </row>
    <row r="28" spans="2:15" ht="28.5" x14ac:dyDescent="0.45">
      <c r="B28" s="370" t="s">
        <v>134</v>
      </c>
      <c r="C28" s="371"/>
      <c r="D28" s="371"/>
      <c r="E28" s="372"/>
      <c r="F28" s="54"/>
      <c r="G28" s="153" t="s">
        <v>135</v>
      </c>
      <c r="H28" s="217">
        <f>IF(B94="no",0,IF(B94="",0,'A0 Factors'!P6))</f>
        <v>0</v>
      </c>
      <c r="I28" s="258">
        <f>IF(B39="no",0,IF(B39="",0,IF(B107="yes",'Calculation Factors m3 trans'!C3*B25+'Calculation Factors m3 trans'!C3*B25*B111,'Calculation Factors m3 trans'!C3*B25)))</f>
        <v>0</v>
      </c>
      <c r="J28" s="258">
        <f>IF(B39="no",0,IF(B39="",0,B25*'Calculation Factors m3 trans'!E3))</f>
        <v>0</v>
      </c>
      <c r="K28" s="258">
        <f>IF(B53="",0,IF(B53="yes",'transportation factors'!F15,IF(B53="no",'transportation factors'!F13,"NA")))</f>
        <v>0</v>
      </c>
      <c r="L28" s="258">
        <f>IF(B67="no",0,IF(B67="",0,B25*'Calculation Factors m3 trans'!F3))</f>
        <v>0</v>
      </c>
      <c r="M28" s="258">
        <f>IF(B67="no",0,IF(B67="",0,B25*'Calculation Factors m3 trans'!J3))</f>
        <v>0</v>
      </c>
      <c r="N28" s="258">
        <f>IF(B88="no",0,IF(B88="",0,IF(B70="",0,B25*'Calculation Factors m3 trans'!K3)))</f>
        <v>0</v>
      </c>
      <c r="O28" s="259">
        <f>SUM(I28:N28)</f>
        <v>0</v>
      </c>
    </row>
    <row r="29" spans="2:15" s="54" customFormat="1" x14ac:dyDescent="0.45">
      <c r="B29" s="325"/>
      <c r="C29" s="326"/>
      <c r="D29" s="326"/>
      <c r="E29" s="341"/>
      <c r="G29" s="401" t="s">
        <v>1</v>
      </c>
      <c r="H29" s="403" t="str">
        <f>IF(H28=0,"NA",B97)</f>
        <v>NA</v>
      </c>
      <c r="I29" s="338" t="str">
        <f>IF(I28=0,"NA",B45)</f>
        <v>NA</v>
      </c>
      <c r="J29" s="338" t="str">
        <f>IF(J28=0,"NA",B45)</f>
        <v>NA</v>
      </c>
      <c r="K29" s="338" t="str">
        <f>IF(K28=0,"NA",IF(B57="yes","Tally default distance and LCIs","Custom distance, Tally LCIs"))</f>
        <v>NA</v>
      </c>
      <c r="L29" s="338" t="str">
        <f>IF(L28=0,"NA",B48&amp;"-"&amp;B70&amp;"-"&amp;B73)</f>
        <v>NA</v>
      </c>
      <c r="M29" s="338" t="str">
        <f>IF(M28=0,"NA",B70&amp;"-"&amp;B73)</f>
        <v>NA</v>
      </c>
      <c r="N29" s="338" t="str">
        <f>IF(N28=0,"NA",B70&amp;"-"&amp;B73)</f>
        <v>NA</v>
      </c>
      <c r="O29" s="394" t="s">
        <v>137</v>
      </c>
    </row>
    <row r="30" spans="2:15" s="54" customFormat="1" x14ac:dyDescent="0.45">
      <c r="B30" s="39"/>
      <c r="C30" s="38"/>
      <c r="D30" s="38"/>
      <c r="E30" s="40"/>
      <c r="G30" s="401"/>
      <c r="H30" s="403"/>
      <c r="I30" s="338"/>
      <c r="J30" s="338"/>
      <c r="K30" s="338"/>
      <c r="L30" s="338"/>
      <c r="M30" s="338"/>
      <c r="N30" s="338"/>
      <c r="O30" s="394"/>
    </row>
    <row r="31" spans="2:15" ht="15.75" customHeight="1" x14ac:dyDescent="0.45">
      <c r="B31" s="39" t="s">
        <v>138</v>
      </c>
      <c r="C31" s="38"/>
      <c r="D31" s="38"/>
      <c r="E31" s="40"/>
      <c r="F31" s="54"/>
      <c r="G31" s="401"/>
      <c r="H31" s="403"/>
      <c r="I31" s="338"/>
      <c r="J31" s="338"/>
      <c r="K31" s="338"/>
      <c r="L31" s="338"/>
      <c r="M31" s="338"/>
      <c r="N31" s="338"/>
      <c r="O31" s="394"/>
    </row>
    <row r="32" spans="2:15" x14ac:dyDescent="0.45">
      <c r="B32" s="325"/>
      <c r="C32" s="326"/>
      <c r="D32" s="326"/>
      <c r="E32" s="40" t="s">
        <v>139</v>
      </c>
      <c r="F32" s="54"/>
      <c r="G32" s="401"/>
      <c r="H32" s="403"/>
      <c r="I32" s="338"/>
      <c r="J32" s="338"/>
      <c r="K32" s="338"/>
      <c r="L32" s="338"/>
      <c r="M32" s="338"/>
      <c r="N32" s="338"/>
      <c r="O32" s="394"/>
    </row>
    <row r="33" spans="2:15" x14ac:dyDescent="0.45">
      <c r="B33" s="379"/>
      <c r="C33" s="380"/>
      <c r="D33" s="380"/>
      <c r="E33" s="381"/>
      <c r="F33" s="54"/>
      <c r="G33" s="401"/>
      <c r="H33" s="403"/>
      <c r="I33" s="338"/>
      <c r="J33" s="338"/>
      <c r="K33" s="338"/>
      <c r="L33" s="338"/>
      <c r="M33" s="338"/>
      <c r="N33" s="338"/>
      <c r="O33" s="394"/>
    </row>
    <row r="34" spans="2:15" x14ac:dyDescent="0.45">
      <c r="B34" s="376" t="s">
        <v>140</v>
      </c>
      <c r="C34" s="377"/>
      <c r="D34" s="377"/>
      <c r="E34" s="378"/>
      <c r="F34" s="54"/>
      <c r="G34" s="401"/>
      <c r="H34" s="403"/>
      <c r="I34" s="338"/>
      <c r="J34" s="338"/>
      <c r="K34" s="338"/>
      <c r="L34" s="338"/>
      <c r="M34" s="338"/>
      <c r="N34" s="338"/>
      <c r="O34" s="394"/>
    </row>
    <row r="35" spans="2:15" ht="37.9" customHeight="1" thickBot="1" x14ac:dyDescent="0.5">
      <c r="B35" s="327"/>
      <c r="C35" s="328"/>
      <c r="D35" s="328"/>
      <c r="E35" s="43" t="s">
        <v>139</v>
      </c>
      <c r="F35" s="54"/>
      <c r="G35" s="402"/>
      <c r="H35" s="404"/>
      <c r="I35" s="339"/>
      <c r="J35" s="339"/>
      <c r="K35" s="339"/>
      <c r="L35" s="339"/>
      <c r="M35" s="339"/>
      <c r="N35" s="339"/>
      <c r="O35" s="395"/>
    </row>
    <row r="36" spans="2:15" ht="14.65" thickBot="1" x14ac:dyDescent="0.5">
      <c r="B36" s="54"/>
      <c r="C36" s="54"/>
      <c r="E36" s="54"/>
      <c r="F36" s="54"/>
      <c r="G36" s="71"/>
      <c r="H36" s="72"/>
      <c r="I36" s="72"/>
      <c r="J36" s="72"/>
      <c r="K36" s="72"/>
      <c r="L36" s="72"/>
      <c r="M36" s="72"/>
      <c r="N36" s="72"/>
      <c r="O36" s="73"/>
    </row>
    <row r="37" spans="2:15" s="54" customFormat="1" ht="54.75" customHeight="1" x14ac:dyDescent="0.85">
      <c r="B37" s="357" t="s">
        <v>141</v>
      </c>
      <c r="C37" s="358"/>
      <c r="D37" s="358"/>
      <c r="E37" s="359"/>
      <c r="G37" s="71"/>
      <c r="H37" s="72"/>
      <c r="I37" s="72"/>
      <c r="J37" s="72"/>
      <c r="K37" s="72"/>
      <c r="L37" s="72"/>
      <c r="M37" s="72"/>
      <c r="N37" s="72"/>
      <c r="O37" s="73"/>
    </row>
    <row r="38" spans="2:15" s="54" customFormat="1" ht="30.4" customHeight="1" x14ac:dyDescent="0.45">
      <c r="B38" s="376" t="s">
        <v>142</v>
      </c>
      <c r="C38" s="377"/>
      <c r="D38" s="377"/>
      <c r="E38" s="378"/>
      <c r="G38" s="71"/>
      <c r="H38" s="72"/>
      <c r="I38" s="72"/>
      <c r="J38" s="72"/>
      <c r="K38" s="72"/>
      <c r="L38" s="72"/>
      <c r="M38" s="72"/>
      <c r="N38" s="72"/>
      <c r="O38" s="73"/>
    </row>
    <row r="39" spans="2:15" s="54" customFormat="1" x14ac:dyDescent="0.45">
      <c r="B39" s="325"/>
      <c r="C39" s="326"/>
      <c r="D39" s="326"/>
      <c r="E39" s="341"/>
      <c r="G39" s="71"/>
      <c r="H39" s="72"/>
      <c r="I39" s="72"/>
      <c r="J39" s="72"/>
      <c r="K39" s="72"/>
      <c r="L39" s="72"/>
      <c r="M39" s="72"/>
      <c r="N39" s="72"/>
      <c r="O39" s="73"/>
    </row>
    <row r="40" spans="2:15" s="54" customFormat="1" x14ac:dyDescent="0.45">
      <c r="B40" s="210"/>
      <c r="C40" s="211"/>
      <c r="D40" s="211"/>
      <c r="E40" s="212"/>
      <c r="G40" s="71"/>
      <c r="H40" s="72"/>
      <c r="I40" s="72"/>
      <c r="J40" s="72"/>
      <c r="K40" s="72"/>
      <c r="L40" s="72"/>
      <c r="M40" s="72"/>
      <c r="N40" s="72"/>
      <c r="O40" s="73"/>
    </row>
    <row r="41" spans="2:15" s="54" customFormat="1" ht="15.75" x14ac:dyDescent="0.5">
      <c r="B41" s="331" t="s">
        <v>143</v>
      </c>
      <c r="C41" s="332"/>
      <c r="D41" s="332"/>
      <c r="E41" s="333"/>
      <c r="G41" s="71"/>
      <c r="H41" s="72"/>
      <c r="I41" s="72"/>
      <c r="J41" s="72"/>
      <c r="K41" s="72"/>
      <c r="L41" s="72"/>
      <c r="M41" s="72"/>
      <c r="N41" s="72"/>
      <c r="O41" s="73"/>
    </row>
    <row r="42" spans="2:15" s="54" customFormat="1" x14ac:dyDescent="0.45">
      <c r="B42" s="325"/>
      <c r="C42" s="326"/>
      <c r="D42" s="326"/>
      <c r="E42" s="341"/>
      <c r="G42" s="71"/>
      <c r="H42" s="72"/>
      <c r="I42" s="72"/>
      <c r="J42" s="72"/>
      <c r="K42" s="72"/>
      <c r="L42" s="72"/>
      <c r="M42" s="72"/>
      <c r="N42" s="72"/>
      <c r="O42" s="73"/>
    </row>
    <row r="43" spans="2:15" ht="31.5" customHeight="1" x14ac:dyDescent="0.45">
      <c r="B43" s="345"/>
      <c r="C43" s="346"/>
      <c r="D43" s="346"/>
      <c r="E43" s="347"/>
      <c r="F43" s="54"/>
      <c r="G43" s="71"/>
      <c r="H43" s="72"/>
      <c r="I43" s="72"/>
      <c r="J43" s="72"/>
      <c r="K43" s="72"/>
      <c r="L43" s="72"/>
      <c r="M43" s="72"/>
      <c r="N43" s="72"/>
      <c r="O43" s="73"/>
    </row>
    <row r="44" spans="2:15" ht="15.75" x14ac:dyDescent="0.5">
      <c r="B44" s="331" t="s">
        <v>145</v>
      </c>
      <c r="C44" s="332"/>
      <c r="D44" s="332"/>
      <c r="E44" s="333"/>
      <c r="F44" s="54"/>
      <c r="H44" s="54"/>
      <c r="I44" s="54"/>
      <c r="J44" s="54"/>
      <c r="K44" s="54"/>
      <c r="L44" s="54"/>
      <c r="M44" s="54"/>
      <c r="N44" s="60"/>
      <c r="O44" s="54"/>
    </row>
    <row r="45" spans="2:15" s="54" customFormat="1" x14ac:dyDescent="0.45">
      <c r="B45" s="325"/>
      <c r="C45" s="326"/>
      <c r="D45" s="326"/>
      <c r="E45" s="341"/>
      <c r="N45" s="60"/>
    </row>
    <row r="46" spans="2:15" s="54" customFormat="1" x14ac:dyDescent="0.45">
      <c r="B46" s="345"/>
      <c r="C46" s="346"/>
      <c r="D46" s="346"/>
      <c r="E46" s="347"/>
      <c r="N46" s="60"/>
    </row>
    <row r="47" spans="2:15" s="54" customFormat="1" ht="28.9" customHeight="1" x14ac:dyDescent="0.5">
      <c r="B47" s="342" t="s">
        <v>146</v>
      </c>
      <c r="C47" s="343"/>
      <c r="D47" s="343"/>
      <c r="E47" s="344"/>
      <c r="N47" s="60"/>
    </row>
    <row r="48" spans="2:15" s="54" customFormat="1" x14ac:dyDescent="0.45">
      <c r="B48" s="325"/>
      <c r="C48" s="326"/>
      <c r="D48" s="326"/>
      <c r="E48" s="341"/>
      <c r="N48" s="60"/>
    </row>
    <row r="49" spans="2:15" s="54" customFormat="1" ht="14.65" thickBot="1" x14ac:dyDescent="0.5">
      <c r="B49" s="448" t="str">
        <f>IF(B48="yes","it's highly recommended to define an end of life scenario in Step 5"," ")</f>
        <v xml:space="preserve"> </v>
      </c>
      <c r="C49" s="449"/>
      <c r="D49" s="449"/>
      <c r="E49" s="450"/>
      <c r="N49" s="60"/>
    </row>
    <row r="50" spans="2:15" ht="21.4" customHeight="1" thickBot="1" x14ac:dyDescent="0.5">
      <c r="B50" s="54"/>
      <c r="C50" s="54"/>
      <c r="E50" s="54"/>
      <c r="F50" s="54"/>
      <c r="H50" s="54"/>
      <c r="I50" s="54"/>
      <c r="J50" s="54"/>
      <c r="K50" s="54"/>
      <c r="L50" s="54"/>
      <c r="M50" s="54"/>
      <c r="N50" s="60"/>
      <c r="O50" s="54"/>
    </row>
    <row r="51" spans="2:15" ht="54" customHeight="1" x14ac:dyDescent="0.85">
      <c r="B51" s="357" t="s">
        <v>147</v>
      </c>
      <c r="C51" s="358"/>
      <c r="D51" s="358"/>
      <c r="E51" s="359"/>
      <c r="F51" s="54"/>
      <c r="G51" s="134" t="s">
        <v>126</v>
      </c>
      <c r="H51" s="135"/>
      <c r="I51" s="136" t="s">
        <v>148</v>
      </c>
      <c r="J51" s="136" t="s">
        <v>149</v>
      </c>
      <c r="K51" s="137" t="s">
        <v>133</v>
      </c>
      <c r="L51" s="54"/>
      <c r="M51" s="54"/>
      <c r="N51" s="54"/>
      <c r="O51" s="54"/>
    </row>
    <row r="52" spans="2:15" ht="33.75" customHeight="1" x14ac:dyDescent="0.45">
      <c r="B52" s="370" t="s">
        <v>150</v>
      </c>
      <c r="C52" s="371"/>
      <c r="D52" s="371"/>
      <c r="E52" s="372"/>
      <c r="F52" s="54"/>
      <c r="G52" s="399" t="s">
        <v>151</v>
      </c>
      <c r="H52" s="400"/>
      <c r="I52" s="260">
        <f>IF(B29="",0,IF(B29="no",0,B32))</f>
        <v>0</v>
      </c>
      <c r="J52" s="260">
        <f>O28</f>
        <v>0</v>
      </c>
      <c r="K52" s="261"/>
      <c r="L52" s="54"/>
      <c r="M52" s="38"/>
      <c r="N52" s="54"/>
      <c r="O52" s="54"/>
    </row>
    <row r="53" spans="2:15" s="54" customFormat="1" ht="15" customHeight="1" x14ac:dyDescent="0.45">
      <c r="B53" s="325"/>
      <c r="C53" s="326"/>
      <c r="D53" s="326"/>
      <c r="E53" s="341"/>
      <c r="G53" s="334" t="s">
        <v>152</v>
      </c>
      <c r="H53" s="335"/>
      <c r="I53" s="262" t="s">
        <v>61</v>
      </c>
      <c r="J53" s="260">
        <f>B35</f>
        <v>0</v>
      </c>
      <c r="K53" s="261"/>
      <c r="M53" s="38"/>
    </row>
    <row r="54" spans="2:15" s="54" customFormat="1" x14ac:dyDescent="0.45">
      <c r="B54" s="348"/>
      <c r="C54" s="349"/>
      <c r="D54" s="349"/>
      <c r="E54" s="350"/>
      <c r="G54" s="199" t="s">
        <v>153</v>
      </c>
      <c r="H54" s="200"/>
      <c r="I54" s="262"/>
      <c r="J54" s="262"/>
      <c r="K54" s="261">
        <f>J52+J53</f>
        <v>0</v>
      </c>
    </row>
    <row r="55" spans="2:15" s="54" customFormat="1" x14ac:dyDescent="0.45">
      <c r="B55" s="204"/>
      <c r="C55" s="205"/>
      <c r="D55" s="205"/>
      <c r="E55" s="206"/>
      <c r="G55" s="199" t="s">
        <v>154</v>
      </c>
      <c r="H55" s="200"/>
      <c r="I55" s="262" t="s">
        <v>137</v>
      </c>
      <c r="J55" s="260">
        <f>ABS(I52-SUM(J52:J53))</f>
        <v>0</v>
      </c>
      <c r="K55" s="261"/>
    </row>
    <row r="56" spans="2:15" s="53" customFormat="1" ht="37.5" customHeight="1" thickBot="1" x14ac:dyDescent="0.55000000000000004">
      <c r="B56" s="367" t="s">
        <v>155</v>
      </c>
      <c r="C56" s="368"/>
      <c r="D56" s="368"/>
      <c r="E56" s="369"/>
      <c r="F56" s="54"/>
      <c r="G56" s="336" t="s">
        <v>156</v>
      </c>
      <c r="H56" s="337"/>
      <c r="I56" s="263" t="s">
        <v>137</v>
      </c>
      <c r="J56" s="264" t="e">
        <f>J55/I52</f>
        <v>#DIV/0!</v>
      </c>
      <c r="K56" s="265"/>
      <c r="L56" s="54"/>
      <c r="M56" s="54"/>
      <c r="N56" s="54"/>
      <c r="O56" s="54"/>
    </row>
    <row r="57" spans="2:15" s="54" customFormat="1" x14ac:dyDescent="0.45">
      <c r="B57" s="325"/>
      <c r="C57" s="326"/>
      <c r="D57" s="326"/>
      <c r="E57" s="341"/>
    </row>
    <row r="58" spans="2:15" s="54" customFormat="1" ht="29.25" customHeight="1" x14ac:dyDescent="0.45">
      <c r="B58" s="351"/>
      <c r="C58" s="352"/>
      <c r="D58" s="352"/>
      <c r="E58" s="353"/>
      <c r="L58" s="44"/>
    </row>
    <row r="59" spans="2:15" s="53" customFormat="1" ht="33.75" customHeight="1" x14ac:dyDescent="0.5">
      <c r="B59" s="367" t="s">
        <v>158</v>
      </c>
      <c r="C59" s="368"/>
      <c r="D59" s="368"/>
      <c r="E59" s="369"/>
      <c r="F59" s="54"/>
      <c r="G59" s="54"/>
      <c r="H59" s="54"/>
      <c r="I59" s="54"/>
      <c r="J59" s="54"/>
      <c r="K59" s="62"/>
      <c r="L59" s="62"/>
      <c r="M59" s="62"/>
      <c r="N59" s="62"/>
      <c r="O59" s="62"/>
    </row>
    <row r="60" spans="2:15" s="48" customFormat="1" x14ac:dyDescent="0.45">
      <c r="B60" s="201" t="s">
        <v>159</v>
      </c>
      <c r="C60" s="329"/>
      <c r="D60" s="329"/>
      <c r="E60" s="203" t="s">
        <v>160</v>
      </c>
      <c r="F60" s="54"/>
      <c r="G60" s="54"/>
      <c r="H60" s="54"/>
      <c r="I60" s="54"/>
      <c r="J60" s="54"/>
      <c r="K60" s="61"/>
      <c r="L60" s="61"/>
      <c r="M60" s="61"/>
      <c r="N60" s="61"/>
      <c r="O60" s="61"/>
    </row>
    <row r="61" spans="2:15" s="48" customFormat="1" x14ac:dyDescent="0.45">
      <c r="B61" s="201" t="s">
        <v>161</v>
      </c>
      <c r="C61" s="329"/>
      <c r="D61" s="329"/>
      <c r="E61" s="203" t="s">
        <v>160</v>
      </c>
      <c r="F61" s="54"/>
      <c r="G61" s="54"/>
      <c r="H61" s="54"/>
      <c r="I61" s="54"/>
      <c r="J61" s="54"/>
      <c r="K61" s="61"/>
      <c r="L61" s="61"/>
      <c r="M61" s="61"/>
      <c r="N61" s="61"/>
      <c r="O61" s="61"/>
    </row>
    <row r="62" spans="2:15" s="48" customFormat="1" x14ac:dyDescent="0.45">
      <c r="B62" s="201" t="s">
        <v>162</v>
      </c>
      <c r="C62" s="329"/>
      <c r="D62" s="329"/>
      <c r="E62" s="203" t="s">
        <v>160</v>
      </c>
      <c r="F62" s="54"/>
      <c r="G62" s="54"/>
      <c r="H62" s="54"/>
      <c r="I62" s="54"/>
      <c r="J62" s="54"/>
      <c r="K62" s="61"/>
      <c r="L62" s="61"/>
      <c r="M62" s="61"/>
      <c r="N62" s="61"/>
      <c r="O62" s="61"/>
    </row>
    <row r="63" spans="2:15" s="52" customFormat="1" ht="14.65" thickBot="1" x14ac:dyDescent="0.5">
      <c r="B63" s="207" t="s">
        <v>163</v>
      </c>
      <c r="C63" s="330"/>
      <c r="D63" s="330"/>
      <c r="E63" s="209" t="s">
        <v>160</v>
      </c>
      <c r="F63" s="54"/>
      <c r="G63" s="54"/>
      <c r="H63" s="54"/>
      <c r="I63" s="54"/>
      <c r="J63" s="54"/>
      <c r="K63" s="54"/>
      <c r="L63" s="54"/>
      <c r="M63" s="54"/>
      <c r="N63" s="54"/>
      <c r="O63" s="54"/>
    </row>
    <row r="64" spans="2:15" ht="14.65" thickBot="1" x14ac:dyDescent="0.5">
      <c r="B64" s="54"/>
      <c r="C64" s="54"/>
      <c r="E64" s="54"/>
      <c r="F64" s="54"/>
      <c r="H64" s="54"/>
      <c r="I64" s="54"/>
      <c r="J64" s="54"/>
      <c r="K64" s="54"/>
      <c r="L64" s="54"/>
      <c r="M64" s="54"/>
      <c r="N64" s="54"/>
      <c r="O64" s="54"/>
    </row>
    <row r="65" spans="2:5" ht="61.5" customHeight="1" x14ac:dyDescent="0.85">
      <c r="B65" s="357" t="s">
        <v>164</v>
      </c>
      <c r="C65" s="358"/>
      <c r="D65" s="358"/>
      <c r="E65" s="359"/>
    </row>
    <row r="66" spans="2:5" ht="30.75" customHeight="1" x14ac:dyDescent="0.45">
      <c r="B66" s="354" t="s">
        <v>165</v>
      </c>
      <c r="C66" s="355"/>
      <c r="D66" s="355"/>
      <c r="E66" s="356"/>
    </row>
    <row r="67" spans="2:5" s="54" customFormat="1" x14ac:dyDescent="0.45">
      <c r="B67" s="325"/>
      <c r="C67" s="326"/>
      <c r="D67" s="326"/>
      <c r="E67" s="341"/>
    </row>
    <row r="68" spans="2:5" s="54" customFormat="1" x14ac:dyDescent="0.45">
      <c r="B68" s="351"/>
      <c r="C68" s="352"/>
      <c r="D68" s="352"/>
      <c r="E68" s="353"/>
    </row>
    <row r="69" spans="2:5" x14ac:dyDescent="0.45">
      <c r="B69" s="351" t="s">
        <v>166</v>
      </c>
      <c r="C69" s="352"/>
      <c r="D69" s="352"/>
      <c r="E69" s="353"/>
    </row>
    <row r="70" spans="2:5" ht="16.350000000000001" customHeight="1" x14ac:dyDescent="0.45">
      <c r="B70" s="325"/>
      <c r="C70" s="326"/>
      <c r="D70" s="326"/>
      <c r="E70" s="341"/>
    </row>
    <row r="71" spans="2:5" s="54" customFormat="1" ht="15.75" customHeight="1" x14ac:dyDescent="0.45">
      <c r="B71" s="210"/>
      <c r="C71" s="211"/>
      <c r="D71" s="211"/>
      <c r="E71" s="212"/>
    </row>
    <row r="72" spans="2:5" s="54" customFormat="1" ht="16.899999999999999" customHeight="1" x14ac:dyDescent="0.45">
      <c r="B72" s="210" t="s">
        <v>167</v>
      </c>
      <c r="C72" s="211"/>
      <c r="D72" s="211"/>
      <c r="E72" s="212"/>
    </row>
    <row r="73" spans="2:5" s="54" customFormat="1" ht="16.899999999999999" customHeight="1" x14ac:dyDescent="0.45">
      <c r="B73" s="325"/>
      <c r="C73" s="326"/>
      <c r="D73" s="326"/>
      <c r="E73" s="341"/>
    </row>
    <row r="74" spans="2:5" s="54" customFormat="1" ht="16.899999999999999" customHeight="1" x14ac:dyDescent="0.45">
      <c r="B74" s="210"/>
      <c r="C74" s="211"/>
      <c r="D74" s="211"/>
      <c r="E74" s="212"/>
    </row>
    <row r="75" spans="2:5" s="54" customFormat="1" ht="16.899999999999999" customHeight="1" x14ac:dyDescent="0.45">
      <c r="B75" s="144" t="s">
        <v>168</v>
      </c>
      <c r="C75" s="211"/>
      <c r="D75" s="211"/>
      <c r="E75" s="212"/>
    </row>
    <row r="76" spans="2:5" s="54" customFormat="1" ht="16.899999999999999" customHeight="1" x14ac:dyDescent="0.45">
      <c r="B76" s="144" t="s">
        <v>169</v>
      </c>
      <c r="C76" s="145" t="s">
        <v>170</v>
      </c>
      <c r="D76" s="145" t="s">
        <v>171</v>
      </c>
      <c r="E76" s="212"/>
    </row>
    <row r="77" spans="2:5" s="54" customFormat="1" ht="16.899999999999999" customHeight="1" x14ac:dyDescent="0.45">
      <c r="B77" s="210" t="str">
        <f>IF(B73="Tally","Landfill Blend", "Landfill")</f>
        <v>Landfill</v>
      </c>
      <c r="C77" s="266"/>
      <c r="D77" s="316" t="e">
        <f>C77*$B$25</f>
        <v>#VALUE!</v>
      </c>
      <c r="E77" s="212"/>
    </row>
    <row r="78" spans="2:5" s="54" customFormat="1" ht="29.25" customHeight="1" x14ac:dyDescent="0.45">
      <c r="B78" s="213" t="s">
        <v>172</v>
      </c>
      <c r="C78" s="266"/>
      <c r="D78" s="316" t="e">
        <f t="shared" ref="D78:D81" si="0">C78*$B$25</f>
        <v>#VALUE!</v>
      </c>
      <c r="E78" s="212"/>
    </row>
    <row r="79" spans="2:5" s="54" customFormat="1" ht="13.5" customHeight="1" x14ac:dyDescent="0.45">
      <c r="B79" s="210" t="s">
        <v>173</v>
      </c>
      <c r="C79" s="266"/>
      <c r="D79" s="316" t="e">
        <f t="shared" si="0"/>
        <v>#VALUE!</v>
      </c>
      <c r="E79" s="212"/>
    </row>
    <row r="80" spans="2:5" s="54" customFormat="1" ht="13.5" customHeight="1" x14ac:dyDescent="0.45">
      <c r="B80" s="210" t="s">
        <v>174</v>
      </c>
      <c r="C80" s="266"/>
      <c r="D80" s="316" t="e">
        <f t="shared" si="0"/>
        <v>#VALUE!</v>
      </c>
      <c r="E80" s="212"/>
    </row>
    <row r="81" spans="1:13" s="54" customFormat="1" ht="13.5" customHeight="1" x14ac:dyDescent="0.45">
      <c r="B81" s="210" t="s">
        <v>175</v>
      </c>
      <c r="C81" s="266"/>
      <c r="D81" s="316" t="e">
        <f t="shared" si="0"/>
        <v>#VALUE!</v>
      </c>
      <c r="E81" s="212"/>
    </row>
    <row r="82" spans="1:13" x14ac:dyDescent="0.45">
      <c r="A82" s="54"/>
      <c r="B82" s="351"/>
      <c r="C82" s="352"/>
      <c r="D82" s="352"/>
      <c r="E82" s="353"/>
      <c r="F82" s="54"/>
      <c r="H82" s="54"/>
      <c r="I82" s="54"/>
      <c r="J82" s="54"/>
      <c r="K82" s="54"/>
      <c r="L82" s="54"/>
      <c r="M82" s="54"/>
    </row>
    <row r="83" spans="1:13" ht="14.65" thickBot="1" x14ac:dyDescent="0.5">
      <c r="A83" s="54"/>
      <c r="B83" s="373"/>
      <c r="C83" s="374"/>
      <c r="D83" s="374"/>
      <c r="E83" s="375"/>
      <c r="F83" s="54"/>
      <c r="G83" s="324"/>
      <c r="H83" s="324"/>
      <c r="I83" s="324"/>
      <c r="J83" s="324"/>
      <c r="K83" s="324"/>
      <c r="L83" s="324"/>
      <c r="M83" s="61"/>
    </row>
    <row r="84" spans="1:13" ht="12.4" customHeight="1" x14ac:dyDescent="0.45">
      <c r="A84" s="38"/>
      <c r="B84" s="349"/>
      <c r="C84" s="349"/>
      <c r="D84" s="349"/>
      <c r="E84" s="349"/>
      <c r="F84" s="54"/>
      <c r="G84" s="232"/>
      <c r="H84" s="232"/>
      <c r="I84" s="232"/>
      <c r="J84" s="232"/>
      <c r="K84" s="232"/>
      <c r="L84" s="232"/>
      <c r="M84" s="61"/>
    </row>
    <row r="85" spans="1:13" s="54" customFormat="1" ht="14.65" thickBot="1" x14ac:dyDescent="0.5">
      <c r="B85" s="38"/>
      <c r="C85" s="38"/>
      <c r="D85" s="38"/>
      <c r="G85" s="61"/>
      <c r="H85" s="61"/>
      <c r="I85" s="61"/>
      <c r="J85" s="233"/>
      <c r="K85" s="61"/>
      <c r="L85" s="61"/>
      <c r="M85" s="61"/>
    </row>
    <row r="86" spans="1:13" ht="61.5" customHeight="1" x14ac:dyDescent="0.85">
      <c r="A86" s="54"/>
      <c r="B86" s="357" t="s">
        <v>176</v>
      </c>
      <c r="C86" s="358"/>
      <c r="D86" s="358"/>
      <c r="E86" s="359"/>
      <c r="F86" s="54"/>
      <c r="G86" s="61"/>
      <c r="H86" s="61"/>
      <c r="I86" s="61"/>
      <c r="J86" s="233"/>
      <c r="K86" s="61"/>
      <c r="L86" s="61"/>
      <c r="M86" s="61"/>
    </row>
    <row r="87" spans="1:13" ht="30.75" customHeight="1" x14ac:dyDescent="0.45">
      <c r="A87" s="54"/>
      <c r="B87" s="354" t="s">
        <v>177</v>
      </c>
      <c r="C87" s="355"/>
      <c r="D87" s="355"/>
      <c r="E87" s="356"/>
      <c r="F87" s="54"/>
      <c r="G87" s="61"/>
      <c r="H87" s="61"/>
      <c r="I87" s="61"/>
      <c r="J87" s="233"/>
      <c r="K87" s="61"/>
      <c r="L87" s="61"/>
      <c r="M87" s="61"/>
    </row>
    <row r="88" spans="1:13" s="54" customFormat="1" x14ac:dyDescent="0.45">
      <c r="B88" s="325"/>
      <c r="C88" s="326"/>
      <c r="D88" s="326"/>
      <c r="E88" s="341"/>
      <c r="G88" s="61"/>
      <c r="H88" s="61"/>
      <c r="I88" s="61"/>
      <c r="J88" s="233"/>
      <c r="K88" s="61"/>
      <c r="L88" s="61"/>
      <c r="M88" s="61"/>
    </row>
    <row r="89" spans="1:13" s="54" customFormat="1" ht="14.65" thickBot="1" x14ac:dyDescent="0.5">
      <c r="B89" s="207"/>
      <c r="C89" s="208"/>
      <c r="D89" s="208"/>
      <c r="E89" s="209"/>
      <c r="G89" s="61"/>
      <c r="H89" s="61"/>
      <c r="I89" s="61"/>
      <c r="J89" s="233"/>
      <c r="K89" s="61"/>
      <c r="L89" s="61"/>
      <c r="M89" s="61"/>
    </row>
    <row r="91" spans="1:13" ht="14.65" thickBot="1" x14ac:dyDescent="0.5">
      <c r="A91" s="54"/>
      <c r="B91" s="54"/>
      <c r="C91" s="54"/>
      <c r="E91" s="54"/>
      <c r="F91" s="54"/>
      <c r="H91" s="54"/>
      <c r="I91" s="54"/>
      <c r="J91" s="54"/>
      <c r="K91" s="54"/>
      <c r="L91" s="54"/>
      <c r="M91" s="54"/>
    </row>
    <row r="92" spans="1:13" ht="62.25" customHeight="1" x14ac:dyDescent="0.85">
      <c r="A92" s="54"/>
      <c r="B92" s="357" t="s">
        <v>178</v>
      </c>
      <c r="C92" s="358"/>
      <c r="D92" s="358"/>
      <c r="E92" s="359"/>
      <c r="F92" s="54"/>
      <c r="H92" s="54"/>
      <c r="I92" s="54"/>
      <c r="J92" s="54"/>
      <c r="K92" s="54"/>
      <c r="L92" s="54"/>
      <c r="M92" s="54"/>
    </row>
    <row r="93" spans="1:13" ht="42" customHeight="1" x14ac:dyDescent="0.45">
      <c r="A93" s="54"/>
      <c r="B93" s="370" t="s">
        <v>179</v>
      </c>
      <c r="C93" s="371"/>
      <c r="D93" s="371"/>
      <c r="E93" s="372"/>
      <c r="F93" s="54"/>
      <c r="H93" s="54"/>
      <c r="I93" s="54"/>
      <c r="J93" s="54"/>
      <c r="K93" s="54"/>
      <c r="L93" s="54"/>
      <c r="M93" s="54"/>
    </row>
    <row r="94" spans="1:13" s="54" customFormat="1" x14ac:dyDescent="0.45">
      <c r="B94" s="325"/>
      <c r="C94" s="326"/>
      <c r="D94" s="326"/>
      <c r="E94" s="341"/>
    </row>
    <row r="95" spans="1:13" s="54" customFormat="1" x14ac:dyDescent="0.45">
      <c r="B95" s="348"/>
      <c r="C95" s="349"/>
      <c r="D95" s="349"/>
      <c r="E95" s="350"/>
    </row>
    <row r="96" spans="1:13" x14ac:dyDescent="0.45">
      <c r="A96" s="54"/>
      <c r="B96" s="351" t="s">
        <v>180</v>
      </c>
      <c r="C96" s="352"/>
      <c r="D96" s="352"/>
      <c r="E96" s="353"/>
      <c r="F96" s="54"/>
      <c r="H96" s="54"/>
      <c r="I96" s="54"/>
      <c r="J96" s="54"/>
      <c r="K96" s="54"/>
      <c r="L96" s="54"/>
      <c r="M96" s="54"/>
    </row>
    <row r="97" spans="2:5" x14ac:dyDescent="0.45">
      <c r="B97" s="325"/>
      <c r="C97" s="326"/>
      <c r="D97" s="326"/>
      <c r="E97" s="341"/>
    </row>
    <row r="98" spans="2:5" s="54" customFormat="1" x14ac:dyDescent="0.45">
      <c r="B98" s="210"/>
      <c r="C98" s="211"/>
      <c r="D98" s="211"/>
      <c r="E98" s="212"/>
    </row>
    <row r="99" spans="2:5" s="54" customFormat="1" x14ac:dyDescent="0.45">
      <c r="B99" s="351" t="s">
        <v>182</v>
      </c>
      <c r="C99" s="352"/>
      <c r="D99" s="352"/>
      <c r="E99" s="353"/>
    </row>
    <row r="100" spans="2:5" s="54" customFormat="1" x14ac:dyDescent="0.45">
      <c r="B100" s="340"/>
      <c r="C100" s="329"/>
      <c r="D100" s="329"/>
      <c r="E100" s="197" t="s">
        <v>183</v>
      </c>
    </row>
    <row r="101" spans="2:5" s="54" customFormat="1" ht="14.65" thickBot="1" x14ac:dyDescent="0.5">
      <c r="B101" s="229"/>
      <c r="C101" s="230"/>
      <c r="D101" s="230"/>
      <c r="E101" s="231"/>
    </row>
    <row r="102" spans="2:5" x14ac:dyDescent="0.45">
      <c r="B102" s="38"/>
      <c r="C102" s="38"/>
      <c r="D102" s="38"/>
      <c r="E102" s="38"/>
    </row>
    <row r="103" spans="2:5" ht="64.5" customHeight="1" x14ac:dyDescent="0.85">
      <c r="B103" s="388" t="s">
        <v>184</v>
      </c>
      <c r="C103" s="389"/>
      <c r="D103" s="389"/>
      <c r="E103" s="390"/>
    </row>
    <row r="104" spans="2:5" ht="80.25" customHeight="1" x14ac:dyDescent="0.5">
      <c r="B104" s="342" t="s">
        <v>185</v>
      </c>
      <c r="C104" s="343"/>
      <c r="D104" s="343"/>
      <c r="E104" s="344"/>
    </row>
    <row r="105" spans="2:5" x14ac:dyDescent="0.45">
      <c r="B105" s="348"/>
      <c r="C105" s="349"/>
      <c r="D105" s="349"/>
      <c r="E105" s="350"/>
    </row>
    <row r="106" spans="2:5" s="54" customFormat="1" x14ac:dyDescent="0.45">
      <c r="B106" s="351" t="s">
        <v>186</v>
      </c>
      <c r="C106" s="352"/>
      <c r="D106" s="352"/>
      <c r="E106" s="353"/>
    </row>
    <row r="107" spans="2:5" s="54" customFormat="1" x14ac:dyDescent="0.45">
      <c r="B107" s="325"/>
      <c r="C107" s="326"/>
      <c r="D107" s="326"/>
      <c r="E107" s="341"/>
    </row>
    <row r="108" spans="2:5" s="54" customFormat="1" x14ac:dyDescent="0.45">
      <c r="B108" s="201"/>
      <c r="C108" s="202"/>
      <c r="D108" s="202"/>
      <c r="E108" s="203"/>
    </row>
    <row r="109" spans="2:5" x14ac:dyDescent="0.45">
      <c r="B109" s="39" t="s">
        <v>187</v>
      </c>
      <c r="C109" s="38"/>
      <c r="D109" s="38"/>
      <c r="E109" s="40"/>
    </row>
    <row r="110" spans="2:5" s="54" customFormat="1" ht="30" customHeight="1" x14ac:dyDescent="0.45">
      <c r="B110" s="391" t="s">
        <v>188</v>
      </c>
      <c r="C110" s="392"/>
      <c r="D110" s="392"/>
      <c r="E110" s="393"/>
    </row>
    <row r="111" spans="2:5" ht="14.65" thickBot="1" x14ac:dyDescent="0.5">
      <c r="B111" s="396"/>
      <c r="C111" s="397"/>
      <c r="D111" s="397"/>
      <c r="E111" s="398"/>
    </row>
    <row r="112" spans="2:5" ht="18.75" customHeight="1" x14ac:dyDescent="0.45">
      <c r="B112" s="54"/>
      <c r="C112" s="54"/>
      <c r="E112" s="54"/>
    </row>
    <row r="113" spans="1:5" ht="58.5" customHeight="1" x14ac:dyDescent="0.85">
      <c r="A113" s="61"/>
      <c r="B113" s="363"/>
      <c r="C113" s="363"/>
      <c r="D113" s="363"/>
      <c r="E113" s="363"/>
    </row>
    <row r="114" spans="1:5" ht="45.75" customHeight="1" x14ac:dyDescent="0.45">
      <c r="A114" s="61"/>
      <c r="B114" s="377"/>
      <c r="C114" s="377"/>
      <c r="D114" s="377"/>
      <c r="E114" s="377"/>
    </row>
    <row r="115" spans="1:5" x14ac:dyDescent="0.45">
      <c r="A115" s="61"/>
      <c r="B115" s="61"/>
      <c r="C115" s="61"/>
      <c r="D115" s="61"/>
      <c r="E115" s="61"/>
    </row>
  </sheetData>
  <mergeCells count="92">
    <mergeCell ref="B110:E110"/>
    <mergeCell ref="B49:E49"/>
    <mergeCell ref="B93:E93"/>
    <mergeCell ref="O29:O35"/>
    <mergeCell ref="B111:E111"/>
    <mergeCell ref="M29:M35"/>
    <mergeCell ref="N29:N35"/>
    <mergeCell ref="G52:H52"/>
    <mergeCell ref="G29:G35"/>
    <mergeCell ref="H29:H35"/>
    <mergeCell ref="I29:I35"/>
    <mergeCell ref="B59:E59"/>
    <mergeCell ref="B58:E58"/>
    <mergeCell ref="B92:E92"/>
    <mergeCell ref="B99:E99"/>
    <mergeCell ref="B82:E82"/>
    <mergeCell ref="B114:E114"/>
    <mergeCell ref="B39:E39"/>
    <mergeCell ref="B88:E88"/>
    <mergeCell ref="L8:M8"/>
    <mergeCell ref="N8:O8"/>
    <mergeCell ref="B8:C8"/>
    <mergeCell ref="B27:E27"/>
    <mergeCell ref="B28:E28"/>
    <mergeCell ref="B29:E29"/>
    <mergeCell ref="B53:E53"/>
    <mergeCell ref="B67:E67"/>
    <mergeCell ref="B68:E68"/>
    <mergeCell ref="B54:E54"/>
    <mergeCell ref="B94:E94"/>
    <mergeCell ref="B103:E103"/>
    <mergeCell ref="B104:E104"/>
    <mergeCell ref="B21:E21"/>
    <mergeCell ref="B43:E43"/>
    <mergeCell ref="B42:E42"/>
    <mergeCell ref="B41:E41"/>
    <mergeCell ref="B38:E38"/>
    <mergeCell ref="B37:E37"/>
    <mergeCell ref="B34:E34"/>
    <mergeCell ref="B33:E33"/>
    <mergeCell ref="B113:E113"/>
    <mergeCell ref="B25:E25"/>
    <mergeCell ref="B24:E24"/>
    <mergeCell ref="B23:E23"/>
    <mergeCell ref="B22:E22"/>
    <mergeCell ref="B57:E57"/>
    <mergeCell ref="B56:E56"/>
    <mergeCell ref="B52:E52"/>
    <mergeCell ref="B51:E51"/>
    <mergeCell ref="B87:E87"/>
    <mergeCell ref="B86:E86"/>
    <mergeCell ref="B84:E84"/>
    <mergeCell ref="B83:E83"/>
    <mergeCell ref="B107:E107"/>
    <mergeCell ref="B105:E105"/>
    <mergeCell ref="B106:E106"/>
    <mergeCell ref="B20:E20"/>
    <mergeCell ref="B19:E19"/>
    <mergeCell ref="B18:E18"/>
    <mergeCell ref="B17:E17"/>
    <mergeCell ref="B16:E16"/>
    <mergeCell ref="B15:E15"/>
    <mergeCell ref="B14:E14"/>
    <mergeCell ref="B13:E13"/>
    <mergeCell ref="B12:E12"/>
    <mergeCell ref="B11:E11"/>
    <mergeCell ref="B100:D100"/>
    <mergeCell ref="B48:E48"/>
    <mergeCell ref="B47:E47"/>
    <mergeCell ref="B46:E46"/>
    <mergeCell ref="B45:E45"/>
    <mergeCell ref="B73:E73"/>
    <mergeCell ref="B95:E95"/>
    <mergeCell ref="B96:E96"/>
    <mergeCell ref="B70:E70"/>
    <mergeCell ref="B69:E69"/>
    <mergeCell ref="B66:E66"/>
    <mergeCell ref="B65:E65"/>
    <mergeCell ref="B97:E97"/>
    <mergeCell ref="G83:L83"/>
    <mergeCell ref="B32:D32"/>
    <mergeCell ref="B35:D35"/>
    <mergeCell ref="C60:D60"/>
    <mergeCell ref="C61:D61"/>
    <mergeCell ref="C62:D62"/>
    <mergeCell ref="C63:D63"/>
    <mergeCell ref="B44:E44"/>
    <mergeCell ref="G53:H53"/>
    <mergeCell ref="G56:H56"/>
    <mergeCell ref="J29:J35"/>
    <mergeCell ref="K29:K35"/>
    <mergeCell ref="L29:L35"/>
  </mergeCells>
  <phoneticPr fontId="31" type="noConversion"/>
  <conditionalFormatting sqref="B109:E109 B110:B111">
    <cfRule type="expression" dxfId="21" priority="32">
      <formula>$B$107&lt;&gt;"yes"</formula>
    </cfRule>
  </conditionalFormatting>
  <conditionalFormatting sqref="B31:E31 B33:B35 E32">
    <cfRule type="expression" dxfId="20" priority="31">
      <formula>$B$29&lt;&gt;"yes"</formula>
    </cfRule>
  </conditionalFormatting>
  <conditionalFormatting sqref="B51:E53 B56:E58 B54:B55">
    <cfRule type="expression" dxfId="19" priority="30">
      <formula>$B$53="no"</formula>
    </cfRule>
  </conditionalFormatting>
  <conditionalFormatting sqref="B65:E72 B74:E83">
    <cfRule type="expression" dxfId="18" priority="27">
      <formula>$B$67="no"</formula>
    </cfRule>
  </conditionalFormatting>
  <conditionalFormatting sqref="B59:E59 B60:C63 E60:E63">
    <cfRule type="expression" dxfId="17" priority="26">
      <formula>$B$57&lt;&gt;"no"</formula>
    </cfRule>
  </conditionalFormatting>
  <conditionalFormatting sqref="B41:E49">
    <cfRule type="expression" dxfId="16" priority="24">
      <formula>$B$39=""</formula>
    </cfRule>
  </conditionalFormatting>
  <conditionalFormatting sqref="B92:E99 B100 E100 B101:E101">
    <cfRule type="expression" dxfId="15" priority="20">
      <formula>$B$94="no"</formula>
    </cfRule>
  </conditionalFormatting>
  <conditionalFormatting sqref="B37:E49">
    <cfRule type="expression" dxfId="14" priority="18">
      <formula>$B$39="no"</formula>
    </cfRule>
  </conditionalFormatting>
  <conditionalFormatting sqref="B86:E89">
    <cfRule type="expression" dxfId="13" priority="16">
      <formula>$B$88="no"</formula>
    </cfRule>
  </conditionalFormatting>
  <conditionalFormatting sqref="B103:E111">
    <cfRule type="expression" dxfId="12" priority="15">
      <formula>$B$107="no"</formula>
    </cfRule>
  </conditionalFormatting>
  <conditionalFormatting sqref="E35">
    <cfRule type="expression" dxfId="11" priority="13">
      <formula>$B$29&lt;&gt;"yes"</formula>
    </cfRule>
  </conditionalFormatting>
  <conditionalFormatting sqref="B32">
    <cfRule type="expression" dxfId="10" priority="12">
      <formula>$B$29&lt;&gt;"yes"</formula>
    </cfRule>
  </conditionalFormatting>
  <conditionalFormatting sqref="B56:E59 B60:C63 E60:E63">
    <cfRule type="expression" dxfId="9" priority="11">
      <formula>$B$53=""</formula>
    </cfRule>
  </conditionalFormatting>
  <conditionalFormatting sqref="B68:E72 B74:E83">
    <cfRule type="expression" dxfId="8" priority="10">
      <formula>$B$67=""</formula>
    </cfRule>
  </conditionalFormatting>
  <conditionalFormatting sqref="B96:E99 B100 E100 B101:E101">
    <cfRule type="expression" dxfId="7" priority="9">
      <formula>$B$94=""</formula>
    </cfRule>
  </conditionalFormatting>
  <conditionalFormatting sqref="B99:E99 B100 E100">
    <cfRule type="expression" dxfId="6" priority="7">
      <formula>$B$97&lt;&gt;"Custom"</formula>
    </cfRule>
  </conditionalFormatting>
  <conditionalFormatting sqref="B73:E73">
    <cfRule type="expression" dxfId="5" priority="4">
      <formula>$B$67="no"</formula>
    </cfRule>
  </conditionalFormatting>
  <conditionalFormatting sqref="B73:E73">
    <cfRule type="expression" dxfId="4" priority="3">
      <formula>$B$67=""</formula>
    </cfRule>
  </conditionalFormatting>
  <conditionalFormatting sqref="B78:D79">
    <cfRule type="expression" dxfId="3" priority="2">
      <formula>$B$73="Tally"</formula>
    </cfRule>
  </conditionalFormatting>
  <conditionalFormatting sqref="B72:E81">
    <cfRule type="expression" dxfId="2" priority="1">
      <formula>$B$70&lt;&gt;"custom"</formula>
    </cfRule>
  </conditionalFormatting>
  <conditionalFormatting sqref="G83:L89">
    <cfRule type="expression" dxfId="1" priority="38">
      <formula>#REF!&lt;&gt;"Observational Satellite Biomass Data"</formula>
    </cfRule>
  </conditionalFormatting>
  <dataValidations count="3">
    <dataValidation type="list" allowBlank="1" showInputMessage="1" showErrorMessage="1" sqref="B57 B107:E107 B29:E29 B53:E53 B67:E67 B94:E94 B39:E39 B88:E88 B48:E48" xr:uid="{E5593E75-7C0E-48F0-9FAE-32C6D25B1142}">
      <formula1>"yes, no"</formula1>
    </dataValidation>
    <dataValidation type="list" allowBlank="1" showInputMessage="1" showErrorMessage="1" sqref="B73:E73" xr:uid="{C7D80D64-CBBF-44A1-AD27-47C9734158C4}">
      <formula1>"Tally, EPA Warm"</formula1>
    </dataValidation>
    <dataValidation type="list" allowBlank="1" showInputMessage="1" showErrorMessage="1" sqref="B19:E19" xr:uid="{59DDF1ED-3F4D-49A7-86E2-A2291C8A59F5}">
      <formula1>"cubic foot,cubic yards,board feet,meters cubed"</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F0983085-FC75-4209-ACFD-F25BBFDDD762}">
          <x14:formula1>
            <xm:f>_xlfn.ANCHORARRAY('Sorting Tables'!$B$9)</xm:f>
          </x14:formula1>
          <xm:sqref>B14</xm:sqref>
        </x14:dataValidation>
        <x14:dataValidation type="list" allowBlank="1" showInputMessage="1" showErrorMessage="1" xr:uid="{1A31CAA4-5F46-44C6-A544-97CB55B7EFCD}">
          <x14:formula1>
            <xm:f>_xlfn.ANCHORARRAY('Sorting Tables'!$D$9)</xm:f>
          </x14:formula1>
          <xm:sqref>B42</xm:sqref>
        </x14:dataValidation>
        <x14:dataValidation type="list" allowBlank="1" showInputMessage="1" showErrorMessage="1" xr:uid="{BDD474C1-0F48-4E66-99C9-421EE3836322}">
          <x14:formula1>
            <xm:f>_xlfn.ANCHORARRAY('Sorting Tables'!$F$9)</xm:f>
          </x14:formula1>
          <xm:sqref>B45</xm:sqref>
        </x14:dataValidation>
        <x14:dataValidation type="list" allowBlank="1" showInputMessage="1" showErrorMessage="1" xr:uid="{DDDB3A83-6A2C-4861-B1F3-B92C206C9028}">
          <x14:formula1>
            <xm:f>_xlfn.ANCHORARRAY('Sorting Tables'!$L$9)</xm:f>
          </x14:formula1>
          <xm:sqref>B97</xm:sqref>
        </x14:dataValidation>
        <x14:dataValidation type="list" allowBlank="1" showInputMessage="1" showErrorMessage="1" xr:uid="{CC4836CC-0C7B-41E3-8210-DDED8BDDD51D}">
          <x14:formula1>
            <xm:f>_xlfn.ANCHORARRAY('Sorting Tables'!$H$9)</xm:f>
          </x14:formula1>
          <xm:sqref>B70:E70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41B78-6731-439B-AF4C-EB96756EC5A7}">
  <sheetPr>
    <tabColor theme="9" tint="0.59999389629810485"/>
  </sheetPr>
  <dimension ref="A1:F21"/>
  <sheetViews>
    <sheetView zoomScale="85" zoomScaleNormal="85" workbookViewId="0">
      <selection activeCell="D34" sqref="D34"/>
    </sheetView>
    <sheetView workbookViewId="1"/>
    <sheetView workbookViewId="2"/>
  </sheetViews>
  <sheetFormatPr defaultRowHeight="14.25" x14ac:dyDescent="0.45"/>
  <cols>
    <col min="2" max="2" width="13.19921875" customWidth="1"/>
    <col min="3" max="3" width="19.53125" bestFit="1" customWidth="1"/>
    <col min="4" max="4" width="67.33203125" bestFit="1" customWidth="1"/>
    <col min="5" max="5" width="101.1328125" bestFit="1" customWidth="1"/>
  </cols>
  <sheetData>
    <row r="1" spans="1:6" ht="29.65" customHeight="1" thickBot="1" x14ac:dyDescent="0.5">
      <c r="A1" s="54"/>
    </row>
    <row r="2" spans="1:6" x14ac:dyDescent="0.45">
      <c r="B2" s="293" t="s">
        <v>396</v>
      </c>
      <c r="C2" s="294" t="s">
        <v>192</v>
      </c>
      <c r="D2" s="294" t="s">
        <v>397</v>
      </c>
      <c r="E2" s="295" t="s">
        <v>398</v>
      </c>
      <c r="F2" s="5"/>
    </row>
    <row r="3" spans="1:6" x14ac:dyDescent="0.45">
      <c r="B3" s="284" t="s">
        <v>17</v>
      </c>
      <c r="C3" s="143" t="s">
        <v>399</v>
      </c>
      <c r="D3" s="143" t="s">
        <v>400</v>
      </c>
      <c r="E3" s="290" t="s">
        <v>401</v>
      </c>
      <c r="F3" s="5"/>
    </row>
    <row r="4" spans="1:6" x14ac:dyDescent="0.45">
      <c r="B4" s="285"/>
      <c r="C4" s="143" t="s">
        <v>71</v>
      </c>
      <c r="D4" s="143" t="s">
        <v>402</v>
      </c>
      <c r="E4" s="290" t="s">
        <v>403</v>
      </c>
      <c r="F4" s="5"/>
    </row>
    <row r="5" spans="1:6" x14ac:dyDescent="0.45">
      <c r="B5" s="285"/>
      <c r="C5" s="143" t="s">
        <v>71</v>
      </c>
      <c r="D5" s="143" t="s">
        <v>404</v>
      </c>
      <c r="E5" s="290" t="s">
        <v>405</v>
      </c>
      <c r="F5" s="5"/>
    </row>
    <row r="6" spans="1:6" x14ac:dyDescent="0.45">
      <c r="B6" s="286"/>
      <c r="C6" s="143" t="s">
        <v>71</v>
      </c>
      <c r="D6" s="143" t="s">
        <v>406</v>
      </c>
      <c r="E6" s="290" t="s">
        <v>407</v>
      </c>
      <c r="F6" s="5"/>
    </row>
    <row r="7" spans="1:6" x14ac:dyDescent="0.45">
      <c r="B7" s="284" t="s">
        <v>53</v>
      </c>
      <c r="C7" s="143" t="s">
        <v>399</v>
      </c>
      <c r="D7" s="143" t="s">
        <v>408</v>
      </c>
      <c r="E7" s="290" t="s">
        <v>409</v>
      </c>
      <c r="F7" s="5"/>
    </row>
    <row r="8" spans="1:6" x14ac:dyDescent="0.45">
      <c r="B8" s="285"/>
      <c r="C8" s="143" t="s">
        <v>399</v>
      </c>
      <c r="D8" s="143" t="s">
        <v>410</v>
      </c>
      <c r="E8" s="290" t="s">
        <v>411</v>
      </c>
      <c r="F8" s="5"/>
    </row>
    <row r="9" spans="1:6" x14ac:dyDescent="0.45">
      <c r="B9" s="285"/>
      <c r="C9" s="143" t="s">
        <v>399</v>
      </c>
      <c r="D9" s="143" t="s">
        <v>412</v>
      </c>
      <c r="E9" s="290" t="s">
        <v>409</v>
      </c>
      <c r="F9" s="5"/>
    </row>
    <row r="10" spans="1:6" x14ac:dyDescent="0.45">
      <c r="B10" s="285"/>
      <c r="C10" s="143" t="s">
        <v>413</v>
      </c>
      <c r="D10" s="143" t="s">
        <v>414</v>
      </c>
      <c r="E10" s="290" t="s">
        <v>415</v>
      </c>
      <c r="F10" s="5"/>
    </row>
    <row r="11" spans="1:6" x14ac:dyDescent="0.45">
      <c r="B11" s="285"/>
      <c r="C11" s="143" t="s">
        <v>416</v>
      </c>
      <c r="D11" s="143" t="s">
        <v>417</v>
      </c>
      <c r="E11" s="291" t="s">
        <v>418</v>
      </c>
      <c r="F11" s="5"/>
    </row>
    <row r="12" spans="1:6" x14ac:dyDescent="0.45">
      <c r="B12" s="286"/>
      <c r="C12" s="143" t="s">
        <v>419</v>
      </c>
      <c r="D12" s="143" t="s">
        <v>420</v>
      </c>
      <c r="E12" s="290" t="s">
        <v>421</v>
      </c>
      <c r="F12" s="5"/>
    </row>
    <row r="13" spans="1:6" x14ac:dyDescent="0.45">
      <c r="B13" s="163" t="s">
        <v>24</v>
      </c>
      <c r="C13" s="143" t="s">
        <v>399</v>
      </c>
      <c r="D13" s="143" t="s">
        <v>422</v>
      </c>
      <c r="E13" s="287"/>
      <c r="F13" s="5"/>
    </row>
    <row r="14" spans="1:6" x14ac:dyDescent="0.45">
      <c r="B14" s="284" t="s">
        <v>25</v>
      </c>
      <c r="C14" s="143" t="s">
        <v>399</v>
      </c>
      <c r="D14" s="143" t="s">
        <v>235</v>
      </c>
      <c r="E14" s="290" t="s">
        <v>423</v>
      </c>
      <c r="F14" s="5"/>
    </row>
    <row r="15" spans="1:6" x14ac:dyDescent="0.45">
      <c r="B15" s="286"/>
      <c r="C15" s="143" t="s">
        <v>399</v>
      </c>
      <c r="D15" s="143" t="s">
        <v>424</v>
      </c>
      <c r="E15" s="290" t="s">
        <v>425</v>
      </c>
      <c r="F15" s="5"/>
    </row>
    <row r="16" spans="1:6" x14ac:dyDescent="0.45">
      <c r="B16" s="288" t="s">
        <v>26</v>
      </c>
      <c r="C16" s="143" t="s">
        <v>399</v>
      </c>
      <c r="D16" s="143" t="s">
        <v>426</v>
      </c>
      <c r="E16" s="290" t="s">
        <v>425</v>
      </c>
      <c r="F16" s="5"/>
    </row>
    <row r="17" spans="2:6" x14ac:dyDescent="0.45">
      <c r="B17" s="284" t="s">
        <v>427</v>
      </c>
      <c r="C17" s="143" t="s">
        <v>399</v>
      </c>
      <c r="D17" s="143" t="s">
        <v>428</v>
      </c>
      <c r="E17" s="290" t="s">
        <v>429</v>
      </c>
      <c r="F17" s="5"/>
    </row>
    <row r="18" spans="2:6" x14ac:dyDescent="0.45">
      <c r="B18" s="286"/>
      <c r="C18" s="143" t="s">
        <v>399</v>
      </c>
      <c r="D18" s="143" t="s">
        <v>430</v>
      </c>
      <c r="E18" s="290" t="s">
        <v>431</v>
      </c>
      <c r="F18" s="5"/>
    </row>
    <row r="19" spans="2:6" x14ac:dyDescent="0.45">
      <c r="B19" s="284" t="s">
        <v>432</v>
      </c>
      <c r="C19" s="143" t="s">
        <v>399</v>
      </c>
      <c r="D19" s="143" t="s">
        <v>433</v>
      </c>
      <c r="E19" s="290" t="s">
        <v>434</v>
      </c>
      <c r="F19" s="5"/>
    </row>
    <row r="20" spans="2:6" ht="14.65" thickBot="1" x14ac:dyDescent="0.5">
      <c r="B20" s="289"/>
      <c r="C20" s="166" t="s">
        <v>399</v>
      </c>
      <c r="D20" s="166" t="s">
        <v>435</v>
      </c>
      <c r="E20" s="292" t="s">
        <v>409</v>
      </c>
      <c r="F20" s="5"/>
    </row>
    <row r="21" spans="2:6" x14ac:dyDescent="0.45">
      <c r="B21" s="5"/>
      <c r="C21" s="5"/>
      <c r="D21" s="5"/>
      <c r="E21" s="5"/>
      <c r="F21" s="5"/>
    </row>
  </sheetData>
  <hyperlinks>
    <hyperlink ref="E3" r:id="rId1" xr:uid="{AE47A83A-C09E-4494-BB54-091469CDDA69}"/>
    <hyperlink ref="E4" r:id="rId2" xr:uid="{97ECF24C-F689-4B95-8E85-F929EDC1E01F}"/>
    <hyperlink ref="E5" r:id="rId3" display="https://www.structurlam.com/wp-content/uploads/2021/02/Structurlam-Environmental-Product-Declaration-Glulam.pdf" xr:uid="{B3D68A44-C90A-4876-8600-7AA10D88471C}"/>
    <hyperlink ref="E6" r:id="rId4" xr:uid="{5F698E80-219C-4AEB-843C-F1E7D6100DB9}"/>
    <hyperlink ref="E7" r:id="rId5" display="https://www.awc.org/pdf/greenbuilding/epd/AWC-EPD-Glulam-1307.pdf" xr:uid="{A0F1DAE9-F498-49FC-A7DE-97CF34912789}"/>
    <hyperlink ref="E8" r:id="rId6" display="https://www.awc.org/pdf/greenbuilding/epd/AWC_EPD_NorthAmericanGluedLaminatedTimber_20200605.pdf" xr:uid="{E21695DC-1855-43A9-9456-817C7E4EAEE8}"/>
    <hyperlink ref="E9" r:id="rId7" display="https://www.awc.org/pdf/greenbuilding/epd/AWC-EPD-Glulam-1307.pdf" xr:uid="{0F8CFDA9-BA1C-4973-8193-C486C5898417}"/>
    <hyperlink ref="E10" r:id="rId8" xr:uid="{B39A39D0-AEAC-49E6-B7BD-DB61328EAE52}"/>
    <hyperlink ref="E11" r:id="rId9" display="https://corrim.org/wp-content/uploads/Module-G2-SE-Glulam.pdf" xr:uid="{85DE002C-06A0-411D-ABC2-CA7602CC61DD}"/>
    <hyperlink ref="E12" r:id="rId10" xr:uid="{29E8D2A0-F9D7-4B37-99BD-97CA33F1844C}"/>
    <hyperlink ref="E14" r:id="rId11" display="https://www.awc.org/pdf/greenbuilding/epd/AWC_EPD_NorthAmericanLaminatedVeneerLumber_20200605.pdf" xr:uid="{D29F0F3A-DE47-4053-AC37-4E3690903CEF}"/>
    <hyperlink ref="E15" r:id="rId12" xr:uid="{238F84CD-C834-4EB4-9191-CB2C3FCB38AE}"/>
    <hyperlink ref="E16" r:id="rId13" xr:uid="{53036430-0E53-47A5-919A-F7E509F39BEF}"/>
    <hyperlink ref="E17" r:id="rId14" xr:uid="{3FCE4DE6-65FA-43E6-908A-205EBCE93C15}"/>
    <hyperlink ref="E18" r:id="rId15" xr:uid="{94E07773-0FCE-4160-B0F7-B873BE869C83}"/>
    <hyperlink ref="E19" r:id="rId16" display="https://www.awc.org/pdf/greenbuilding/epd/AWC_EPD_NorthAmericanSoftwoodLumber_20200605.pdf" xr:uid="{5D2A8F80-80F5-4CBB-B7C3-6A4A39435822}"/>
    <hyperlink ref="E20" r:id="rId17" display="https://www.awc.org/pdf/greenbuilding/epd/AWC-EPD-SoftwoodLumber-1307.pdf" xr:uid="{9C48E3EC-7D3C-4A48-B631-F037676672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A25F-6CFF-4446-9F5A-06A6B77E8E5F}">
  <dimension ref="B6:O39"/>
  <sheetViews>
    <sheetView zoomScale="85" zoomScaleNormal="85" workbookViewId="0">
      <selection activeCell="F4" sqref="F4"/>
    </sheetView>
    <sheetView workbookViewId="1"/>
    <sheetView workbookViewId="2"/>
  </sheetViews>
  <sheetFormatPr defaultRowHeight="14.25" x14ac:dyDescent="0.45"/>
  <cols>
    <col min="2" max="2" width="31.59765625" customWidth="1"/>
    <col min="3" max="3" width="23.265625" style="16" customWidth="1"/>
    <col min="4" max="4" width="26.1328125" style="16" customWidth="1"/>
    <col min="5" max="5" width="30.59765625" style="16" customWidth="1"/>
    <col min="6" max="6" width="31.1328125" style="16" customWidth="1"/>
    <col min="7" max="7" width="22.73046875" style="16" customWidth="1"/>
    <col min="8" max="8" width="17.1328125" style="16" customWidth="1"/>
    <col min="9" max="9" width="24" customWidth="1"/>
  </cols>
  <sheetData>
    <row r="6" spans="2:15" ht="14.65" thickBot="1" x14ac:dyDescent="0.5">
      <c r="B6" s="54"/>
      <c r="C6" s="56"/>
      <c r="D6" s="56"/>
      <c r="E6" s="56"/>
      <c r="F6" s="56"/>
      <c r="G6" s="56"/>
      <c r="H6" s="56"/>
      <c r="I6" s="54"/>
      <c r="J6" s="54"/>
      <c r="K6" s="54"/>
      <c r="L6" s="54"/>
      <c r="M6" s="54"/>
      <c r="N6" s="54"/>
      <c r="O6" s="54"/>
    </row>
    <row r="7" spans="2:15" ht="14.65" thickBot="1" x14ac:dyDescent="0.5">
      <c r="B7" s="405" t="s">
        <v>189</v>
      </c>
      <c r="C7" s="406"/>
      <c r="D7" s="406"/>
      <c r="E7" s="406"/>
      <c r="F7" s="406"/>
      <c r="G7" s="406"/>
      <c r="H7" s="406"/>
      <c r="I7" s="406"/>
      <c r="J7" s="407"/>
      <c r="K7" s="54"/>
      <c r="L7" s="405" t="s">
        <v>190</v>
      </c>
      <c r="M7" s="406"/>
      <c r="N7" s="407"/>
      <c r="O7" s="54"/>
    </row>
    <row r="8" spans="2:15" ht="57" x14ac:dyDescent="0.45">
      <c r="B8" s="58" t="s">
        <v>191</v>
      </c>
      <c r="C8" s="2" t="s">
        <v>192</v>
      </c>
      <c r="D8" s="2" t="s">
        <v>193</v>
      </c>
      <c r="E8" s="2" t="s">
        <v>194</v>
      </c>
      <c r="F8" s="2" t="s">
        <v>195</v>
      </c>
      <c r="G8" s="2" t="s">
        <v>82</v>
      </c>
      <c r="H8" s="2" t="s">
        <v>196</v>
      </c>
      <c r="I8" s="2" t="s">
        <v>89</v>
      </c>
      <c r="J8" s="2" t="s">
        <v>197</v>
      </c>
      <c r="K8" s="54"/>
      <c r="L8" s="2" t="s">
        <v>69</v>
      </c>
      <c r="M8" s="2" t="s">
        <v>198</v>
      </c>
      <c r="N8" s="2" t="s">
        <v>199</v>
      </c>
      <c r="O8" s="54"/>
    </row>
    <row r="9" spans="2:15" ht="28.5" x14ac:dyDescent="0.45">
      <c r="B9" s="54" t="str" cm="1">
        <f t="array" ref="B9:B16">_xlfn.UNIQUE('Calculation Factors m3 trans'!A8:A196)</f>
        <v>CLT</v>
      </c>
      <c r="C9" s="56" cm="1">
        <f t="array" ref="C9:C10">_xlfn._xlws.FILTER('Calculation Factors m3 trans'!B8:B64,'Calculation Factors m3 trans'!A8:A64='Scenario 1 - Calc Sheet'!B14)</f>
        <v>0</v>
      </c>
      <c r="D9" s="56" cm="1">
        <f t="array" ref="D9:D10">_xlfn.UNIQUE(C9:C100)</f>
        <v>0</v>
      </c>
      <c r="E9" s="56" cm="1">
        <f t="array" ref="E9:E10">_xlfn._xlws.FILTER('Calculation Factors m3 trans'!C8:C64,'Calculation Factors m3 trans'!B8:B64='Scenario 1 - Calc Sheet'!B42)</f>
        <v>0</v>
      </c>
      <c r="F9" s="56" cm="1">
        <f t="array" ref="F9:F10">_xlfn.UNIQUE(E9:E100)</f>
        <v>0</v>
      </c>
      <c r="G9" s="56" t="e" cm="1" vm="1">
        <f t="array" ref="G9">_xlfn._xlws.FILTER('Calculation Factors m3 trans'!H8:H64,'Calculation Factors m3 trans'!E8:E64='Calculation Factors m3 trans'!H3)</f>
        <v>#VALUE!</v>
      </c>
      <c r="H9" s="56" t="e" cm="1" vm="2">
        <f t="array" ref="H9:H11">_xlfn.UNIQUE(G9:G100)</f>
        <v>#VALUE!</v>
      </c>
      <c r="I9" s="54" cm="1">
        <f t="array" ref="I9:I10">_xlfn._xlws.FILTER('Calculation Factors m3 trans'!H8:H64,'Calculation Factors m3 trans'!C8:C64='Scenario 1 - Calc Sheet'!B45)</f>
        <v>0</v>
      </c>
      <c r="J9" s="54" cm="1">
        <f t="array" ref="J9:J10">_xlfn.UNIQUE(I9:I100)</f>
        <v>0</v>
      </c>
      <c r="K9" s="54"/>
      <c r="L9" s="54" cm="1">
        <f t="array" ref="L9:L10">_xlfn.UNIQUE('A0 Factors'!B6:B37)</f>
        <v>0</v>
      </c>
      <c r="M9" s="54" t="str" cm="1">
        <f t="array" ref="M9:M39">_xlfn._xlws.FILTER('A0 Factors'!C6:C37,'A0 Factors'!B6:B37='Scenario 1 - Calc Sheet'!B97)</f>
        <v>coming soon!</v>
      </c>
      <c r="N9" s="54" t="str" cm="1">
        <f t="array" ref="N9:N11">_xlfn.UNIQUE(M9:M100)</f>
        <v>coming soon!</v>
      </c>
      <c r="O9" s="54"/>
    </row>
    <row r="10" spans="2:15" ht="28.5" x14ac:dyDescent="0.45">
      <c r="B10" s="54" t="str">
        <v>Glulam</v>
      </c>
      <c r="C10" s="56">
        <v>0</v>
      </c>
      <c r="D10" s="56">
        <v>0</v>
      </c>
      <c r="E10" s="56">
        <v>0</v>
      </c>
      <c r="F10" s="56">
        <v>0</v>
      </c>
      <c r="G10" s="56"/>
      <c r="H10" s="56">
        <v>0</v>
      </c>
      <c r="I10" s="54">
        <v>0</v>
      </c>
      <c r="J10" s="54">
        <v>0</v>
      </c>
      <c r="K10" s="54"/>
      <c r="L10" s="54" t="str">
        <v>Custom</v>
      </c>
      <c r="M10" s="54">
        <v>0</v>
      </c>
      <c r="N10" s="54">
        <v>0</v>
      </c>
      <c r="O10" s="54"/>
    </row>
    <row r="11" spans="2:15" ht="57" x14ac:dyDescent="0.45">
      <c r="B11" s="54" t="str">
        <v>LSL/OSL</v>
      </c>
      <c r="C11" s="56"/>
      <c r="D11" s="56"/>
      <c r="E11" s="56"/>
      <c r="F11" s="56"/>
      <c r="G11" s="56"/>
      <c r="H11" s="56">
        <v>0</v>
      </c>
      <c r="I11" s="54"/>
      <c r="J11" s="54"/>
      <c r="K11" s="54"/>
      <c r="L11" s="54"/>
      <c r="M11" s="54">
        <v>0</v>
      </c>
      <c r="N11" s="54">
        <v>0</v>
      </c>
      <c r="O11" s="54"/>
    </row>
    <row r="12" spans="2:15" ht="28.5" x14ac:dyDescent="0.45">
      <c r="B12" s="54" t="str">
        <v>LVL</v>
      </c>
      <c r="C12" s="56"/>
      <c r="D12" s="56"/>
      <c r="E12" s="56"/>
      <c r="F12" s="56"/>
      <c r="G12" s="56"/>
      <c r="H12" s="56"/>
      <c r="I12" s="54"/>
      <c r="J12" s="54"/>
      <c r="K12" s="54"/>
      <c r="L12" s="54"/>
      <c r="M12" s="54">
        <v>0</v>
      </c>
      <c r="N12" s="54"/>
      <c r="O12" s="54"/>
    </row>
    <row r="13" spans="2:15" ht="28.5" x14ac:dyDescent="0.45">
      <c r="B13" s="54" t="str">
        <v>PSL</v>
      </c>
      <c r="C13" s="56"/>
      <c r="D13" s="56"/>
      <c r="E13" s="56"/>
      <c r="F13" s="56"/>
      <c r="G13" s="56"/>
      <c r="H13" s="56"/>
      <c r="I13" s="54"/>
      <c r="J13" s="54"/>
      <c r="K13" s="54"/>
      <c r="L13" s="54"/>
      <c r="M13" s="54">
        <v>0</v>
      </c>
      <c r="N13" s="54"/>
      <c r="O13" s="54"/>
    </row>
    <row r="14" spans="2:15" ht="28.5" x14ac:dyDescent="0.45">
      <c r="B14" s="54" t="str">
        <v>heavy timber</v>
      </c>
      <c r="C14" s="56"/>
      <c r="D14" s="56"/>
      <c r="E14" s="56"/>
      <c r="F14" s="56"/>
      <c r="G14" s="56"/>
      <c r="H14" s="56"/>
      <c r="I14" s="54"/>
      <c r="J14" s="54"/>
      <c r="K14" s="54"/>
      <c r="L14" s="54"/>
      <c r="M14" s="54">
        <v>0</v>
      </c>
      <c r="N14" s="54"/>
      <c r="O14" s="54"/>
    </row>
    <row r="15" spans="2:15" ht="28.5" x14ac:dyDescent="0.45">
      <c r="B15" s="54" t="str">
        <v>wood framing</v>
      </c>
      <c r="C15" s="56"/>
      <c r="D15" s="56"/>
      <c r="E15" s="56"/>
      <c r="F15" s="56"/>
      <c r="G15" s="56"/>
      <c r="H15" s="56"/>
      <c r="I15" s="54"/>
      <c r="J15" s="54"/>
      <c r="K15" s="54"/>
      <c r="L15" s="54"/>
      <c r="M15" s="54">
        <v>0</v>
      </c>
      <c r="N15" s="54"/>
      <c r="O15" s="54"/>
    </row>
    <row r="16" spans="2:15" ht="28.5" x14ac:dyDescent="0.45">
      <c r="B16" s="54">
        <v>0</v>
      </c>
      <c r="C16" s="56"/>
      <c r="D16" s="56"/>
      <c r="E16" s="56"/>
      <c r="F16" s="56"/>
      <c r="G16" s="56"/>
      <c r="H16" s="56"/>
      <c r="I16" s="54"/>
      <c r="J16" s="54"/>
      <c r="K16" s="54"/>
      <c r="L16" s="54"/>
      <c r="M16" s="54">
        <v>0</v>
      </c>
      <c r="N16" s="54"/>
      <c r="O16" s="54"/>
    </row>
    <row r="17" spans="3:15" ht="28.5" x14ac:dyDescent="0.45">
      <c r="C17" s="56"/>
      <c r="D17" s="56"/>
      <c r="E17" s="56"/>
      <c r="F17" s="56"/>
      <c r="G17" s="56"/>
      <c r="H17" s="56"/>
      <c r="I17" s="54"/>
      <c r="J17" s="54"/>
      <c r="K17" s="54"/>
      <c r="L17" s="54"/>
      <c r="M17" s="54">
        <v>0</v>
      </c>
      <c r="N17" s="54"/>
      <c r="O17" s="54"/>
    </row>
    <row r="18" spans="3:15" ht="28.5" x14ac:dyDescent="0.45">
      <c r="C18" s="56"/>
      <c r="D18" s="56"/>
      <c r="E18" s="56"/>
      <c r="F18" s="56"/>
      <c r="G18" s="56"/>
      <c r="H18" s="56"/>
      <c r="I18" s="54"/>
      <c r="J18" s="54"/>
      <c r="K18" s="54"/>
      <c r="L18" s="54"/>
      <c r="M18" s="54">
        <v>0</v>
      </c>
      <c r="N18" s="54"/>
      <c r="O18" s="54"/>
    </row>
    <row r="19" spans="3:15" ht="28.5" x14ac:dyDescent="0.45">
      <c r="C19" s="56"/>
      <c r="D19" s="56"/>
      <c r="E19" s="56"/>
      <c r="F19" s="56"/>
      <c r="G19" s="56"/>
      <c r="H19" s="56"/>
      <c r="I19" s="54"/>
      <c r="J19" s="54"/>
      <c r="K19" s="54"/>
      <c r="L19" s="54"/>
      <c r="M19" s="54" t="str">
        <v>coming soon!</v>
      </c>
      <c r="N19" s="54"/>
      <c r="O19" s="54"/>
    </row>
    <row r="20" spans="3:15" ht="28.5" x14ac:dyDescent="0.45">
      <c r="C20" s="56"/>
      <c r="D20" s="56"/>
      <c r="E20" s="56"/>
      <c r="F20" s="56"/>
      <c r="G20" s="56"/>
      <c r="H20" s="56"/>
      <c r="I20" s="54"/>
      <c r="J20" s="54"/>
      <c r="K20" s="54"/>
      <c r="L20" s="54"/>
      <c r="M20" s="54">
        <v>0</v>
      </c>
      <c r="N20" s="54"/>
      <c r="O20" s="54"/>
    </row>
    <row r="21" spans="3:15" ht="28.5" x14ac:dyDescent="0.45">
      <c r="C21" s="56"/>
      <c r="D21" s="56"/>
      <c r="E21" s="56"/>
      <c r="F21" s="56"/>
      <c r="G21" s="56"/>
      <c r="H21" s="56"/>
      <c r="I21" s="54"/>
      <c r="J21" s="54"/>
      <c r="K21" s="54"/>
      <c r="L21" s="54"/>
      <c r="M21" s="54">
        <v>0</v>
      </c>
      <c r="N21" s="54"/>
      <c r="O21" s="54"/>
    </row>
    <row r="22" spans="3:15" ht="28.5" x14ac:dyDescent="0.45">
      <c r="C22" s="56"/>
      <c r="D22" s="56"/>
      <c r="E22" s="56"/>
      <c r="F22" s="56"/>
      <c r="G22" s="56"/>
      <c r="H22" s="56"/>
      <c r="I22" s="54"/>
      <c r="J22" s="54"/>
      <c r="K22" s="54"/>
      <c r="L22" s="54"/>
      <c r="M22" s="54">
        <v>0</v>
      </c>
      <c r="N22" s="54"/>
      <c r="O22" s="54"/>
    </row>
    <row r="23" spans="3:15" ht="28.5" x14ac:dyDescent="0.45">
      <c r="C23" s="56"/>
      <c r="D23" s="56"/>
      <c r="E23" s="56"/>
      <c r="F23" s="56"/>
      <c r="G23" s="56">
        <f>IF('Scenario 1 - Calc Sheet'!B48="yes","custom",0)</f>
        <v>0</v>
      </c>
      <c r="H23" s="56"/>
      <c r="I23" s="54"/>
      <c r="J23" s="54"/>
      <c r="K23" s="54"/>
      <c r="L23" s="54"/>
      <c r="M23" s="54">
        <v>0</v>
      </c>
      <c r="N23" s="54"/>
      <c r="O23" s="54"/>
    </row>
    <row r="24" spans="3:15" ht="28.5" x14ac:dyDescent="0.45">
      <c r="C24" s="56"/>
      <c r="D24" s="56"/>
      <c r="E24" s="56"/>
      <c r="F24" s="56"/>
      <c r="G24" s="56"/>
      <c r="H24" s="56"/>
      <c r="I24" s="54"/>
      <c r="J24" s="54"/>
      <c r="K24" s="54"/>
      <c r="L24" s="54"/>
      <c r="M24" s="54">
        <v>0</v>
      </c>
      <c r="N24" s="54"/>
      <c r="O24" s="54"/>
    </row>
    <row r="25" spans="3:15" ht="28.5" x14ac:dyDescent="0.45">
      <c r="C25" s="56"/>
      <c r="D25" s="56"/>
      <c r="E25" s="56"/>
      <c r="F25" s="56"/>
      <c r="G25" s="56"/>
      <c r="H25" s="56"/>
      <c r="I25" s="54"/>
      <c r="J25" s="54"/>
      <c r="K25" s="54"/>
      <c r="L25" s="54"/>
      <c r="M25" s="54">
        <v>0</v>
      </c>
      <c r="N25" s="54"/>
      <c r="O25" s="54"/>
    </row>
    <row r="26" spans="3:15" x14ac:dyDescent="0.45">
      <c r="C26" s="56"/>
      <c r="D26" s="56"/>
      <c r="E26" s="56"/>
      <c r="F26" s="56"/>
      <c r="G26" s="56"/>
      <c r="H26" s="56"/>
      <c r="I26" s="54"/>
      <c r="J26" s="54"/>
      <c r="K26" s="54"/>
      <c r="L26" s="54"/>
      <c r="M26" s="54">
        <v>0</v>
      </c>
      <c r="N26" s="54"/>
      <c r="O26" s="54"/>
    </row>
    <row r="27" spans="3:15" x14ac:dyDescent="0.45">
      <c r="C27" s="56"/>
      <c r="D27" s="56"/>
      <c r="E27" s="56"/>
      <c r="F27" s="56"/>
      <c r="G27" s="56"/>
      <c r="H27" s="56"/>
      <c r="I27" s="54"/>
      <c r="J27" s="54"/>
      <c r="K27" s="54"/>
      <c r="L27" s="54"/>
      <c r="M27" s="54">
        <v>0</v>
      </c>
      <c r="N27" s="54"/>
      <c r="O27" s="54"/>
    </row>
    <row r="28" spans="3:15" x14ac:dyDescent="0.45">
      <c r="C28" s="56"/>
      <c r="D28" s="56"/>
      <c r="E28" s="56"/>
      <c r="F28" s="56"/>
      <c r="G28" s="56"/>
      <c r="H28" s="56"/>
      <c r="I28" s="54"/>
      <c r="J28" s="54"/>
      <c r="K28" s="54"/>
      <c r="L28" s="54"/>
      <c r="M28" s="54">
        <v>0</v>
      </c>
      <c r="N28" s="54"/>
      <c r="O28" s="54"/>
    </row>
    <row r="29" spans="3:15" x14ac:dyDescent="0.45">
      <c r="C29" s="56"/>
      <c r="D29" s="56"/>
      <c r="E29" s="56"/>
      <c r="F29" s="56"/>
      <c r="G29" s="56"/>
      <c r="H29" s="56"/>
      <c r="I29" s="54"/>
      <c r="J29" s="54"/>
      <c r="K29" s="54"/>
      <c r="L29" s="54"/>
      <c r="M29" s="54" t="str">
        <v>coming soon!</v>
      </c>
      <c r="N29" s="54"/>
      <c r="O29" s="54"/>
    </row>
    <row r="30" spans="3:15" x14ac:dyDescent="0.45">
      <c r="C30" s="56"/>
      <c r="D30" s="56"/>
      <c r="E30" s="56"/>
      <c r="F30" s="56"/>
      <c r="G30" s="56"/>
      <c r="H30" s="56"/>
      <c r="I30" s="54"/>
      <c r="J30" s="54"/>
      <c r="K30" s="54"/>
      <c r="L30" s="54"/>
      <c r="M30" s="54">
        <v>0</v>
      </c>
      <c r="N30" s="54"/>
      <c r="O30" s="54"/>
    </row>
    <row r="31" spans="3:15" x14ac:dyDescent="0.45">
      <c r="C31" s="56"/>
      <c r="D31" s="56"/>
      <c r="E31" s="56"/>
      <c r="F31" s="56"/>
      <c r="G31" s="56"/>
      <c r="H31" s="56"/>
      <c r="I31" s="54"/>
      <c r="J31" s="54"/>
      <c r="K31" s="54"/>
      <c r="L31" s="54"/>
      <c r="M31" s="54">
        <v>0</v>
      </c>
      <c r="N31" s="54"/>
      <c r="O31" s="54"/>
    </row>
    <row r="32" spans="3:15" x14ac:dyDescent="0.45">
      <c r="C32" s="56"/>
      <c r="D32" s="56"/>
      <c r="E32" s="56"/>
      <c r="F32" s="56"/>
      <c r="G32" s="56"/>
      <c r="H32" s="56"/>
      <c r="I32" s="54"/>
      <c r="J32" s="54"/>
      <c r="K32" s="54"/>
      <c r="L32" s="54"/>
      <c r="M32" s="54">
        <v>0</v>
      </c>
      <c r="N32" s="54"/>
      <c r="O32" s="54"/>
    </row>
    <row r="33" spans="13:13" x14ac:dyDescent="0.45">
      <c r="M33" s="54">
        <v>0</v>
      </c>
    </row>
    <row r="34" spans="13:13" x14ac:dyDescent="0.45">
      <c r="M34" s="54">
        <v>0</v>
      </c>
    </row>
    <row r="35" spans="13:13" x14ac:dyDescent="0.45">
      <c r="M35">
        <v>0</v>
      </c>
    </row>
    <row r="36" spans="13:13" x14ac:dyDescent="0.45">
      <c r="M36">
        <v>0</v>
      </c>
    </row>
    <row r="37" spans="13:13" x14ac:dyDescent="0.45">
      <c r="M37">
        <v>0</v>
      </c>
    </row>
    <row r="38" spans="13:13" x14ac:dyDescent="0.45">
      <c r="M38">
        <v>0</v>
      </c>
    </row>
    <row r="39" spans="13:13" x14ac:dyDescent="0.45">
      <c r="M39">
        <v>0</v>
      </c>
    </row>
  </sheetData>
  <mergeCells count="2">
    <mergeCell ref="L7:N7"/>
    <mergeCell ref="B7:J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8EED0-F588-4A5D-AE75-298306A8BE52}">
  <dimension ref="A1:AB74"/>
  <sheetViews>
    <sheetView topLeftCell="C1" zoomScale="70" zoomScaleNormal="70" workbookViewId="0">
      <selection activeCell="F4" sqref="F4"/>
    </sheetView>
    <sheetView workbookViewId="1"/>
    <sheetView workbookViewId="2"/>
  </sheetViews>
  <sheetFormatPr defaultRowHeight="14.25" x14ac:dyDescent="0.45"/>
  <cols>
    <col min="1" max="1" width="14.73046875" customWidth="1"/>
    <col min="2" max="2" width="21" style="16" customWidth="1"/>
    <col min="3" max="3" width="26.1328125" style="16" customWidth="1"/>
    <col min="4" max="4" width="26.1328125" style="56" customWidth="1"/>
    <col min="5" max="5" width="31" style="16" customWidth="1"/>
    <col min="6" max="6" width="29.86328125" style="16" customWidth="1"/>
    <col min="7" max="7" width="29.86328125" style="56" customWidth="1"/>
    <col min="8" max="9" width="23" style="16" customWidth="1"/>
    <col min="10" max="10" width="26" style="16" customWidth="1"/>
    <col min="11" max="11" width="9.3984375" customWidth="1"/>
    <col min="12" max="12" width="21.265625" customWidth="1"/>
    <col min="13" max="13" width="13" style="16" customWidth="1"/>
    <col min="14" max="14" width="12.73046875" style="16" customWidth="1"/>
    <col min="15" max="15" width="13.265625" style="16" bestFit="1" customWidth="1"/>
    <col min="16" max="16" width="10.86328125" style="16" bestFit="1" customWidth="1"/>
    <col min="17" max="17" width="9.265625" style="16" customWidth="1"/>
    <col min="18" max="18" width="12.265625" style="16" bestFit="1" customWidth="1"/>
    <col min="19" max="20" width="12.86328125" style="16" bestFit="1" customWidth="1"/>
    <col min="21" max="21" width="9" style="16"/>
    <col min="22" max="22" width="13.86328125" style="16" bestFit="1" customWidth="1"/>
    <col min="23" max="23" width="9" style="16"/>
    <col min="24" max="24" width="11.86328125" style="16" bestFit="1" customWidth="1"/>
    <col min="25" max="25" width="13.265625" bestFit="1" customWidth="1"/>
  </cols>
  <sheetData>
    <row r="1" spans="1:27" s="21" customFormat="1" ht="14.65" thickBot="1" x14ac:dyDescent="0.5">
      <c r="A1" s="54"/>
      <c r="B1" s="56"/>
      <c r="C1" s="56"/>
      <c r="D1" s="56"/>
      <c r="E1" s="56"/>
      <c r="F1" s="56"/>
      <c r="G1" s="56"/>
      <c r="H1" s="56"/>
      <c r="I1" s="56"/>
      <c r="J1" s="56"/>
      <c r="K1" s="54"/>
      <c r="L1" s="54"/>
      <c r="M1" s="56"/>
      <c r="N1" s="56"/>
      <c r="O1" s="56"/>
      <c r="P1" s="56"/>
      <c r="Q1" s="56"/>
      <c r="R1" s="56"/>
      <c r="S1" s="56"/>
      <c r="T1" s="56"/>
      <c r="U1" s="56"/>
      <c r="V1" s="56"/>
      <c r="W1" s="56"/>
      <c r="X1" s="56"/>
      <c r="Y1" s="54"/>
      <c r="Z1" s="54"/>
      <c r="AA1" s="54"/>
    </row>
    <row r="2" spans="1:27" s="21" customFormat="1" ht="28.5" x14ac:dyDescent="0.45">
      <c r="A2" s="54"/>
      <c r="B2" s="296" t="s">
        <v>200</v>
      </c>
      <c r="C2" s="297" t="str">
        <f>T7</f>
        <v>A1-3 - Product total</v>
      </c>
      <c r="D2" s="297" t="s">
        <v>201</v>
      </c>
      <c r="E2" s="297" t="s">
        <v>102</v>
      </c>
      <c r="F2" s="297" t="s">
        <v>202</v>
      </c>
      <c r="G2" s="297" t="s">
        <v>96</v>
      </c>
      <c r="H2" s="297" t="s">
        <v>203</v>
      </c>
      <c r="I2" s="297" t="s">
        <v>204</v>
      </c>
      <c r="J2" s="297" t="s">
        <v>205</v>
      </c>
      <c r="K2" s="297" t="s">
        <v>58</v>
      </c>
      <c r="L2" s="298" t="s">
        <v>206</v>
      </c>
      <c r="M2" s="56"/>
      <c r="N2" s="56"/>
      <c r="O2" s="56"/>
      <c r="P2" s="56"/>
      <c r="Q2" s="56"/>
      <c r="R2" s="56"/>
      <c r="S2" s="56"/>
      <c r="T2" s="56"/>
      <c r="U2" s="56"/>
      <c r="V2" s="56"/>
      <c r="W2" s="56"/>
      <c r="X2" s="56"/>
      <c r="Y2" s="54"/>
      <c r="Z2" s="54"/>
      <c r="AA2" s="54"/>
    </row>
    <row r="3" spans="1:27" s="21" customFormat="1" ht="100.5" customHeight="1" thickBot="1" x14ac:dyDescent="0.5">
      <c r="A3" s="54"/>
      <c r="B3" s="34" t="str">
        <f>'Scenario 1 - Calc Sheet'!B14&amp;" "&amp;'Scenario 1 - Calc Sheet'!B42&amp;" "&amp;'Scenario 1 - Calc Sheet'!B45</f>
        <v xml:space="preserve">  </v>
      </c>
      <c r="C3" s="299" t="str">
        <f>_xlfn.XLOOKUP(B3,F8:F64,T8:T64,"NA",0)</f>
        <v>NA</v>
      </c>
      <c r="D3" s="299" t="str">
        <f>'Scenario 1 - Calc Sheet'!B14&amp;" "&amp;'Scenario 1 - Calc Sheet'!B42&amp;" "&amp;'Scenario 1 - Calc Sheet'!B45&amp;" "&amp;'Scenario 1 - Calc Sheet'!B48</f>
        <v xml:space="preserve">   </v>
      </c>
      <c r="E3" s="299">
        <f>IF('Scenario 1 - Calc Sheet'!B48="yes",_xlfn.XLOOKUP(D3,G8:G64,R8:R64,"NA",0),0)</f>
        <v>0</v>
      </c>
      <c r="F3" s="299" t="str">
        <f>IF('Scenario 1 - Calc Sheet'!B70="custom",'EOL Factors'!H7/'Scenario 1 - Calc Sheet'!B25,_xlfn.XLOOKUP(I3,I8:I64,N8:N64,"NA",0))</f>
        <v>NA</v>
      </c>
      <c r="G3" s="315">
        <f>_xlfn.XLOOKUP(B3,F8:F64,M8:M64,0)</f>
        <v>0</v>
      </c>
      <c r="H3" s="299" t="str">
        <f>'Scenario 1 - Calc Sheet'!B45&amp;" "&amp;'Scenario 1 - Calc Sheet'!B48</f>
        <v xml:space="preserve"> </v>
      </c>
      <c r="I3" s="299" t="str">
        <f>'Scenario 1 - Calc Sheet'!B45&amp;" "&amp;'Scenario 1 - Calc Sheet'!B70</f>
        <v xml:space="preserve"> </v>
      </c>
      <c r="J3" s="313" t="str">
        <f>IF('Scenario 1 - Calc Sheet'!B70="custom",'EOL Factors'!H6/'Scenario 1 - Calc Sheet'!B25,_xlfn.XLOOKUP(I3,I8:I64,O8:O64,"NA",0))</f>
        <v>NA</v>
      </c>
      <c r="K3" s="313" t="str">
        <f>IF('Scenario 1 - Calc Sheet'!B70="custom",'EOL Factors'!H8/'Scenario 1 - Calc Sheet'!B25,_xlfn.XLOOKUP(I3,J8:J64,Q8:Q64,"NA",0))</f>
        <v>NA</v>
      </c>
      <c r="L3" s="314" t="str">
        <f>_xlfn.XLOOKUP(B3,F8:F64,Y8:Y64,"NA",0)</f>
        <v>NA</v>
      </c>
      <c r="M3" s="56" t="s">
        <v>126</v>
      </c>
      <c r="N3" s="56"/>
      <c r="O3" s="56"/>
      <c r="P3" s="56"/>
      <c r="Q3" s="56"/>
      <c r="R3" s="56"/>
      <c r="S3" s="56"/>
      <c r="T3" s="49"/>
      <c r="U3" s="56"/>
      <c r="V3" s="56"/>
      <c r="W3" s="56"/>
      <c r="X3" s="56"/>
      <c r="Y3" s="54"/>
      <c r="Z3" s="54"/>
      <c r="AA3" s="54"/>
    </row>
    <row r="4" spans="1:27" s="21" customFormat="1" x14ac:dyDescent="0.45">
      <c r="A4" s="54"/>
      <c r="B4" s="56"/>
      <c r="C4" s="56"/>
      <c r="D4" s="56"/>
      <c r="E4" s="56"/>
      <c r="F4" s="56"/>
      <c r="G4" s="56"/>
      <c r="H4" s="56"/>
      <c r="I4" s="56"/>
      <c r="J4" s="56"/>
      <c r="K4" s="54"/>
      <c r="L4" s="54"/>
      <c r="M4" s="56"/>
      <c r="N4" s="56"/>
      <c r="O4" s="56"/>
      <c r="P4" s="56"/>
      <c r="Q4" s="56"/>
      <c r="R4" s="56"/>
      <c r="S4" s="56"/>
      <c r="T4" s="56"/>
      <c r="U4" s="56"/>
      <c r="V4" s="56"/>
      <c r="W4" s="56"/>
      <c r="X4" s="56"/>
      <c r="Y4" s="54"/>
      <c r="Z4" s="54"/>
      <c r="AA4" s="54"/>
    </row>
    <row r="5" spans="1:27" s="21" customFormat="1" x14ac:dyDescent="0.45">
      <c r="A5" s="54"/>
      <c r="B5" s="56"/>
      <c r="C5" s="56"/>
      <c r="D5" s="56"/>
      <c r="E5" s="56"/>
      <c r="F5" s="56"/>
      <c r="G5" s="56"/>
      <c r="H5" s="56"/>
      <c r="I5" s="56"/>
      <c r="J5" s="56"/>
      <c r="K5" s="54"/>
      <c r="L5" s="54"/>
      <c r="M5" s="56"/>
      <c r="N5" s="56"/>
      <c r="O5" s="56"/>
      <c r="P5" s="56"/>
      <c r="Q5" s="56"/>
      <c r="R5" s="56"/>
      <c r="S5" s="56"/>
      <c r="T5" s="56"/>
      <c r="U5" s="56"/>
      <c r="V5" s="56"/>
      <c r="W5" s="56"/>
      <c r="X5" s="56"/>
      <c r="Y5" s="54"/>
      <c r="Z5" s="54"/>
      <c r="AA5" s="54"/>
    </row>
    <row r="6" spans="1:27" s="21" customFormat="1" x14ac:dyDescent="0.45">
      <c r="A6" s="54"/>
      <c r="B6" s="56"/>
      <c r="C6" s="56"/>
      <c r="D6" s="56"/>
      <c r="E6" s="56"/>
      <c r="F6" s="56"/>
      <c r="G6" s="56"/>
      <c r="H6" s="56"/>
      <c r="I6" s="56"/>
      <c r="J6" s="56"/>
      <c r="K6" s="54"/>
      <c r="L6" s="54"/>
      <c r="M6" s="56"/>
      <c r="N6" s="56"/>
      <c r="O6" s="56"/>
      <c r="P6" s="56"/>
      <c r="Q6" s="56"/>
      <c r="R6" s="56"/>
      <c r="S6" s="56"/>
      <c r="T6" s="56"/>
      <c r="U6" s="56"/>
      <c r="V6" s="56"/>
      <c r="W6" s="56"/>
      <c r="X6" s="56"/>
      <c r="Y6" s="54"/>
      <c r="Z6" s="54"/>
      <c r="AA6" s="54"/>
    </row>
    <row r="7" spans="1:27" s="58" customFormat="1" ht="71.25" x14ac:dyDescent="0.45">
      <c r="A7" s="300" t="s">
        <v>16</v>
      </c>
      <c r="B7" s="109" t="s">
        <v>192</v>
      </c>
      <c r="C7" s="109" t="s">
        <v>76</v>
      </c>
      <c r="D7" s="110" t="s">
        <v>207</v>
      </c>
      <c r="E7" s="110" t="s">
        <v>208</v>
      </c>
      <c r="F7" s="107" t="s">
        <v>209</v>
      </c>
      <c r="G7" s="107" t="s">
        <v>210</v>
      </c>
      <c r="H7" s="107" t="s">
        <v>211</v>
      </c>
      <c r="I7" s="107" t="s">
        <v>212</v>
      </c>
      <c r="J7" s="107" t="s">
        <v>213</v>
      </c>
      <c r="K7" s="108" t="s">
        <v>1</v>
      </c>
      <c r="L7" s="108" t="s">
        <v>11</v>
      </c>
      <c r="M7" s="36" t="s">
        <v>96</v>
      </c>
      <c r="N7" s="36" t="s">
        <v>214</v>
      </c>
      <c r="O7" s="111" t="s">
        <v>215</v>
      </c>
      <c r="P7" s="111" t="s">
        <v>99</v>
      </c>
      <c r="Q7" s="111" t="s">
        <v>42</v>
      </c>
      <c r="R7" s="36" t="s">
        <v>216</v>
      </c>
      <c r="S7" s="111" t="s">
        <v>44</v>
      </c>
      <c r="T7" s="111" t="s">
        <v>45</v>
      </c>
      <c r="U7" s="36" t="s">
        <v>46</v>
      </c>
      <c r="V7" s="36" t="s">
        <v>47</v>
      </c>
      <c r="W7" s="36" t="s">
        <v>48</v>
      </c>
      <c r="X7" s="36" t="s">
        <v>103</v>
      </c>
      <c r="Y7" s="111" t="s">
        <v>206</v>
      </c>
    </row>
    <row r="8" spans="1:27" ht="71.25" x14ac:dyDescent="0.45">
      <c r="A8" s="29" t="s">
        <v>17</v>
      </c>
      <c r="B8" s="31" t="s">
        <v>217</v>
      </c>
      <c r="C8" s="31" t="s">
        <v>218</v>
      </c>
      <c r="D8" s="45" t="s">
        <v>136</v>
      </c>
      <c r="E8" s="46" t="str">
        <f>C8&amp;" "&amp;D8</f>
        <v>Tally's Glulam Proxy (AWC/CWC North American Glued Laminated Timbers 2013) yes</v>
      </c>
      <c r="F8" s="32" t="str">
        <f>A8&amp;" "&amp;B8&amp;" "&amp;C8</f>
        <v>CLT CLT Industry-Wide EPD Tally's Glulam Proxy (AWC/CWC North American Glued Laminated Timbers 2013)</v>
      </c>
      <c r="G8" s="32" t="str">
        <f>A8&amp;" "&amp;B8&amp;" "&amp;C8&amp;" "&amp;D8</f>
        <v>CLT CLT Industry-Wide EPD Tally's Glulam Proxy (AWC/CWC North American Glued Laminated Timbers 2013) yes</v>
      </c>
      <c r="H8" s="46" t="s">
        <v>83</v>
      </c>
      <c r="I8" s="32" t="str">
        <f>C8&amp;" "&amp;H8</f>
        <v>Tally's Glulam Proxy (AWC/CWC North American Glued Laminated Timbers 2013) Tally w/Biogenic Carbon</v>
      </c>
      <c r="J8" s="32" t="str">
        <f t="shared" ref="J8:J39" si="0">I8</f>
        <v>Tally's Glulam Proxy (AWC/CWC North American Glued Laminated Timbers 2013) Tally w/Biogenic Carbon</v>
      </c>
      <c r="K8" s="19" t="s">
        <v>2</v>
      </c>
      <c r="L8" s="19" t="s">
        <v>92</v>
      </c>
      <c r="M8" s="33">
        <v>1.83</v>
      </c>
      <c r="N8" s="33">
        <v>293.31996468155182</v>
      </c>
      <c r="O8" s="33">
        <f>7.789398161/0.02831685</f>
        <v>275.07996691016126</v>
      </c>
      <c r="P8" s="33">
        <v>0</v>
      </c>
      <c r="Q8" s="33">
        <v>45.373994539131644</v>
      </c>
      <c r="R8" s="33">
        <v>-1091.3464200000001</v>
      </c>
      <c r="S8" s="33">
        <v>12.520870493083375</v>
      </c>
      <c r="T8" s="33">
        <f>10.9231258578827/0.02831685</f>
        <v>385.7465028024904</v>
      </c>
      <c r="U8" s="33" t="e">
        <v>#VALUE!</v>
      </c>
      <c r="V8" s="33" t="e">
        <v>#VALUE!</v>
      </c>
      <c r="W8" s="33" t="e">
        <v>#VALUE!</v>
      </c>
      <c r="X8" s="33">
        <v>0</v>
      </c>
      <c r="Y8" s="90">
        <v>545.964747182</v>
      </c>
      <c r="Z8" s="54"/>
      <c r="AA8" s="54"/>
    </row>
    <row r="9" spans="1:27" s="21" customFormat="1" ht="71.25" x14ac:dyDescent="0.45">
      <c r="A9" s="29" t="s">
        <v>17</v>
      </c>
      <c r="B9" s="31" t="s">
        <v>217</v>
      </c>
      <c r="C9" s="31" t="s">
        <v>218</v>
      </c>
      <c r="D9" s="45" t="s">
        <v>157</v>
      </c>
      <c r="E9" s="46" t="str">
        <f t="shared" ref="E9:E62" si="1">C9&amp;" "&amp;D9</f>
        <v>Tally's Glulam Proxy (AWC/CWC North American Glued Laminated Timbers 2013) no</v>
      </c>
      <c r="F9" s="32" t="str">
        <f t="shared" ref="F9:F62" si="2">A9&amp;" "&amp;B9&amp;" "&amp;C9</f>
        <v>CLT CLT Industry-Wide EPD Tally's Glulam Proxy (AWC/CWC North American Glued Laminated Timbers 2013)</v>
      </c>
      <c r="G9" s="32" t="str">
        <f t="shared" ref="G9:G62" si="3">A9&amp;" "&amp;B9&amp;" "&amp;C9&amp;" "&amp;D9</f>
        <v>CLT CLT Industry-Wide EPD Tally's Glulam Proxy (AWC/CWC North American Glued Laminated Timbers 2013) no</v>
      </c>
      <c r="H9" s="46" t="s">
        <v>84</v>
      </c>
      <c r="I9" s="32" t="str">
        <f>C9&amp;" "&amp;H9</f>
        <v>Tally's Glulam Proxy (AWC/CWC North American Glued Laminated Timbers 2013) Tally w/o Biogenic Carbon</v>
      </c>
      <c r="J9" s="32" t="str">
        <f t="shared" si="0"/>
        <v>Tally's Glulam Proxy (AWC/CWC North American Glued Laminated Timbers 2013) Tally w/o Biogenic Carbon</v>
      </c>
      <c r="K9" s="19"/>
      <c r="L9" s="19"/>
      <c r="M9" s="33">
        <v>1.83</v>
      </c>
      <c r="N9" s="33">
        <v>0</v>
      </c>
      <c r="O9" s="33">
        <f>7.789398161/0.02831685</f>
        <v>275.07996691016126</v>
      </c>
      <c r="P9" s="33">
        <v>0</v>
      </c>
      <c r="Q9" s="33">
        <f>-2.358793321/0.02831685</f>
        <v>-83.299989970635849</v>
      </c>
      <c r="R9" s="33">
        <v>0</v>
      </c>
      <c r="S9" s="33">
        <v>0</v>
      </c>
      <c r="T9" s="33">
        <f>10.9231258578827/0.02831685</f>
        <v>385.7465028024904</v>
      </c>
      <c r="U9" s="91"/>
      <c r="V9" s="33"/>
      <c r="W9" s="33"/>
      <c r="X9" s="33"/>
      <c r="Y9" s="90">
        <v>546</v>
      </c>
      <c r="Z9" s="54"/>
      <c r="AA9" s="54"/>
    </row>
    <row r="10" spans="1:27" s="54" customFormat="1" ht="71.25" x14ac:dyDescent="0.45">
      <c r="A10" s="29" t="s">
        <v>17</v>
      </c>
      <c r="B10" s="31" t="s">
        <v>217</v>
      </c>
      <c r="C10" s="31" t="s">
        <v>218</v>
      </c>
      <c r="D10" s="45" t="s">
        <v>136</v>
      </c>
      <c r="E10" s="46" t="str">
        <f t="shared" si="1"/>
        <v>Tally's Glulam Proxy (AWC/CWC North American Glued Laminated Timbers 2013) yes</v>
      </c>
      <c r="F10" s="32" t="str">
        <f t="shared" si="2"/>
        <v>CLT CLT Industry-Wide EPD Tally's Glulam Proxy (AWC/CWC North American Glued Laminated Timbers 2013)</v>
      </c>
      <c r="G10" s="32" t="str">
        <f t="shared" si="3"/>
        <v>CLT CLT Industry-Wide EPD Tally's Glulam Proxy (AWC/CWC North American Glued Laminated Timbers 2013) yes</v>
      </c>
      <c r="H10" s="46" t="s">
        <v>85</v>
      </c>
      <c r="I10" s="32" t="str">
        <f t="shared" ref="I10:I11" si="4">C10&amp;" "&amp;H10</f>
        <v>Tally's Glulam Proxy (AWC/CWC North American Glued Laminated Timbers 2013) EPD v1 - Biogenic Carbon Net Neutral</v>
      </c>
      <c r="J10" s="32" t="str">
        <f t="shared" si="0"/>
        <v>Tally's Glulam Proxy (AWC/CWC North American Glued Laminated Timbers 2013) EPD v1 - Biogenic Carbon Net Neutral</v>
      </c>
      <c r="K10" s="19"/>
      <c r="L10" s="19"/>
      <c r="M10" s="33">
        <v>1.83</v>
      </c>
      <c r="N10" s="33">
        <f>R10*-1</f>
        <v>1091.3464200000001</v>
      </c>
      <c r="O10" s="33">
        <v>0</v>
      </c>
      <c r="P10" s="33">
        <v>0</v>
      </c>
      <c r="Q10" s="33">
        <v>0</v>
      </c>
      <c r="R10" s="33">
        <v>-1091.3464200000001</v>
      </c>
      <c r="S10" s="33">
        <v>0</v>
      </c>
      <c r="T10" s="33">
        <f>10.9231258578827/0.02831685</f>
        <v>385.7465028024904</v>
      </c>
      <c r="U10" s="33" t="e">
        <v>#VALUE!</v>
      </c>
      <c r="V10" s="33" t="e">
        <v>#VALUE!</v>
      </c>
      <c r="W10" s="33" t="e">
        <v>#VALUE!</v>
      </c>
      <c r="X10" s="33">
        <v>0</v>
      </c>
      <c r="Y10" s="90">
        <v>545.964747182</v>
      </c>
    </row>
    <row r="11" spans="1:27" s="54" customFormat="1" ht="85.5" x14ac:dyDescent="0.45">
      <c r="A11" s="29" t="s">
        <v>17</v>
      </c>
      <c r="B11" s="31" t="s">
        <v>217</v>
      </c>
      <c r="C11" s="31" t="s">
        <v>218</v>
      </c>
      <c r="D11" s="45" t="s">
        <v>136</v>
      </c>
      <c r="E11" s="46" t="str">
        <f t="shared" si="1"/>
        <v>Tally's Glulam Proxy (AWC/CWC North American Glued Laminated Timbers 2013) yes</v>
      </c>
      <c r="F11" s="32" t="str">
        <f t="shared" si="2"/>
        <v>CLT CLT Industry-Wide EPD Tally's Glulam Proxy (AWC/CWC North American Glued Laminated Timbers 2013)</v>
      </c>
      <c r="G11" s="32" t="str">
        <f t="shared" si="3"/>
        <v>CLT CLT Industry-Wide EPD Tally's Glulam Proxy (AWC/CWC North American Glued Laminated Timbers 2013) yes</v>
      </c>
      <c r="H11" s="46" t="s">
        <v>86</v>
      </c>
      <c r="I11" s="32" t="str">
        <f t="shared" si="4"/>
        <v>Tally's Glulam Proxy (AWC/CWC North American Glued Laminated Timbers 2013) EPD v2 - w/Long Term Biogenic Carbon Sequestration</v>
      </c>
      <c r="J11" s="32" t="str">
        <f t="shared" si="0"/>
        <v>Tally's Glulam Proxy (AWC/CWC North American Glued Laminated Timbers 2013) EPD v2 - w/Long Term Biogenic Carbon Sequestration</v>
      </c>
      <c r="K11" s="19"/>
      <c r="L11" s="19"/>
      <c r="M11" s="33">
        <v>1.83</v>
      </c>
      <c r="N11" s="36">
        <f>(R11*-1)*0.16</f>
        <v>174.61542720000003</v>
      </c>
      <c r="O11" s="33">
        <v>0</v>
      </c>
      <c r="P11" s="33">
        <v>0</v>
      </c>
      <c r="Q11" s="33">
        <v>0</v>
      </c>
      <c r="R11" s="33">
        <v>-1091.3464200000001</v>
      </c>
      <c r="S11" s="33">
        <v>0</v>
      </c>
      <c r="T11" s="33">
        <f>10.9231258578827/0.02831685</f>
        <v>385.7465028024904</v>
      </c>
      <c r="U11" s="33" t="e">
        <v>#VALUE!</v>
      </c>
      <c r="V11" s="33" t="e">
        <v>#VALUE!</v>
      </c>
      <c r="W11" s="33" t="e">
        <v>#VALUE!</v>
      </c>
      <c r="X11" s="33">
        <v>0</v>
      </c>
      <c r="Y11" s="90">
        <v>545.964747182</v>
      </c>
    </row>
    <row r="12" spans="1:27" s="65" customFormat="1" ht="28.5" x14ac:dyDescent="0.45">
      <c r="A12" s="29" t="s">
        <v>17</v>
      </c>
      <c r="B12" s="31" t="s">
        <v>219</v>
      </c>
      <c r="C12" s="31" t="s">
        <v>220</v>
      </c>
      <c r="D12" s="45" t="s">
        <v>136</v>
      </c>
      <c r="E12" s="46" t="str">
        <f t="shared" si="1"/>
        <v>KLH EPD 2012 (57mm thick) yes</v>
      </c>
      <c r="F12" s="32" t="str">
        <f t="shared" si="2"/>
        <v>CLT CLT Supplier EPD KLH EPD 2012 (57mm thick)</v>
      </c>
      <c r="G12" s="32" t="str">
        <f t="shared" si="3"/>
        <v>CLT CLT Supplier EPD KLH EPD 2012 (57mm thick) yes</v>
      </c>
      <c r="H12" s="46" t="s">
        <v>83</v>
      </c>
      <c r="I12" s="32" t="str">
        <f t="shared" ref="I12:I62" si="5">C12&amp;" "&amp;H12</f>
        <v>KLH EPD 2012 (57mm thick) Tally w/Biogenic Carbon</v>
      </c>
      <c r="J12" s="32" t="str">
        <f t="shared" si="0"/>
        <v>KLH EPD 2012 (57mm thick) Tally w/Biogenic Carbon</v>
      </c>
      <c r="K12" s="19" t="s">
        <v>2</v>
      </c>
      <c r="L12" s="19" t="s">
        <v>19</v>
      </c>
      <c r="M12" s="33">
        <v>1.83</v>
      </c>
      <c r="N12" s="92">
        <v>302.29354695199993</v>
      </c>
      <c r="O12" s="92">
        <v>240.5</v>
      </c>
      <c r="P12" s="92"/>
      <c r="Q12" s="92">
        <v>474.98226711499996</v>
      </c>
      <c r="R12" s="92">
        <v>-800.93664075599986</v>
      </c>
      <c r="S12" s="92">
        <v>12.324818678299998</v>
      </c>
      <c r="T12" s="92">
        <v>243.3</v>
      </c>
      <c r="U12" s="47"/>
      <c r="V12" s="47"/>
      <c r="W12" s="47"/>
      <c r="X12" s="47">
        <v>0</v>
      </c>
      <c r="Y12" s="93">
        <v>483.81093378999992</v>
      </c>
      <c r="AA12" s="54"/>
    </row>
    <row r="13" spans="1:27" s="65" customFormat="1" ht="28.5" x14ac:dyDescent="0.45">
      <c r="A13" s="29" t="s">
        <v>17</v>
      </c>
      <c r="B13" s="31" t="s">
        <v>219</v>
      </c>
      <c r="C13" s="31" t="s">
        <v>220</v>
      </c>
      <c r="D13" s="45" t="s">
        <v>157</v>
      </c>
      <c r="E13" s="46" t="str">
        <f t="shared" si="1"/>
        <v>KLH EPD 2012 (57mm thick) no</v>
      </c>
      <c r="F13" s="32" t="str">
        <f t="shared" si="2"/>
        <v>CLT CLT Supplier EPD KLH EPD 2012 (57mm thick)</v>
      </c>
      <c r="G13" s="32" t="str">
        <f t="shared" si="3"/>
        <v>CLT CLT Supplier EPD KLH EPD 2012 (57mm thick) no</v>
      </c>
      <c r="H13" s="46" t="s">
        <v>84</v>
      </c>
      <c r="I13" s="32" t="str">
        <f t="shared" si="5"/>
        <v>KLH EPD 2012 (57mm thick) Tally w/o Biogenic Carbon</v>
      </c>
      <c r="J13" s="32" t="str">
        <f t="shared" si="0"/>
        <v>KLH EPD 2012 (57mm thick) Tally w/o Biogenic Carbon</v>
      </c>
      <c r="K13" s="19"/>
      <c r="L13" s="19" t="s">
        <v>19</v>
      </c>
      <c r="M13" s="33">
        <v>1.83</v>
      </c>
      <c r="N13" s="33">
        <v>0</v>
      </c>
      <c r="O13" s="92">
        <v>240.49288022699997</v>
      </c>
      <c r="P13" s="92"/>
      <c r="Q13" s="92">
        <v>348.20261366199992</v>
      </c>
      <c r="R13" s="92">
        <v>0</v>
      </c>
      <c r="S13" s="92">
        <v>12.324818678299998</v>
      </c>
      <c r="T13" s="92">
        <v>243.31805356299998</v>
      </c>
      <c r="U13" s="47"/>
      <c r="V13" s="47"/>
      <c r="W13" s="47"/>
      <c r="X13" s="47"/>
      <c r="Y13" s="93">
        <v>483.81093378999992</v>
      </c>
      <c r="AA13" s="54"/>
    </row>
    <row r="14" spans="1:27" s="54" customFormat="1" ht="42.75" x14ac:dyDescent="0.45">
      <c r="A14" s="29" t="s">
        <v>17</v>
      </c>
      <c r="B14" s="31" t="s">
        <v>219</v>
      </c>
      <c r="C14" s="31" t="s">
        <v>221</v>
      </c>
      <c r="D14" s="45" t="s">
        <v>136</v>
      </c>
      <c r="E14" s="46" t="str">
        <f t="shared" si="1"/>
        <v>KLH EPD 2012 (320 mm thick) yes</v>
      </c>
      <c r="F14" s="32" t="str">
        <f t="shared" si="2"/>
        <v>CLT CLT Supplier EPD KLH EPD 2012 (320 mm thick)</v>
      </c>
      <c r="G14" s="32" t="str">
        <f t="shared" si="3"/>
        <v>CLT CLT Supplier EPD KLH EPD 2012 (320 mm thick) yes</v>
      </c>
      <c r="H14" s="46" t="s">
        <v>83</v>
      </c>
      <c r="I14" s="32" t="str">
        <f t="shared" ref="I14:I15" si="6">C14&amp;" "&amp;H14</f>
        <v>KLH EPD 2012 (320 mm thick) Tally w/Biogenic Carbon</v>
      </c>
      <c r="J14" s="32" t="str">
        <f t="shared" si="0"/>
        <v>KLH EPD 2012 (320 mm thick) Tally w/Biogenic Carbon</v>
      </c>
      <c r="K14" s="19" t="s">
        <v>2</v>
      </c>
      <c r="L14" s="19" t="s">
        <v>18</v>
      </c>
      <c r="M14" s="33">
        <v>1.83</v>
      </c>
      <c r="N14" s="33">
        <v>299.63696395056297</v>
      </c>
      <c r="O14" s="33">
        <f>6.744308303/0.02831685</f>
        <v>238.17297132272836</v>
      </c>
      <c r="P14" s="33">
        <v>0</v>
      </c>
      <c r="Q14" s="33">
        <v>470.58369336413125</v>
      </c>
      <c r="R14" s="33">
        <v>-792</v>
      </c>
      <c r="S14" s="33">
        <v>12.27013367326016</v>
      </c>
      <c r="T14" s="33">
        <f>6.526749971/0.02831685</f>
        <v>230.48997226033262</v>
      </c>
      <c r="U14" s="33"/>
      <c r="V14" s="33"/>
      <c r="W14" s="33"/>
      <c r="X14" s="33">
        <v>0</v>
      </c>
      <c r="Y14" s="90">
        <v>480.27946711999994</v>
      </c>
    </row>
    <row r="15" spans="1:27" s="54" customFormat="1" ht="42.75" x14ac:dyDescent="0.45">
      <c r="A15" s="29" t="s">
        <v>17</v>
      </c>
      <c r="B15" s="31" t="s">
        <v>219</v>
      </c>
      <c r="C15" s="31" t="s">
        <v>221</v>
      </c>
      <c r="D15" s="45" t="s">
        <v>157</v>
      </c>
      <c r="E15" s="46" t="str">
        <f t="shared" si="1"/>
        <v>KLH EPD 2012 (320 mm thick) no</v>
      </c>
      <c r="F15" s="32" t="str">
        <f t="shared" si="2"/>
        <v>CLT CLT Supplier EPD KLH EPD 2012 (320 mm thick)</v>
      </c>
      <c r="G15" s="32" t="str">
        <f t="shared" si="3"/>
        <v>CLT CLT Supplier EPD KLH EPD 2012 (320 mm thick) no</v>
      </c>
      <c r="H15" s="46" t="s">
        <v>84</v>
      </c>
      <c r="I15" s="32" t="str">
        <f t="shared" si="6"/>
        <v>KLH EPD 2012 (320 mm thick) Tally w/o Biogenic Carbon</v>
      </c>
      <c r="J15" s="32" t="str">
        <f t="shared" si="0"/>
        <v>KLH EPD 2012 (320 mm thick) Tally w/o Biogenic Carbon</v>
      </c>
      <c r="K15" s="19"/>
      <c r="L15" s="19" t="s">
        <v>18</v>
      </c>
      <c r="M15" s="33">
        <v>1.83</v>
      </c>
      <c r="N15" s="33">
        <v>0</v>
      </c>
      <c r="O15" s="33">
        <f>6.744308303/0.02831685</f>
        <v>238.17297132272836</v>
      </c>
      <c r="P15" s="33"/>
      <c r="Q15" s="33">
        <f>9.762930165/0.02831685</f>
        <v>344.77458350769945</v>
      </c>
      <c r="R15" s="33">
        <v>0</v>
      </c>
      <c r="S15" s="33">
        <f>0.34554246/0.02831685</f>
        <v>12.202715344397417</v>
      </c>
      <c r="T15" s="33">
        <f>6.526749971/0.02831685</f>
        <v>230.48997226033262</v>
      </c>
      <c r="U15" s="33"/>
      <c r="V15" s="33"/>
      <c r="W15" s="33"/>
      <c r="X15" s="33"/>
      <c r="Y15" s="90">
        <v>480.27946711999994</v>
      </c>
    </row>
    <row r="16" spans="1:27" s="48" customFormat="1" ht="99.75" x14ac:dyDescent="0.45">
      <c r="A16" s="29" t="s">
        <v>17</v>
      </c>
      <c r="B16" s="31" t="s">
        <v>219</v>
      </c>
      <c r="C16" s="31" t="s">
        <v>222</v>
      </c>
      <c r="D16" s="45" t="s">
        <v>136</v>
      </c>
      <c r="E16" s="46" t="str">
        <f t="shared" si="1"/>
        <v>Structurlam - Crosslam CLT EPD for Cross Laminated Timber produced by Structurlam in Okanagan Falls, BC 2020 yes</v>
      </c>
      <c r="F16" s="32" t="str">
        <f t="shared" si="2"/>
        <v>CLT CLT Supplier EPD Structurlam - Crosslam CLT EPD for Cross Laminated Timber produced by Structurlam in Okanagan Falls, BC 2020</v>
      </c>
      <c r="G16" s="32" t="str">
        <f t="shared" si="3"/>
        <v>CLT CLT Supplier EPD Structurlam - Crosslam CLT EPD for Cross Laminated Timber produced by Structurlam in Okanagan Falls, BC 2020 yes</v>
      </c>
      <c r="H16" s="46" t="s">
        <v>85</v>
      </c>
      <c r="I16" s="32" t="str">
        <f t="shared" si="5"/>
        <v>Structurlam - Crosslam CLT EPD for Cross Laminated Timber produced by Structurlam in Okanagan Falls, BC 2020 EPD v1 - Biogenic Carbon Net Neutral</v>
      </c>
      <c r="J16" s="32" t="str">
        <f t="shared" si="0"/>
        <v>Structurlam - Crosslam CLT EPD for Cross Laminated Timber produced by Structurlam in Okanagan Falls, BC 2020 EPD v1 - Biogenic Carbon Net Neutral</v>
      </c>
      <c r="K16" s="19"/>
      <c r="L16" s="19"/>
      <c r="M16" s="33">
        <v>1.83</v>
      </c>
      <c r="N16" s="33">
        <v>874.83</v>
      </c>
      <c r="O16" s="33">
        <v>0</v>
      </c>
      <c r="P16" s="33">
        <v>0</v>
      </c>
      <c r="Q16" s="33">
        <v>0</v>
      </c>
      <c r="R16" s="33">
        <v>-874.83</v>
      </c>
      <c r="S16" s="33">
        <v>0</v>
      </c>
      <c r="T16" s="33">
        <v>124.02</v>
      </c>
      <c r="U16" s="33">
        <v>61.16</v>
      </c>
      <c r="V16" s="33">
        <v>40.799999999999997</v>
      </c>
      <c r="W16" s="33">
        <v>21.61</v>
      </c>
      <c r="X16" s="33"/>
      <c r="Y16" s="89">
        <v>481</v>
      </c>
      <c r="Z16" s="54"/>
      <c r="AA16" s="54"/>
    </row>
    <row r="17" spans="1:27" s="48" customFormat="1" ht="99.75" x14ac:dyDescent="0.45">
      <c r="A17" s="29" t="s">
        <v>17</v>
      </c>
      <c r="B17" s="31" t="s">
        <v>219</v>
      </c>
      <c r="C17" s="31" t="s">
        <v>222</v>
      </c>
      <c r="D17" s="45" t="s">
        <v>136</v>
      </c>
      <c r="E17" s="46" t="str">
        <f t="shared" si="1"/>
        <v>Structurlam - Crosslam CLT EPD for Cross Laminated Timber produced by Structurlam in Okanagan Falls, BC 2020 yes</v>
      </c>
      <c r="F17" s="32" t="str">
        <f t="shared" si="2"/>
        <v>CLT CLT Supplier EPD Structurlam - Crosslam CLT EPD for Cross Laminated Timber produced by Structurlam in Okanagan Falls, BC 2020</v>
      </c>
      <c r="G17" s="32" t="str">
        <f t="shared" si="3"/>
        <v>CLT CLT Supplier EPD Structurlam - Crosslam CLT EPD for Cross Laminated Timber produced by Structurlam in Okanagan Falls, BC 2020 yes</v>
      </c>
      <c r="H17" s="46" t="s">
        <v>86</v>
      </c>
      <c r="I17" s="32" t="str">
        <f t="shared" si="5"/>
        <v>Structurlam - Crosslam CLT EPD for Cross Laminated Timber produced by Structurlam in Okanagan Falls, BC 2020 EPD v2 - w/Long Term Biogenic Carbon Sequestration</v>
      </c>
      <c r="J17" s="32" t="str">
        <f t="shared" si="0"/>
        <v>Structurlam - Crosslam CLT EPD for Cross Laminated Timber produced by Structurlam in Okanagan Falls, BC 2020 EPD v2 - w/Long Term Biogenic Carbon Sequestration</v>
      </c>
      <c r="K17" s="19"/>
      <c r="L17" s="19"/>
      <c r="M17" s="33">
        <v>1.83</v>
      </c>
      <c r="N17" s="36">
        <f>-N32/R32*(-1*R17)</f>
        <v>140.33011459207268</v>
      </c>
      <c r="O17" s="33">
        <v>0</v>
      </c>
      <c r="P17" s="33">
        <v>0</v>
      </c>
      <c r="Q17" s="33">
        <v>0</v>
      </c>
      <c r="R17" s="33">
        <v>-874.83</v>
      </c>
      <c r="S17" s="33">
        <v>0</v>
      </c>
      <c r="T17" s="33">
        <v>124.02</v>
      </c>
      <c r="U17" s="33">
        <v>61.16</v>
      </c>
      <c r="V17" s="33">
        <v>40.799999999999997</v>
      </c>
      <c r="W17" s="33">
        <v>21.61</v>
      </c>
      <c r="X17" s="33"/>
      <c r="Y17" s="89">
        <v>481</v>
      </c>
      <c r="Z17" s="54"/>
      <c r="AA17" s="54"/>
    </row>
    <row r="18" spans="1:27" s="48" customFormat="1" ht="85.5" x14ac:dyDescent="0.45">
      <c r="A18" s="29" t="s">
        <v>17</v>
      </c>
      <c r="B18" s="31" t="s">
        <v>219</v>
      </c>
      <c r="C18" s="31" t="s">
        <v>222</v>
      </c>
      <c r="D18" s="45" t="s">
        <v>136</v>
      </c>
      <c r="E18" s="46" t="str">
        <f t="shared" si="1"/>
        <v>Structurlam - Crosslam CLT EPD for Cross Laminated Timber produced by Structurlam in Okanagan Falls, BC 2020 yes</v>
      </c>
      <c r="F18" s="32" t="str">
        <f t="shared" si="2"/>
        <v>CLT CLT Supplier EPD Structurlam - Crosslam CLT EPD for Cross Laminated Timber produced by Structurlam in Okanagan Falls, BC 2020</v>
      </c>
      <c r="G18" s="32" t="str">
        <f t="shared" si="3"/>
        <v>CLT CLT Supplier EPD Structurlam - Crosslam CLT EPD for Cross Laminated Timber produced by Structurlam in Okanagan Falls, BC 2020 yes</v>
      </c>
      <c r="H18" s="46" t="s">
        <v>83</v>
      </c>
      <c r="I18" s="32" t="str">
        <f t="shared" si="5"/>
        <v>Structurlam - Crosslam CLT EPD for Cross Laminated Timber produced by Structurlam in Okanagan Falls, BC 2020 Tally w/Biogenic Carbon</v>
      </c>
      <c r="J18" s="32" t="str">
        <f t="shared" si="0"/>
        <v>Structurlam - Crosslam CLT EPD for Cross Laminated Timber produced by Structurlam in Okanagan Falls, BC 2020 Tally w/Biogenic Carbon</v>
      </c>
      <c r="K18" s="19"/>
      <c r="L18" s="19"/>
      <c r="M18" s="33">
        <v>1.83</v>
      </c>
      <c r="N18" s="94">
        <f>Y18*'Tally C-D kg factors'!D3</f>
        <v>258.41760615506269</v>
      </c>
      <c r="O18" s="94">
        <f>Y18*'Tally C-D kg factors'!E3</f>
        <v>242.34799914595996</v>
      </c>
      <c r="P18" s="94">
        <v>0</v>
      </c>
      <c r="Q18" s="94">
        <f>Y18*'Tally C-D kg factors'!F3</f>
        <v>39.974909526616166</v>
      </c>
      <c r="R18" s="33">
        <v>-874.83</v>
      </c>
      <c r="S18" s="33">
        <v>0</v>
      </c>
      <c r="T18" s="33">
        <v>124.02</v>
      </c>
      <c r="U18" s="33"/>
      <c r="V18" s="33"/>
      <c r="W18" s="33"/>
      <c r="X18" s="33"/>
      <c r="Y18" s="89">
        <v>481</v>
      </c>
      <c r="Z18" s="54"/>
      <c r="AA18" s="54"/>
    </row>
    <row r="19" spans="1:27" s="48" customFormat="1" ht="85.5" x14ac:dyDescent="0.45">
      <c r="A19" s="29" t="s">
        <v>17</v>
      </c>
      <c r="B19" s="31" t="s">
        <v>219</v>
      </c>
      <c r="C19" s="31" t="s">
        <v>222</v>
      </c>
      <c r="D19" s="45" t="s">
        <v>157</v>
      </c>
      <c r="E19" s="46" t="str">
        <f t="shared" si="1"/>
        <v>Structurlam - Crosslam CLT EPD for Cross Laminated Timber produced by Structurlam in Okanagan Falls, BC 2020 no</v>
      </c>
      <c r="F19" s="32" t="str">
        <f t="shared" si="2"/>
        <v>CLT CLT Supplier EPD Structurlam - Crosslam CLT EPD for Cross Laminated Timber produced by Structurlam in Okanagan Falls, BC 2020</v>
      </c>
      <c r="G19" s="32" t="str">
        <f t="shared" si="3"/>
        <v>CLT CLT Supplier EPD Structurlam - Crosslam CLT EPD for Cross Laminated Timber produced by Structurlam in Okanagan Falls, BC 2020 no</v>
      </c>
      <c r="H19" s="46" t="s">
        <v>84</v>
      </c>
      <c r="I19" s="32" t="str">
        <f t="shared" si="5"/>
        <v>Structurlam - Crosslam CLT EPD for Cross Laminated Timber produced by Structurlam in Okanagan Falls, BC 2020 Tally w/o Biogenic Carbon</v>
      </c>
      <c r="J19" s="32" t="str">
        <f t="shared" si="0"/>
        <v>Structurlam - Crosslam CLT EPD for Cross Laminated Timber produced by Structurlam in Okanagan Falls, BC 2020 Tally w/o Biogenic Carbon</v>
      </c>
      <c r="K19" s="19"/>
      <c r="L19" s="19"/>
      <c r="M19" s="33">
        <v>1.83</v>
      </c>
      <c r="N19" s="94">
        <v>0</v>
      </c>
      <c r="O19" s="94">
        <f>Y19*'Tally C-D kg factors'!E4</f>
        <v>242.33235180180873</v>
      </c>
      <c r="P19" s="94">
        <v>0</v>
      </c>
      <c r="Q19" s="94">
        <f>Y19*'Tally C-D kg factors'!F4</f>
        <v>-73.383324497941103</v>
      </c>
      <c r="R19" s="33">
        <v>-874.83</v>
      </c>
      <c r="S19" s="33">
        <v>0</v>
      </c>
      <c r="T19" s="33">
        <v>124.02</v>
      </c>
      <c r="U19" s="33"/>
      <c r="V19" s="33"/>
      <c r="W19" s="33"/>
      <c r="X19" s="33"/>
      <c r="Y19" s="89">
        <v>481</v>
      </c>
      <c r="Z19" s="54"/>
      <c r="AA19" s="54"/>
    </row>
    <row r="20" spans="1:27" s="48" customFormat="1" ht="71.25" x14ac:dyDescent="0.45">
      <c r="A20" s="29" t="s">
        <v>17</v>
      </c>
      <c r="B20" s="31" t="s">
        <v>219</v>
      </c>
      <c r="C20" s="31" t="s">
        <v>223</v>
      </c>
      <c r="D20" s="45" t="s">
        <v>136</v>
      </c>
      <c r="E20" s="46" t="str">
        <f t="shared" si="1"/>
        <v>Nordic X-Lam (CLT) Environmental Product Declaration 2018 yes</v>
      </c>
      <c r="F20" s="32" t="str">
        <f t="shared" si="2"/>
        <v>CLT CLT Supplier EPD Nordic X-Lam (CLT) Environmental Product Declaration 2018</v>
      </c>
      <c r="G20" s="32" t="str">
        <f t="shared" si="3"/>
        <v>CLT CLT Supplier EPD Nordic X-Lam (CLT) Environmental Product Declaration 2018 yes</v>
      </c>
      <c r="H20" s="46" t="s">
        <v>85</v>
      </c>
      <c r="I20" s="32" t="str">
        <f t="shared" si="5"/>
        <v>Nordic X-Lam (CLT) Environmental Product Declaration 2018 EPD v1 - Biogenic Carbon Net Neutral</v>
      </c>
      <c r="J20" s="32" t="str">
        <f t="shared" si="0"/>
        <v>Nordic X-Lam (CLT) Environmental Product Declaration 2018 EPD v1 - Biogenic Carbon Net Neutral</v>
      </c>
      <c r="K20" s="19"/>
      <c r="L20" s="19"/>
      <c r="M20" s="33">
        <v>1.83</v>
      </c>
      <c r="N20" s="33">
        <v>590</v>
      </c>
      <c r="O20" s="94">
        <v>0</v>
      </c>
      <c r="P20" s="94">
        <v>0</v>
      </c>
      <c r="Q20" s="94">
        <v>0</v>
      </c>
      <c r="R20" s="33">
        <v>-590</v>
      </c>
      <c r="S20" s="94">
        <v>0</v>
      </c>
      <c r="T20" s="33">
        <v>121.89</v>
      </c>
      <c r="U20" s="33">
        <v>37.880000000000003</v>
      </c>
      <c r="V20" s="33">
        <v>51.97</v>
      </c>
      <c r="W20" s="33">
        <v>32.04</v>
      </c>
      <c r="X20" s="33"/>
      <c r="Y20" s="89">
        <v>406</v>
      </c>
      <c r="Z20" s="54"/>
      <c r="AA20" s="54"/>
    </row>
    <row r="21" spans="1:27" s="48" customFormat="1" ht="71.25" x14ac:dyDescent="0.45">
      <c r="A21" s="29" t="s">
        <v>17</v>
      </c>
      <c r="B21" s="31" t="s">
        <v>219</v>
      </c>
      <c r="C21" s="31" t="s">
        <v>223</v>
      </c>
      <c r="D21" s="45" t="s">
        <v>136</v>
      </c>
      <c r="E21" s="46" t="str">
        <f t="shared" si="1"/>
        <v>Nordic X-Lam (CLT) Environmental Product Declaration 2018 yes</v>
      </c>
      <c r="F21" s="32" t="str">
        <f t="shared" si="2"/>
        <v>CLT CLT Supplier EPD Nordic X-Lam (CLT) Environmental Product Declaration 2018</v>
      </c>
      <c r="G21" s="32" t="str">
        <f t="shared" si="3"/>
        <v>CLT CLT Supplier EPD Nordic X-Lam (CLT) Environmental Product Declaration 2018 yes</v>
      </c>
      <c r="H21" s="46" t="s">
        <v>86</v>
      </c>
      <c r="I21" s="32" t="str">
        <f t="shared" si="5"/>
        <v>Nordic X-Lam (CLT) Environmental Product Declaration 2018 EPD v2 - w/Long Term Biogenic Carbon Sequestration</v>
      </c>
      <c r="J21" s="32" t="str">
        <f t="shared" si="0"/>
        <v>Nordic X-Lam (CLT) Environmental Product Declaration 2018 EPD v2 - w/Long Term Biogenic Carbon Sequestration</v>
      </c>
      <c r="K21" s="19"/>
      <c r="L21" s="19"/>
      <c r="M21" s="33">
        <v>1.83</v>
      </c>
      <c r="N21" s="36">
        <f>N32/-R32*(-1*R21)</f>
        <v>94.640978943706642</v>
      </c>
      <c r="O21" s="94">
        <v>0</v>
      </c>
      <c r="P21" s="33"/>
      <c r="Q21" s="36"/>
      <c r="R21" s="33">
        <v>-590</v>
      </c>
      <c r="S21" s="33"/>
      <c r="T21" s="33">
        <v>121.89</v>
      </c>
      <c r="U21" s="33">
        <v>37.880000000000003</v>
      </c>
      <c r="V21" s="33">
        <v>51.97</v>
      </c>
      <c r="W21" s="33">
        <v>32.04</v>
      </c>
      <c r="X21" s="33"/>
      <c r="Y21" s="89">
        <v>406</v>
      </c>
      <c r="Z21" s="54"/>
      <c r="AA21" s="54"/>
    </row>
    <row r="22" spans="1:27" s="48" customFormat="1" ht="57" x14ac:dyDescent="0.45">
      <c r="A22" s="29" t="s">
        <v>17</v>
      </c>
      <c r="B22" s="31" t="s">
        <v>219</v>
      </c>
      <c r="C22" s="31" t="s">
        <v>223</v>
      </c>
      <c r="D22" s="45" t="s">
        <v>136</v>
      </c>
      <c r="E22" s="46" t="str">
        <f t="shared" si="1"/>
        <v>Nordic X-Lam (CLT) Environmental Product Declaration 2018 yes</v>
      </c>
      <c r="F22" s="32" t="str">
        <f t="shared" si="2"/>
        <v>CLT CLT Supplier EPD Nordic X-Lam (CLT) Environmental Product Declaration 2018</v>
      </c>
      <c r="G22" s="32" t="str">
        <f t="shared" si="3"/>
        <v>CLT CLT Supplier EPD Nordic X-Lam (CLT) Environmental Product Declaration 2018 yes</v>
      </c>
      <c r="H22" s="46" t="s">
        <v>83</v>
      </c>
      <c r="I22" s="32" t="str">
        <f t="shared" si="5"/>
        <v>Nordic X-Lam (CLT) Environmental Product Declaration 2018 Tally w/Biogenic Carbon</v>
      </c>
      <c r="J22" s="32" t="str">
        <f t="shared" si="0"/>
        <v>Nordic X-Lam (CLT) Environmental Product Declaration 2018 Tally w/Biogenic Carbon</v>
      </c>
      <c r="K22" s="19"/>
      <c r="L22" s="19"/>
      <c r="M22" s="33">
        <v>1.83</v>
      </c>
      <c r="N22" s="94">
        <f>Y22*'Tally C-D kg factors'!D3</f>
        <v>218.123800621529</v>
      </c>
      <c r="O22" s="94">
        <f>Y22*'Tally C-D kg factors'!E3</f>
        <v>204.5598495909766</v>
      </c>
      <c r="P22" s="94"/>
      <c r="Q22" s="94">
        <f>Y22*'Tally C-D kg factors'!F3</f>
        <v>33.741815525584542</v>
      </c>
      <c r="R22" s="33">
        <v>-590</v>
      </c>
      <c r="S22" s="33"/>
      <c r="T22" s="33">
        <v>121.89</v>
      </c>
      <c r="U22" s="33"/>
      <c r="V22" s="33"/>
      <c r="W22" s="33"/>
      <c r="X22" s="33"/>
      <c r="Y22" s="89">
        <v>406</v>
      </c>
      <c r="Z22" s="54"/>
      <c r="AA22" s="54"/>
    </row>
    <row r="23" spans="1:27" s="48" customFormat="1" ht="57" x14ac:dyDescent="0.45">
      <c r="A23" s="29" t="s">
        <v>17</v>
      </c>
      <c r="B23" s="31" t="s">
        <v>219</v>
      </c>
      <c r="C23" s="31" t="s">
        <v>223</v>
      </c>
      <c r="D23" s="45" t="s">
        <v>157</v>
      </c>
      <c r="E23" s="46" t="str">
        <f t="shared" si="1"/>
        <v>Nordic X-Lam (CLT) Environmental Product Declaration 2018 no</v>
      </c>
      <c r="F23" s="32" t="str">
        <f t="shared" si="2"/>
        <v>CLT CLT Supplier EPD Nordic X-Lam (CLT) Environmental Product Declaration 2018</v>
      </c>
      <c r="G23" s="32" t="str">
        <f t="shared" si="3"/>
        <v>CLT CLT Supplier EPD Nordic X-Lam (CLT) Environmental Product Declaration 2018 no</v>
      </c>
      <c r="H23" s="46" t="s">
        <v>84</v>
      </c>
      <c r="I23" s="32" t="str">
        <f t="shared" si="5"/>
        <v>Nordic X-Lam (CLT) Environmental Product Declaration 2018 Tally w/o Biogenic Carbon</v>
      </c>
      <c r="J23" s="32" t="str">
        <f t="shared" si="0"/>
        <v>Nordic X-Lam (CLT) Environmental Product Declaration 2018 Tally w/o Biogenic Carbon</v>
      </c>
      <c r="K23" s="19"/>
      <c r="L23" s="19"/>
      <c r="M23" s="33">
        <v>1.83</v>
      </c>
      <c r="N23" s="94">
        <v>0</v>
      </c>
      <c r="O23" s="94">
        <f>Y23*'Tally C-D kg factors'!E4</f>
        <v>204.54664206140194</v>
      </c>
      <c r="P23" s="94"/>
      <c r="Q23" s="94">
        <f>Y23*'Tally C-D kg factors'!F4</f>
        <v>-61.94101818329333</v>
      </c>
      <c r="R23" s="33">
        <v>0</v>
      </c>
      <c r="S23" s="33"/>
      <c r="T23" s="33">
        <v>121.89</v>
      </c>
      <c r="U23" s="33"/>
      <c r="V23" s="33"/>
      <c r="W23" s="33"/>
      <c r="X23" s="33"/>
      <c r="Y23" s="89">
        <v>406</v>
      </c>
      <c r="Z23" s="54"/>
      <c r="AA23" s="54"/>
    </row>
    <row r="24" spans="1:27" ht="64.150000000000006" customHeight="1" x14ac:dyDescent="0.45">
      <c r="A24" s="29" t="s">
        <v>53</v>
      </c>
      <c r="B24" s="31" t="s">
        <v>144</v>
      </c>
      <c r="C24" s="32" t="s">
        <v>224</v>
      </c>
      <c r="D24" s="46" t="s">
        <v>136</v>
      </c>
      <c r="E24" s="46" t="str">
        <f t="shared" si="1"/>
        <v>Tally - AWC/CWC North American Glued Laminated Timbers 2013 yes</v>
      </c>
      <c r="F24" s="32" t="str">
        <f t="shared" si="2"/>
        <v>Glulam Glulam US - Industry-Wide EPD Tally - AWC/CWC North American Glued Laminated Timbers 2013</v>
      </c>
      <c r="G24" s="32" t="str">
        <f t="shared" si="3"/>
        <v>Glulam Glulam US - Industry-Wide EPD Tally - AWC/CWC North American Glued Laminated Timbers 2013 yes</v>
      </c>
      <c r="H24" s="46" t="s">
        <v>83</v>
      </c>
      <c r="I24" s="32" t="str">
        <f t="shared" si="5"/>
        <v>Tally - AWC/CWC North American Glued Laminated Timbers 2013 Tally w/Biogenic Carbon</v>
      </c>
      <c r="J24" s="32" t="str">
        <f t="shared" si="0"/>
        <v>Tally - AWC/CWC North American Glued Laminated Timbers 2013 Tally w/Biogenic Carbon</v>
      </c>
      <c r="K24" s="19" t="s">
        <v>2</v>
      </c>
      <c r="L24" s="19" t="s">
        <v>13</v>
      </c>
      <c r="M24" s="33">
        <v>1.93</v>
      </c>
      <c r="N24" s="35">
        <v>355.4051255</v>
      </c>
      <c r="O24" s="33">
        <v>264</v>
      </c>
      <c r="P24" s="33">
        <v>0</v>
      </c>
      <c r="Q24" s="33">
        <v>49.445616049102206</v>
      </c>
      <c r="R24" s="33">
        <v>-964.28</v>
      </c>
      <c r="S24" s="33">
        <v>13.644426973860686</v>
      </c>
      <c r="T24" s="33">
        <v>198.10284619999999</v>
      </c>
      <c r="U24" s="33">
        <v>0</v>
      </c>
      <c r="V24" s="33">
        <v>0</v>
      </c>
      <c r="W24" s="33">
        <v>0</v>
      </c>
      <c r="X24" s="33"/>
      <c r="Y24" s="90">
        <v>533.25146716999996</v>
      </c>
      <c r="Z24" s="54"/>
      <c r="AA24" s="54"/>
    </row>
    <row r="25" spans="1:27" ht="69.75" customHeight="1" x14ac:dyDescent="0.45">
      <c r="A25" s="29" t="s">
        <v>53</v>
      </c>
      <c r="B25" s="31" t="s">
        <v>144</v>
      </c>
      <c r="C25" s="32" t="s">
        <v>224</v>
      </c>
      <c r="D25" s="46" t="s">
        <v>157</v>
      </c>
      <c r="E25" s="46" t="str">
        <f t="shared" si="1"/>
        <v>Tally - AWC/CWC North American Glued Laminated Timbers 2013 no</v>
      </c>
      <c r="F25" s="32" t="str">
        <f t="shared" si="2"/>
        <v>Glulam Glulam US - Industry-Wide EPD Tally - AWC/CWC North American Glued Laminated Timbers 2013</v>
      </c>
      <c r="G25" s="32" t="str">
        <f t="shared" si="3"/>
        <v>Glulam Glulam US - Industry-Wide EPD Tally - AWC/CWC North American Glued Laminated Timbers 2013 no</v>
      </c>
      <c r="H25" s="46" t="s">
        <v>84</v>
      </c>
      <c r="I25" s="32" t="str">
        <f t="shared" si="5"/>
        <v>Tally - AWC/CWC North American Glued Laminated Timbers 2013 Tally w/o Biogenic Carbon</v>
      </c>
      <c r="J25" s="32" t="str">
        <f t="shared" si="0"/>
        <v>Tally - AWC/CWC North American Glued Laminated Timbers 2013 Tally w/o Biogenic Carbon</v>
      </c>
      <c r="K25" s="19" t="s">
        <v>4</v>
      </c>
      <c r="L25" s="19" t="s">
        <v>13</v>
      </c>
      <c r="M25" s="33">
        <v>1.93</v>
      </c>
      <c r="N25" s="33">
        <v>0</v>
      </c>
      <c r="O25" s="33">
        <v>264</v>
      </c>
      <c r="P25" s="33">
        <v>0</v>
      </c>
      <c r="Q25" s="33">
        <v>-90.774889075025655</v>
      </c>
      <c r="R25" s="33">
        <v>0</v>
      </c>
      <c r="S25" s="33">
        <v>13.569457594883435</v>
      </c>
      <c r="T25" s="33">
        <v>198.10284615785019</v>
      </c>
      <c r="U25" s="33">
        <v>0</v>
      </c>
      <c r="V25" s="33">
        <v>0</v>
      </c>
      <c r="W25" s="33">
        <v>0</v>
      </c>
      <c r="X25" s="33"/>
      <c r="Y25" s="90">
        <v>533.25146716999996</v>
      </c>
      <c r="Z25" s="54"/>
      <c r="AA25" s="54"/>
    </row>
    <row r="26" spans="1:27" ht="68.25" customHeight="1" x14ac:dyDescent="0.45">
      <c r="A26" s="29" t="s">
        <v>53</v>
      </c>
      <c r="B26" s="31" t="s">
        <v>144</v>
      </c>
      <c r="C26" s="32" t="s">
        <v>77</v>
      </c>
      <c r="D26" s="46" t="s">
        <v>136</v>
      </c>
      <c r="E26" s="46" t="str">
        <f t="shared" si="1"/>
        <v>AWC/CWC North American Glued Laminated Timbers 2013 yes</v>
      </c>
      <c r="F26" s="32" t="str">
        <f t="shared" si="2"/>
        <v>Glulam Glulam US - Industry-Wide EPD AWC/CWC North American Glued Laminated Timbers 2013</v>
      </c>
      <c r="G26" s="32" t="str">
        <f t="shared" si="3"/>
        <v>Glulam Glulam US - Industry-Wide EPD AWC/CWC North American Glued Laminated Timbers 2013 yes</v>
      </c>
      <c r="H26" s="46" t="s">
        <v>85</v>
      </c>
      <c r="I26" s="32" t="str">
        <f t="shared" si="5"/>
        <v>AWC/CWC North American Glued Laminated Timbers 2013 EPD v1 - Biogenic Carbon Net Neutral</v>
      </c>
      <c r="J26" s="32" t="str">
        <f t="shared" si="0"/>
        <v>AWC/CWC North American Glued Laminated Timbers 2013 EPD v1 - Biogenic Carbon Net Neutral</v>
      </c>
      <c r="K26" s="19" t="s">
        <v>3</v>
      </c>
      <c r="L26" s="19" t="s">
        <v>14</v>
      </c>
      <c r="M26" s="33">
        <v>1.93</v>
      </c>
      <c r="N26" s="33">
        <v>964.28</v>
      </c>
      <c r="O26" s="33"/>
      <c r="P26" s="33"/>
      <c r="Q26" s="33"/>
      <c r="R26" s="33">
        <v>-964.28</v>
      </c>
      <c r="S26" s="33"/>
      <c r="T26" s="33">
        <v>197.87</v>
      </c>
      <c r="U26" s="33">
        <v>11.37</v>
      </c>
      <c r="V26" s="33"/>
      <c r="W26" s="33">
        <v>186.59</v>
      </c>
      <c r="X26" s="33">
        <v>-682.55</v>
      </c>
      <c r="Y26" s="89">
        <v>525.97</v>
      </c>
      <c r="Z26" s="54"/>
      <c r="AA26" s="54"/>
    </row>
    <row r="27" spans="1:27" ht="71.25" x14ac:dyDescent="0.45">
      <c r="A27" s="29" t="s">
        <v>53</v>
      </c>
      <c r="B27" s="31" t="s">
        <v>144</v>
      </c>
      <c r="C27" s="32" t="s">
        <v>77</v>
      </c>
      <c r="D27" s="46" t="s">
        <v>136</v>
      </c>
      <c r="E27" s="46" t="str">
        <f t="shared" si="1"/>
        <v>AWC/CWC North American Glued Laminated Timbers 2013 yes</v>
      </c>
      <c r="F27" s="32" t="str">
        <f t="shared" si="2"/>
        <v>Glulam Glulam US - Industry-Wide EPD AWC/CWC North American Glued Laminated Timbers 2013</v>
      </c>
      <c r="G27" s="32" t="str">
        <f t="shared" si="3"/>
        <v>Glulam Glulam US - Industry-Wide EPD AWC/CWC North American Glued Laminated Timbers 2013 yes</v>
      </c>
      <c r="H27" s="46" t="s">
        <v>86</v>
      </c>
      <c r="I27" s="32" t="str">
        <f t="shared" si="5"/>
        <v>AWC/CWC North American Glued Laminated Timbers 2013 EPD v2 - w/Long Term Biogenic Carbon Sequestration</v>
      </c>
      <c r="J27" s="32" t="str">
        <f t="shared" si="0"/>
        <v>AWC/CWC North American Glued Laminated Timbers 2013 EPD v2 - w/Long Term Biogenic Carbon Sequestration</v>
      </c>
      <c r="K27" s="19" t="s">
        <v>3</v>
      </c>
      <c r="L27" s="19" t="s">
        <v>15</v>
      </c>
      <c r="M27" s="33">
        <v>1.93</v>
      </c>
      <c r="N27" s="33">
        <v>281.73</v>
      </c>
      <c r="O27" s="33"/>
      <c r="P27" s="33"/>
      <c r="Q27" s="33"/>
      <c r="R27" s="33">
        <v>-964.28</v>
      </c>
      <c r="S27" s="33"/>
      <c r="T27" s="33">
        <v>197.87</v>
      </c>
      <c r="U27" s="33">
        <v>11.37</v>
      </c>
      <c r="V27" s="33"/>
      <c r="W27" s="33">
        <v>186.59</v>
      </c>
      <c r="X27" s="33">
        <v>-682.55</v>
      </c>
      <c r="Y27" s="89">
        <v>525.97</v>
      </c>
      <c r="Z27" s="54"/>
      <c r="AA27" s="54"/>
    </row>
    <row r="28" spans="1:27" s="7" customFormat="1" ht="139.15" customHeight="1" x14ac:dyDescent="0.45">
      <c r="A28" s="301" t="s">
        <v>53</v>
      </c>
      <c r="B28" s="139" t="s">
        <v>144</v>
      </c>
      <c r="C28" s="113" t="s">
        <v>78</v>
      </c>
      <c r="D28" s="140" t="s">
        <v>136</v>
      </c>
      <c r="E28" s="46" t="str">
        <f t="shared" si="1"/>
        <v>AWC/CWC North American Glued Laminated Timbers 2020 yes</v>
      </c>
      <c r="F28" s="32" t="str">
        <f t="shared" si="2"/>
        <v>Glulam Glulam US - Industry-Wide EPD AWC/CWC North American Glued Laminated Timbers 2020</v>
      </c>
      <c r="G28" s="32" t="str">
        <f t="shared" si="3"/>
        <v>Glulam Glulam US - Industry-Wide EPD AWC/CWC North American Glued Laminated Timbers 2020 yes</v>
      </c>
      <c r="H28" s="140" t="s">
        <v>83</v>
      </c>
      <c r="I28" s="113" t="str">
        <f>C28&amp;" "&amp;H28</f>
        <v>AWC/CWC North American Glued Laminated Timbers 2020 Tally w/Biogenic Carbon</v>
      </c>
      <c r="J28" s="32" t="str">
        <f t="shared" si="0"/>
        <v>AWC/CWC North American Glued Laminated Timbers 2020 Tally w/Biogenic Carbon</v>
      </c>
      <c r="K28" s="115"/>
      <c r="L28" s="115"/>
      <c r="M28" s="94">
        <v>1.93</v>
      </c>
      <c r="N28" s="95">
        <f>Y28*'Tally C-D kg factors'!D5</f>
        <v>355.31750435138707</v>
      </c>
      <c r="O28" s="94">
        <f>Y28*'Tally C-D kg factors'!E5</f>
        <v>263.93491376017363</v>
      </c>
      <c r="P28" s="94"/>
      <c r="Q28" s="94">
        <f>Y28*'Tally C-D kg factors'!F5</f>
        <v>49.433425786888066</v>
      </c>
      <c r="R28" s="94">
        <v>-977.38</v>
      </c>
      <c r="S28" s="94"/>
      <c r="T28" s="94">
        <v>137.19</v>
      </c>
      <c r="U28" s="94">
        <v>-1354.99</v>
      </c>
      <c r="V28" s="94">
        <v>23.79</v>
      </c>
      <c r="W28" s="94">
        <v>491.02</v>
      </c>
      <c r="X28" s="94">
        <v>-820.6</v>
      </c>
      <c r="Y28" s="141">
        <v>533.12</v>
      </c>
    </row>
    <row r="29" spans="1:27" s="21" customFormat="1" ht="57" x14ac:dyDescent="0.45">
      <c r="A29" s="29" t="s">
        <v>53</v>
      </c>
      <c r="B29" s="31" t="s">
        <v>144</v>
      </c>
      <c r="C29" s="32" t="s">
        <v>78</v>
      </c>
      <c r="D29" s="46" t="s">
        <v>157</v>
      </c>
      <c r="E29" s="46" t="str">
        <f t="shared" si="1"/>
        <v>AWC/CWC North American Glued Laminated Timbers 2020 no</v>
      </c>
      <c r="F29" s="32" t="str">
        <f t="shared" si="2"/>
        <v>Glulam Glulam US - Industry-Wide EPD AWC/CWC North American Glued Laminated Timbers 2020</v>
      </c>
      <c r="G29" s="32" t="str">
        <f t="shared" si="3"/>
        <v>Glulam Glulam US - Industry-Wide EPD AWC/CWC North American Glued Laminated Timbers 2020 no</v>
      </c>
      <c r="H29" s="46" t="s">
        <v>84</v>
      </c>
      <c r="I29" s="32" t="str">
        <f t="shared" si="5"/>
        <v>AWC/CWC North American Glued Laminated Timbers 2020 Tally w/o Biogenic Carbon</v>
      </c>
      <c r="J29" s="32" t="str">
        <f t="shared" si="0"/>
        <v>AWC/CWC North American Glued Laminated Timbers 2020 Tally w/o Biogenic Carbon</v>
      </c>
      <c r="K29" s="19"/>
      <c r="L29" s="19"/>
      <c r="M29" s="33">
        <v>1.93</v>
      </c>
      <c r="N29" s="33">
        <v>0</v>
      </c>
      <c r="O29" s="94">
        <f>Y29*'Tally C-D kg factors'!E6</f>
        <v>263.93491376017363</v>
      </c>
      <c r="P29" s="94"/>
      <c r="Q29" s="94">
        <f>Y29*'Tally C-D kg factors'!F6</f>
        <v>-90.752509543962972</v>
      </c>
      <c r="R29" s="33">
        <v>0</v>
      </c>
      <c r="S29" s="33"/>
      <c r="T29" s="33">
        <v>137.19</v>
      </c>
      <c r="U29" s="33">
        <v>-1354.99</v>
      </c>
      <c r="V29" s="33">
        <v>23.79</v>
      </c>
      <c r="W29" s="33">
        <v>491.02</v>
      </c>
      <c r="X29" s="33">
        <v>-820.6</v>
      </c>
      <c r="Y29" s="89">
        <v>533.12</v>
      </c>
      <c r="Z29" s="54"/>
      <c r="AA29" s="54"/>
    </row>
    <row r="30" spans="1:27" ht="57" x14ac:dyDescent="0.45">
      <c r="A30" s="29" t="s">
        <v>53</v>
      </c>
      <c r="B30" s="31" t="s">
        <v>144</v>
      </c>
      <c r="C30" s="32" t="s">
        <v>78</v>
      </c>
      <c r="D30" s="46" t="s">
        <v>157</v>
      </c>
      <c r="E30" s="46" t="str">
        <f t="shared" si="1"/>
        <v>AWC/CWC North American Glued Laminated Timbers 2020 no</v>
      </c>
      <c r="F30" s="32" t="str">
        <f t="shared" si="2"/>
        <v>Glulam Glulam US - Industry-Wide EPD AWC/CWC North American Glued Laminated Timbers 2020</v>
      </c>
      <c r="G30" s="32" t="str">
        <f t="shared" si="3"/>
        <v>Glulam Glulam US - Industry-Wide EPD AWC/CWC North American Glued Laminated Timbers 2020 no</v>
      </c>
      <c r="H30" s="46" t="s">
        <v>87</v>
      </c>
      <c r="I30" s="32" t="str">
        <f t="shared" si="5"/>
        <v>AWC/CWC North American Glued Laminated Timbers 2020 EPD biogenic carbon not reported</v>
      </c>
      <c r="J30" s="32" t="str">
        <f t="shared" si="0"/>
        <v>AWC/CWC North American Glued Laminated Timbers 2020 EPD biogenic carbon not reported</v>
      </c>
      <c r="K30" s="19" t="s">
        <v>3</v>
      </c>
      <c r="L30" s="19" t="s">
        <v>12</v>
      </c>
      <c r="M30" s="33">
        <v>1.93</v>
      </c>
      <c r="N30" s="33">
        <v>0</v>
      </c>
      <c r="O30" s="33"/>
      <c r="P30" s="33"/>
      <c r="Q30" s="33"/>
      <c r="R30" s="33">
        <v>0</v>
      </c>
      <c r="S30" s="33"/>
      <c r="T30" s="33">
        <v>137.19</v>
      </c>
      <c r="U30" s="33">
        <v>66.260000000000005</v>
      </c>
      <c r="V30" s="33">
        <v>23.79</v>
      </c>
      <c r="W30" s="33">
        <v>47.15</v>
      </c>
      <c r="X30" s="33">
        <v>-820.6</v>
      </c>
      <c r="Y30" s="89">
        <v>533.12</v>
      </c>
      <c r="Z30" s="54"/>
      <c r="AA30" s="54"/>
    </row>
    <row r="31" spans="1:27" ht="57" x14ac:dyDescent="0.45">
      <c r="A31" s="29" t="s">
        <v>53</v>
      </c>
      <c r="B31" s="31" t="s">
        <v>144</v>
      </c>
      <c r="C31" s="32" t="s">
        <v>78</v>
      </c>
      <c r="D31" s="46" t="s">
        <v>136</v>
      </c>
      <c r="E31" s="46" t="str">
        <f t="shared" si="1"/>
        <v>AWC/CWC North American Glued Laminated Timbers 2020 yes</v>
      </c>
      <c r="F31" s="32" t="str">
        <f t="shared" si="2"/>
        <v>Glulam Glulam US - Industry-Wide EPD AWC/CWC North American Glued Laminated Timbers 2020</v>
      </c>
      <c r="G31" s="32" t="str">
        <f t="shared" si="3"/>
        <v>Glulam Glulam US - Industry-Wide EPD AWC/CWC North American Glued Laminated Timbers 2020 yes</v>
      </c>
      <c r="H31" s="46" t="s">
        <v>85</v>
      </c>
      <c r="I31" s="32" t="str">
        <f t="shared" si="5"/>
        <v>AWC/CWC North American Glued Laminated Timbers 2020 EPD v1 - Biogenic Carbon Net Neutral</v>
      </c>
      <c r="J31" s="32" t="str">
        <f t="shared" si="0"/>
        <v>AWC/CWC North American Glued Laminated Timbers 2020 EPD v1 - Biogenic Carbon Net Neutral</v>
      </c>
      <c r="K31" s="19" t="s">
        <v>3</v>
      </c>
      <c r="L31" s="19" t="s">
        <v>12</v>
      </c>
      <c r="M31" s="33">
        <v>1.93</v>
      </c>
      <c r="N31" s="33">
        <v>977.38</v>
      </c>
      <c r="O31" s="33"/>
      <c r="P31" s="33"/>
      <c r="Q31" s="33"/>
      <c r="R31" s="33">
        <v>-977.38</v>
      </c>
      <c r="S31" s="33"/>
      <c r="T31" s="33">
        <v>137.19</v>
      </c>
      <c r="U31" s="33">
        <v>-1354.99</v>
      </c>
      <c r="V31" s="33">
        <v>23.79</v>
      </c>
      <c r="W31" s="33">
        <v>491.02</v>
      </c>
      <c r="X31" s="33">
        <v>-820.6</v>
      </c>
      <c r="Y31" s="89">
        <v>533.12</v>
      </c>
      <c r="Z31" s="54"/>
      <c r="AA31" s="54"/>
    </row>
    <row r="32" spans="1:27" ht="71.25" x14ac:dyDescent="0.45">
      <c r="A32" s="29" t="s">
        <v>53</v>
      </c>
      <c r="B32" s="31" t="s">
        <v>144</v>
      </c>
      <c r="C32" s="32" t="s">
        <v>78</v>
      </c>
      <c r="D32" s="46" t="s">
        <v>136</v>
      </c>
      <c r="E32" s="46" t="str">
        <f t="shared" si="1"/>
        <v>AWC/CWC North American Glued Laminated Timbers 2020 yes</v>
      </c>
      <c r="F32" s="32" t="str">
        <f t="shared" si="2"/>
        <v>Glulam Glulam US - Industry-Wide EPD AWC/CWC North American Glued Laminated Timbers 2020</v>
      </c>
      <c r="G32" s="32" t="str">
        <f t="shared" si="3"/>
        <v>Glulam Glulam US - Industry-Wide EPD AWC/CWC North American Glued Laminated Timbers 2020 yes</v>
      </c>
      <c r="H32" s="46" t="s">
        <v>86</v>
      </c>
      <c r="I32" s="32" t="str">
        <f t="shared" si="5"/>
        <v>AWC/CWC North American Glued Laminated Timbers 2020 EPD v2 - w/Long Term Biogenic Carbon Sequestration</v>
      </c>
      <c r="J32" s="32" t="str">
        <f t="shared" si="0"/>
        <v>AWC/CWC North American Glued Laminated Timbers 2020 EPD v2 - w/Long Term Biogenic Carbon Sequestration</v>
      </c>
      <c r="K32" s="19" t="s">
        <v>3</v>
      </c>
      <c r="L32" s="19" t="s">
        <v>12</v>
      </c>
      <c r="M32" s="33">
        <v>1.93</v>
      </c>
      <c r="N32" s="33">
        <v>156.77999999999997</v>
      </c>
      <c r="O32" s="33"/>
      <c r="P32" s="33"/>
      <c r="Q32" s="33"/>
      <c r="R32" s="33">
        <v>-977.38</v>
      </c>
      <c r="S32" s="33"/>
      <c r="T32" s="33">
        <v>137.19</v>
      </c>
      <c r="U32" s="33">
        <v>-1354.99</v>
      </c>
      <c r="V32" s="33">
        <v>23.79</v>
      </c>
      <c r="W32" s="33">
        <v>491.02</v>
      </c>
      <c r="X32" s="33">
        <v>-820.6</v>
      </c>
      <c r="Y32" s="89">
        <v>533.12</v>
      </c>
      <c r="Z32" s="54"/>
      <c r="AA32" s="54"/>
    </row>
    <row r="33" spans="1:27" s="21" customFormat="1" ht="57" x14ac:dyDescent="0.45">
      <c r="A33" s="29" t="s">
        <v>53</v>
      </c>
      <c r="B33" s="31" t="s">
        <v>225</v>
      </c>
      <c r="C33" s="31" t="s">
        <v>80</v>
      </c>
      <c r="D33" s="45" t="s">
        <v>136</v>
      </c>
      <c r="E33" s="46" t="str">
        <f t="shared" si="1"/>
        <v>Corrim Report LCA of PNW Glued Laminated Timbers 2017 yes</v>
      </c>
      <c r="F33" s="32" t="str">
        <f t="shared" si="2"/>
        <v>Glulam Glulam US - Regional EPD - PNW Corrim Report LCA of PNW Glued Laminated Timbers 2017</v>
      </c>
      <c r="G33" s="32" t="str">
        <f t="shared" si="3"/>
        <v>Glulam Glulam US - Regional EPD - PNW Corrim Report LCA of PNW Glued Laminated Timbers 2017 yes</v>
      </c>
      <c r="H33" s="46" t="s">
        <v>83</v>
      </c>
      <c r="I33" s="32" t="str">
        <f t="shared" si="5"/>
        <v>Corrim Report LCA of PNW Glued Laminated Timbers 2017 Tally w/Biogenic Carbon</v>
      </c>
      <c r="J33" s="32" t="str">
        <f t="shared" si="0"/>
        <v>Corrim Report LCA of PNW Glued Laminated Timbers 2017 Tally w/Biogenic Carbon</v>
      </c>
      <c r="K33" s="19"/>
      <c r="L33" s="19"/>
      <c r="M33" s="33">
        <v>1.93</v>
      </c>
      <c r="N33" s="94">
        <f>Y33*'Tally C-D kg factors'!D5</f>
        <v>340.37486770755811</v>
      </c>
      <c r="O33" s="94">
        <f>Y33*'Tally C-D kg factors'!E5</f>
        <v>252.83530998146884</v>
      </c>
      <c r="P33" s="94"/>
      <c r="Q33" s="94">
        <f>Y33*'Tally C-D kg factors'!F5</f>
        <v>47.354536594694878</v>
      </c>
      <c r="R33" s="33">
        <v>-933.06</v>
      </c>
      <c r="S33" s="33"/>
      <c r="T33" s="33">
        <v>135.65</v>
      </c>
      <c r="U33" s="33"/>
      <c r="V33" s="33"/>
      <c r="W33" s="33"/>
      <c r="X33" s="33"/>
      <c r="Y33" s="89">
        <v>510.7</v>
      </c>
      <c r="Z33" s="54"/>
      <c r="AA33" s="54"/>
    </row>
    <row r="34" spans="1:27" s="21" customFormat="1" ht="57" x14ac:dyDescent="0.45">
      <c r="A34" s="29" t="s">
        <v>53</v>
      </c>
      <c r="B34" s="31" t="s">
        <v>225</v>
      </c>
      <c r="C34" s="31" t="s">
        <v>80</v>
      </c>
      <c r="D34" s="45" t="s">
        <v>157</v>
      </c>
      <c r="E34" s="46" t="str">
        <f t="shared" si="1"/>
        <v>Corrim Report LCA of PNW Glued Laminated Timbers 2017 no</v>
      </c>
      <c r="F34" s="32" t="str">
        <f t="shared" si="2"/>
        <v>Glulam Glulam US - Regional EPD - PNW Corrim Report LCA of PNW Glued Laminated Timbers 2017</v>
      </c>
      <c r="G34" s="32" t="str">
        <f t="shared" si="3"/>
        <v>Glulam Glulam US - Regional EPD - PNW Corrim Report LCA of PNW Glued Laminated Timbers 2017 no</v>
      </c>
      <c r="H34" s="46" t="s">
        <v>84</v>
      </c>
      <c r="I34" s="32" t="str">
        <f t="shared" si="5"/>
        <v>Corrim Report LCA of PNW Glued Laminated Timbers 2017 Tally w/o Biogenic Carbon</v>
      </c>
      <c r="J34" s="32" t="str">
        <f t="shared" si="0"/>
        <v>Corrim Report LCA of PNW Glued Laminated Timbers 2017 Tally w/o Biogenic Carbon</v>
      </c>
      <c r="K34" s="19"/>
      <c r="L34" s="19"/>
      <c r="M34" s="33">
        <v>1.93</v>
      </c>
      <c r="N34" s="33">
        <v>0</v>
      </c>
      <c r="O34" s="94">
        <f>Y34*'Tally C-D kg factors'!E6</f>
        <v>252.83530998146884</v>
      </c>
      <c r="P34" s="94"/>
      <c r="Q34" s="94">
        <f>Y34*'Tally C-D kg factors'!F6</f>
        <v>-86.935974309915011</v>
      </c>
      <c r="R34" s="33">
        <v>0</v>
      </c>
      <c r="S34" s="33"/>
      <c r="T34" s="33">
        <v>135.65</v>
      </c>
      <c r="U34" s="33"/>
      <c r="V34" s="33"/>
      <c r="W34" s="33"/>
      <c r="X34" s="33"/>
      <c r="Y34" s="89">
        <v>510.7</v>
      </c>
      <c r="Z34" s="54"/>
      <c r="AA34" s="54"/>
    </row>
    <row r="35" spans="1:27" ht="57" x14ac:dyDescent="0.45">
      <c r="A35" s="29" t="s">
        <v>53</v>
      </c>
      <c r="B35" s="31" t="s">
        <v>225</v>
      </c>
      <c r="C35" s="31" t="s">
        <v>80</v>
      </c>
      <c r="D35" s="45" t="s">
        <v>136</v>
      </c>
      <c r="E35" s="46" t="str">
        <f t="shared" si="1"/>
        <v>Corrim Report LCA of PNW Glued Laminated Timbers 2017 yes</v>
      </c>
      <c r="F35" s="32" t="str">
        <f t="shared" si="2"/>
        <v>Glulam Glulam US - Regional EPD - PNW Corrim Report LCA of PNW Glued Laminated Timbers 2017</v>
      </c>
      <c r="G35" s="32" t="str">
        <f t="shared" si="3"/>
        <v>Glulam Glulam US - Regional EPD - PNW Corrim Report LCA of PNW Glued Laminated Timbers 2017 yes</v>
      </c>
      <c r="H35" s="46" t="s">
        <v>85</v>
      </c>
      <c r="I35" s="32" t="str">
        <f t="shared" si="5"/>
        <v>Corrim Report LCA of PNW Glued Laminated Timbers 2017 EPD v1 - Biogenic Carbon Net Neutral</v>
      </c>
      <c r="J35" s="32" t="str">
        <f t="shared" si="0"/>
        <v>Corrim Report LCA of PNW Glued Laminated Timbers 2017 EPD v1 - Biogenic Carbon Net Neutral</v>
      </c>
      <c r="K35" s="19"/>
      <c r="L35" s="19"/>
      <c r="M35" s="33">
        <v>1.93</v>
      </c>
      <c r="N35" s="33">
        <v>933.06</v>
      </c>
      <c r="O35" s="33">
        <v>0</v>
      </c>
      <c r="P35" s="33">
        <v>0</v>
      </c>
      <c r="Q35" s="33">
        <v>0</v>
      </c>
      <c r="R35" s="33">
        <v>-933.06</v>
      </c>
      <c r="S35" s="33">
        <v>0</v>
      </c>
      <c r="T35" s="33">
        <v>135.65</v>
      </c>
      <c r="U35" s="33"/>
      <c r="V35" s="33"/>
      <c r="W35" s="33"/>
      <c r="X35" s="33"/>
      <c r="Y35" s="89">
        <v>510.7</v>
      </c>
      <c r="Z35" s="54"/>
      <c r="AA35" s="54"/>
    </row>
    <row r="36" spans="1:27" ht="71.25" x14ac:dyDescent="0.45">
      <c r="A36" s="29" t="s">
        <v>53</v>
      </c>
      <c r="B36" s="31" t="s">
        <v>225</v>
      </c>
      <c r="C36" s="31" t="s">
        <v>80</v>
      </c>
      <c r="D36" s="45" t="s">
        <v>136</v>
      </c>
      <c r="E36" s="46" t="str">
        <f t="shared" si="1"/>
        <v>Corrim Report LCA of PNW Glued Laminated Timbers 2017 yes</v>
      </c>
      <c r="F36" s="32" t="str">
        <f t="shared" si="2"/>
        <v>Glulam Glulam US - Regional EPD - PNW Corrim Report LCA of PNW Glued Laminated Timbers 2017</v>
      </c>
      <c r="G36" s="32" t="str">
        <f t="shared" si="3"/>
        <v>Glulam Glulam US - Regional EPD - PNW Corrim Report LCA of PNW Glued Laminated Timbers 2017 yes</v>
      </c>
      <c r="H36" s="46" t="s">
        <v>86</v>
      </c>
      <c r="I36" s="32" t="str">
        <f t="shared" si="5"/>
        <v>Corrim Report LCA of PNW Glued Laminated Timbers 2017 EPD v2 - w/Long Term Biogenic Carbon Sequestration</v>
      </c>
      <c r="J36" s="32" t="str">
        <f t="shared" si="0"/>
        <v>Corrim Report LCA of PNW Glued Laminated Timbers 2017 EPD v2 - w/Long Term Biogenic Carbon Sequestration</v>
      </c>
      <c r="K36" s="19"/>
      <c r="L36" s="19"/>
      <c r="M36" s="33">
        <v>1.93</v>
      </c>
      <c r="N36" s="33">
        <f>(R36/R32)*N32</f>
        <v>149.67069798849982</v>
      </c>
      <c r="O36" s="33">
        <v>0</v>
      </c>
      <c r="P36" s="33">
        <v>0</v>
      </c>
      <c r="Q36" s="33">
        <v>0</v>
      </c>
      <c r="R36" s="33">
        <v>-933.06</v>
      </c>
      <c r="S36" s="33">
        <v>0</v>
      </c>
      <c r="T36" s="33">
        <v>135.65</v>
      </c>
      <c r="U36" s="33"/>
      <c r="V36" s="33"/>
      <c r="W36" s="33"/>
      <c r="X36" s="33"/>
      <c r="Y36" s="89">
        <v>510.7</v>
      </c>
      <c r="Z36" s="54"/>
      <c r="AA36" s="54"/>
    </row>
    <row r="37" spans="1:27" s="21" customFormat="1" ht="71.25" x14ac:dyDescent="0.45">
      <c r="A37" s="29" t="s">
        <v>53</v>
      </c>
      <c r="B37" s="31" t="s">
        <v>226</v>
      </c>
      <c r="C37" s="31" t="s">
        <v>81</v>
      </c>
      <c r="D37" s="45" t="s">
        <v>136</v>
      </c>
      <c r="E37" s="46" t="str">
        <f t="shared" si="1"/>
        <v>Corrim Report: LCA For the Production of Southeast Glued Laminated Timbers 2017 yes</v>
      </c>
      <c r="F37" s="32" t="str">
        <f t="shared" si="2"/>
        <v>Glulam Glulam US - Regional EPD - SE Corrim Report: LCA For the Production of Southeast Glued Laminated Timbers 2017</v>
      </c>
      <c r="G37" s="32" t="str">
        <f t="shared" si="3"/>
        <v>Glulam Glulam US - Regional EPD - SE Corrim Report: LCA For the Production of Southeast Glued Laminated Timbers 2017 yes</v>
      </c>
      <c r="H37" s="46" t="s">
        <v>83</v>
      </c>
      <c r="I37" s="32" t="str">
        <f t="shared" si="5"/>
        <v>Corrim Report: LCA For the Production of Southeast Glued Laminated Timbers 2017 Tally w/Biogenic Carbon</v>
      </c>
      <c r="J37" s="32" t="str">
        <f t="shared" si="0"/>
        <v>Corrim Report: LCA For the Production of Southeast Glued Laminated Timbers 2017 Tally w/Biogenic Carbon</v>
      </c>
      <c r="K37" s="19"/>
      <c r="L37" s="19"/>
      <c r="M37" s="33">
        <v>1.93</v>
      </c>
      <c r="N37" s="96">
        <f>Y37*'Tally C-D kg factors'!D5</f>
        <v>393.2272801007623</v>
      </c>
      <c r="O37" s="96">
        <f>Y37*'Tally C-D kg factors'!E5</f>
        <v>292.09483628170477</v>
      </c>
      <c r="P37" s="91"/>
      <c r="Q37" s="96">
        <f>Y37*'Tally C-D kg factors'!F5</f>
        <v>54.707610320873272</v>
      </c>
      <c r="R37" s="33">
        <v>-1006.73</v>
      </c>
      <c r="S37" s="33"/>
      <c r="T37" s="33">
        <v>135.06</v>
      </c>
      <c r="U37" s="33"/>
      <c r="V37" s="33"/>
      <c r="W37" s="33"/>
      <c r="X37" s="33"/>
      <c r="Y37" s="89">
        <v>590</v>
      </c>
      <c r="Z37" s="54"/>
      <c r="AA37" s="54"/>
    </row>
    <row r="38" spans="1:27" s="21" customFormat="1" ht="71.25" x14ac:dyDescent="0.45">
      <c r="A38" s="29" t="s">
        <v>53</v>
      </c>
      <c r="B38" s="31" t="s">
        <v>226</v>
      </c>
      <c r="C38" s="31" t="s">
        <v>81</v>
      </c>
      <c r="D38" s="45" t="s">
        <v>157</v>
      </c>
      <c r="E38" s="46" t="str">
        <f t="shared" si="1"/>
        <v>Corrim Report: LCA For the Production of Southeast Glued Laminated Timbers 2017 no</v>
      </c>
      <c r="F38" s="32" t="str">
        <f t="shared" si="2"/>
        <v>Glulam Glulam US - Regional EPD - SE Corrim Report: LCA For the Production of Southeast Glued Laminated Timbers 2017</v>
      </c>
      <c r="G38" s="32" t="str">
        <f t="shared" si="3"/>
        <v>Glulam Glulam US - Regional EPD - SE Corrim Report: LCA For the Production of Southeast Glued Laminated Timbers 2017 no</v>
      </c>
      <c r="H38" s="46" t="s">
        <v>84</v>
      </c>
      <c r="I38" s="32" t="str">
        <f t="shared" si="5"/>
        <v>Corrim Report: LCA For the Production of Southeast Glued Laminated Timbers 2017 Tally w/o Biogenic Carbon</v>
      </c>
      <c r="J38" s="32" t="str">
        <f t="shared" si="0"/>
        <v>Corrim Report: LCA For the Production of Southeast Glued Laminated Timbers 2017 Tally w/o Biogenic Carbon</v>
      </c>
      <c r="K38" s="19"/>
      <c r="L38" s="19"/>
      <c r="M38" s="33">
        <v>1.93</v>
      </c>
      <c r="N38" s="91">
        <v>0</v>
      </c>
      <c r="O38" s="96">
        <f>Y38*'Tally C-D kg factors'!E6</f>
        <v>292.09483628170477</v>
      </c>
      <c r="P38" s="91"/>
      <c r="Q38" s="96">
        <f>Y38*'Tally C-D kg factors'!F6</f>
        <v>-100.43513773810427</v>
      </c>
      <c r="R38" s="33">
        <v>0</v>
      </c>
      <c r="S38" s="33"/>
      <c r="T38" s="33">
        <v>135.06</v>
      </c>
      <c r="U38" s="33"/>
      <c r="V38" s="33"/>
      <c r="W38" s="33"/>
      <c r="X38" s="33"/>
      <c r="Y38" s="89">
        <v>590</v>
      </c>
      <c r="Z38" s="54"/>
      <c r="AA38" s="54"/>
    </row>
    <row r="39" spans="1:27" ht="71.25" x14ac:dyDescent="0.45">
      <c r="A39" s="29" t="s">
        <v>53</v>
      </c>
      <c r="B39" s="31" t="s">
        <v>226</v>
      </c>
      <c r="C39" s="31" t="s">
        <v>81</v>
      </c>
      <c r="D39" s="45" t="s">
        <v>136</v>
      </c>
      <c r="E39" s="46" t="str">
        <f t="shared" si="1"/>
        <v>Corrim Report: LCA For the Production of Southeast Glued Laminated Timbers 2017 yes</v>
      </c>
      <c r="F39" s="32" t="str">
        <f t="shared" si="2"/>
        <v>Glulam Glulam US - Regional EPD - SE Corrim Report: LCA For the Production of Southeast Glued Laminated Timbers 2017</v>
      </c>
      <c r="G39" s="32" t="str">
        <f t="shared" si="3"/>
        <v>Glulam Glulam US - Regional EPD - SE Corrim Report: LCA For the Production of Southeast Glued Laminated Timbers 2017 yes</v>
      </c>
      <c r="H39" s="46" t="s">
        <v>85</v>
      </c>
      <c r="I39" s="32" t="str">
        <f t="shared" si="5"/>
        <v>Corrim Report: LCA For the Production of Southeast Glued Laminated Timbers 2017 EPD v1 - Biogenic Carbon Net Neutral</v>
      </c>
      <c r="J39" s="32" t="str">
        <f t="shared" si="0"/>
        <v>Corrim Report: LCA For the Production of Southeast Glued Laminated Timbers 2017 EPD v1 - Biogenic Carbon Net Neutral</v>
      </c>
      <c r="K39" s="19"/>
      <c r="L39" s="19"/>
      <c r="M39" s="33">
        <v>2.02</v>
      </c>
      <c r="N39" s="33">
        <v>1006.73</v>
      </c>
      <c r="O39" s="33">
        <v>0</v>
      </c>
      <c r="P39" s="33">
        <v>0</v>
      </c>
      <c r="Q39" s="33">
        <v>0</v>
      </c>
      <c r="R39" s="33">
        <v>-1006.73</v>
      </c>
      <c r="S39" s="33"/>
      <c r="T39" s="33">
        <v>135.06</v>
      </c>
      <c r="U39" s="33"/>
      <c r="V39" s="33"/>
      <c r="W39" s="33"/>
      <c r="X39" s="33"/>
      <c r="Y39" s="89">
        <v>590</v>
      </c>
      <c r="Z39" s="54"/>
      <c r="AA39" s="54"/>
    </row>
    <row r="40" spans="1:27" ht="85.5" x14ac:dyDescent="0.45">
      <c r="A40" s="29" t="s">
        <v>53</v>
      </c>
      <c r="B40" s="31" t="s">
        <v>226</v>
      </c>
      <c r="C40" s="31" t="s">
        <v>81</v>
      </c>
      <c r="D40" s="45" t="s">
        <v>136</v>
      </c>
      <c r="E40" s="46" t="str">
        <f t="shared" si="1"/>
        <v>Corrim Report: LCA For the Production of Southeast Glued Laminated Timbers 2017 yes</v>
      </c>
      <c r="F40" s="32" t="str">
        <f t="shared" si="2"/>
        <v>Glulam Glulam US - Regional EPD - SE Corrim Report: LCA For the Production of Southeast Glued Laminated Timbers 2017</v>
      </c>
      <c r="G40" s="32" t="str">
        <f t="shared" si="3"/>
        <v>Glulam Glulam US - Regional EPD - SE Corrim Report: LCA For the Production of Southeast Glued Laminated Timbers 2017 yes</v>
      </c>
      <c r="H40" s="46" t="s">
        <v>86</v>
      </c>
      <c r="I40" s="32" t="str">
        <f t="shared" si="5"/>
        <v>Corrim Report: LCA For the Production of Southeast Glued Laminated Timbers 2017 EPD v2 - w/Long Term Biogenic Carbon Sequestration</v>
      </c>
      <c r="J40" s="32" t="str">
        <f t="shared" ref="J40:J62" si="7">I40</f>
        <v>Corrim Report: LCA For the Production of Southeast Glued Laminated Timbers 2017 EPD v2 - w/Long Term Biogenic Carbon Sequestration</v>
      </c>
      <c r="K40" s="19"/>
      <c r="L40" s="19"/>
      <c r="M40" s="33">
        <v>2.02</v>
      </c>
      <c r="N40" s="33">
        <f>(R40/R32)*N32</f>
        <v>161.48798768135217</v>
      </c>
      <c r="O40" s="33">
        <v>0</v>
      </c>
      <c r="P40" s="33">
        <v>0</v>
      </c>
      <c r="Q40" s="33">
        <v>0</v>
      </c>
      <c r="R40" s="33">
        <v>-1006.73</v>
      </c>
      <c r="S40" s="33"/>
      <c r="T40" s="33">
        <v>135.06</v>
      </c>
      <c r="U40" s="33"/>
      <c r="V40" s="33"/>
      <c r="W40" s="33"/>
      <c r="X40" s="33"/>
      <c r="Y40" s="89">
        <v>590</v>
      </c>
      <c r="Z40" s="54"/>
      <c r="AA40" s="54"/>
    </row>
    <row r="41" spans="1:27" s="21" customFormat="1" ht="85.5" x14ac:dyDescent="0.45">
      <c r="A41" s="29" t="s">
        <v>53</v>
      </c>
      <c r="B41" s="31" t="s">
        <v>227</v>
      </c>
      <c r="C41" s="31" t="s">
        <v>228</v>
      </c>
      <c r="D41" s="45" t="s">
        <v>136</v>
      </c>
      <c r="E41" s="46" t="str">
        <f t="shared" si="1"/>
        <v>Athena Sustainable Materials Insitute - A Cradle-to-Gate Life Cycle Assessment
of Canadian Glulam (2019) yes</v>
      </c>
      <c r="F41" s="32" t="str">
        <f t="shared" si="2"/>
        <v>Glulam Glulam CA - Industry Wide Athena Sustainable Materials Insitute - A Cradle-to-Gate Life Cycle Assessment
of Canadian Glulam (2019)</v>
      </c>
      <c r="G41" s="32" t="str">
        <f t="shared" si="3"/>
        <v>Glulam Glulam CA - Industry Wide Athena Sustainable Materials Insitute - A Cradle-to-Gate Life Cycle Assessment
of Canadian Glulam (2019) yes</v>
      </c>
      <c r="H41" s="46" t="s">
        <v>83</v>
      </c>
      <c r="I41" s="32" t="str">
        <f t="shared" si="5"/>
        <v>Athena Sustainable Materials Insitute - A Cradle-to-Gate Life Cycle Assessment
of Canadian Glulam (2019) Tally w/Biogenic Carbon</v>
      </c>
      <c r="J41" s="32" t="str">
        <f t="shared" si="7"/>
        <v>Athena Sustainable Materials Insitute - A Cradle-to-Gate Life Cycle Assessment
of Canadian Glulam (2019) Tally w/Biogenic Carbon</v>
      </c>
      <c r="K41" s="19"/>
      <c r="L41" s="19"/>
      <c r="M41" s="33">
        <v>1.93</v>
      </c>
      <c r="N41" s="94">
        <f>Y41*'Tally C-D kg factors'!D5</f>
        <v>285.25639980190891</v>
      </c>
      <c r="O41" s="94">
        <f>Y41*'Tally C-D kg factors'!E5</f>
        <v>211.8925253026604</v>
      </c>
      <c r="P41" s="94"/>
      <c r="Q41" s="94">
        <f>Y41*'Tally C-D kg factors'!F5</f>
        <v>39.686198673447052</v>
      </c>
      <c r="R41" s="33">
        <v>-784.7</v>
      </c>
      <c r="S41" s="33"/>
      <c r="T41" s="33">
        <v>184.09</v>
      </c>
      <c r="U41" s="33">
        <v>109.97</v>
      </c>
      <c r="V41" s="33">
        <v>19.07</v>
      </c>
      <c r="W41" s="33">
        <v>55.05</v>
      </c>
      <c r="X41" s="33"/>
      <c r="Y41" s="89">
        <v>428</v>
      </c>
      <c r="Z41" s="54"/>
      <c r="AA41" s="54"/>
    </row>
    <row r="42" spans="1:27" s="21" customFormat="1" ht="85.5" x14ac:dyDescent="0.45">
      <c r="A42" s="29" t="s">
        <v>53</v>
      </c>
      <c r="B42" s="31" t="s">
        <v>227</v>
      </c>
      <c r="C42" s="31" t="s">
        <v>228</v>
      </c>
      <c r="D42" s="45" t="s">
        <v>157</v>
      </c>
      <c r="E42" s="46" t="str">
        <f t="shared" si="1"/>
        <v>Athena Sustainable Materials Insitute - A Cradle-to-Gate Life Cycle Assessment
of Canadian Glulam (2019) no</v>
      </c>
      <c r="F42" s="32" t="str">
        <f t="shared" si="2"/>
        <v>Glulam Glulam CA - Industry Wide Athena Sustainable Materials Insitute - A Cradle-to-Gate Life Cycle Assessment
of Canadian Glulam (2019)</v>
      </c>
      <c r="G42" s="32" t="str">
        <f t="shared" si="3"/>
        <v>Glulam Glulam CA - Industry Wide Athena Sustainable Materials Insitute - A Cradle-to-Gate Life Cycle Assessment
of Canadian Glulam (2019) no</v>
      </c>
      <c r="H42" s="46" t="s">
        <v>84</v>
      </c>
      <c r="I42" s="32" t="str">
        <f t="shared" si="5"/>
        <v>Athena Sustainable Materials Insitute - A Cradle-to-Gate Life Cycle Assessment
of Canadian Glulam (2019) Tally w/o Biogenic Carbon</v>
      </c>
      <c r="J42" s="32" t="str">
        <f t="shared" si="7"/>
        <v>Athena Sustainable Materials Insitute - A Cradle-to-Gate Life Cycle Assessment
of Canadian Glulam (2019) Tally w/o Biogenic Carbon</v>
      </c>
      <c r="K42" s="19"/>
      <c r="L42" s="19"/>
      <c r="M42" s="33">
        <v>1.93</v>
      </c>
      <c r="N42" s="33">
        <v>0</v>
      </c>
      <c r="O42" s="94">
        <f>Y42*'Tally C-D kg factors'!E6</f>
        <v>211.8925253026604</v>
      </c>
      <c r="P42" s="94"/>
      <c r="Q42" s="94">
        <f>Y42*'Tally C-D kg factors'!F6</f>
        <v>-72.858032121879035</v>
      </c>
      <c r="R42" s="33">
        <v>0</v>
      </c>
      <c r="S42" s="33"/>
      <c r="T42" s="33">
        <v>184.09</v>
      </c>
      <c r="U42" s="33">
        <v>109.97</v>
      </c>
      <c r="V42" s="33">
        <v>19.07</v>
      </c>
      <c r="W42" s="33">
        <v>55.05</v>
      </c>
      <c r="X42" s="33"/>
      <c r="Y42" s="89">
        <v>428</v>
      </c>
      <c r="Z42" s="54"/>
      <c r="AA42" s="54"/>
    </row>
    <row r="43" spans="1:27" s="21" customFormat="1" ht="99.75" x14ac:dyDescent="0.45">
      <c r="A43" s="29" t="s">
        <v>53</v>
      </c>
      <c r="B43" s="31" t="s">
        <v>227</v>
      </c>
      <c r="C43" s="31" t="s">
        <v>228</v>
      </c>
      <c r="D43" s="45" t="s">
        <v>136</v>
      </c>
      <c r="E43" s="46" t="str">
        <f t="shared" si="1"/>
        <v>Athena Sustainable Materials Insitute - A Cradle-to-Gate Life Cycle Assessment
of Canadian Glulam (2019) yes</v>
      </c>
      <c r="F43" s="32" t="str">
        <f t="shared" si="2"/>
        <v>Glulam Glulam CA - Industry Wide Athena Sustainable Materials Insitute - A Cradle-to-Gate Life Cycle Assessment
of Canadian Glulam (2019)</v>
      </c>
      <c r="G43" s="32" t="str">
        <f t="shared" si="3"/>
        <v>Glulam Glulam CA - Industry Wide Athena Sustainable Materials Insitute - A Cradle-to-Gate Life Cycle Assessment
of Canadian Glulam (2019) yes</v>
      </c>
      <c r="H43" s="46" t="s">
        <v>85</v>
      </c>
      <c r="I43" s="32" t="str">
        <f t="shared" si="5"/>
        <v>Athena Sustainable Materials Insitute - A Cradle-to-Gate Life Cycle Assessment
of Canadian Glulam (2019) EPD v1 - Biogenic Carbon Net Neutral</v>
      </c>
      <c r="J43" s="32" t="str">
        <f t="shared" si="7"/>
        <v>Athena Sustainable Materials Insitute - A Cradle-to-Gate Life Cycle Assessment
of Canadian Glulam (2019) EPD v1 - Biogenic Carbon Net Neutral</v>
      </c>
      <c r="K43" s="19"/>
      <c r="L43" s="19"/>
      <c r="M43" s="33">
        <v>1.93</v>
      </c>
      <c r="N43" s="33">
        <v>784.7</v>
      </c>
      <c r="O43" s="33">
        <v>0</v>
      </c>
      <c r="P43" s="33">
        <v>0</v>
      </c>
      <c r="Q43" s="33">
        <v>0</v>
      </c>
      <c r="R43" s="33">
        <v>-784.7</v>
      </c>
      <c r="S43" s="33"/>
      <c r="T43" s="33">
        <v>184.09</v>
      </c>
      <c r="U43" s="33">
        <v>109.97</v>
      </c>
      <c r="V43" s="33">
        <v>19.07</v>
      </c>
      <c r="W43" s="33">
        <v>55.05</v>
      </c>
      <c r="X43" s="33"/>
      <c r="Y43" s="89">
        <v>428</v>
      </c>
      <c r="Z43" s="54"/>
      <c r="AA43" s="54"/>
    </row>
    <row r="44" spans="1:27" s="21" customFormat="1" ht="114" x14ac:dyDescent="0.45">
      <c r="A44" s="29" t="s">
        <v>53</v>
      </c>
      <c r="B44" s="31" t="s">
        <v>227</v>
      </c>
      <c r="C44" s="31" t="s">
        <v>228</v>
      </c>
      <c r="D44" s="45" t="s">
        <v>136</v>
      </c>
      <c r="E44" s="46" t="str">
        <f t="shared" si="1"/>
        <v>Athena Sustainable Materials Insitute - A Cradle-to-Gate Life Cycle Assessment
of Canadian Glulam (2019) yes</v>
      </c>
      <c r="F44" s="32" t="str">
        <f t="shared" si="2"/>
        <v>Glulam Glulam CA - Industry Wide Athena Sustainable Materials Insitute - A Cradle-to-Gate Life Cycle Assessment
of Canadian Glulam (2019)</v>
      </c>
      <c r="G44" s="32" t="str">
        <f t="shared" si="3"/>
        <v>Glulam Glulam CA - Industry Wide Athena Sustainable Materials Insitute - A Cradle-to-Gate Life Cycle Assessment
of Canadian Glulam (2019) yes</v>
      </c>
      <c r="H44" s="46" t="s">
        <v>86</v>
      </c>
      <c r="I44" s="32" t="str">
        <f t="shared" si="5"/>
        <v>Athena Sustainable Materials Insitute - A Cradle-to-Gate Life Cycle Assessment
of Canadian Glulam (2019) EPD v2 - w/Long Term Biogenic Carbon Sequestration</v>
      </c>
      <c r="J44" s="32" t="str">
        <f t="shared" si="7"/>
        <v>Athena Sustainable Materials Insitute - A Cradle-to-Gate Life Cycle Assessment
of Canadian Glulam (2019) EPD v2 - w/Long Term Biogenic Carbon Sequestration</v>
      </c>
      <c r="K44" s="19"/>
      <c r="L44" s="19"/>
      <c r="M44" s="33">
        <v>1.93</v>
      </c>
      <c r="N44" s="36">
        <f>N32/-R32*(-1*R44)</f>
        <v>125.87250199512984</v>
      </c>
      <c r="O44" s="33">
        <v>0</v>
      </c>
      <c r="P44" s="33">
        <v>0</v>
      </c>
      <c r="Q44" s="33">
        <v>0</v>
      </c>
      <c r="R44" s="33">
        <v>-784.7</v>
      </c>
      <c r="S44" s="33"/>
      <c r="T44" s="33">
        <v>184.09</v>
      </c>
      <c r="U44" s="33">
        <v>109.97</v>
      </c>
      <c r="V44" s="33">
        <v>19.07</v>
      </c>
      <c r="W44" s="33">
        <v>55.05</v>
      </c>
      <c r="X44" s="33"/>
      <c r="Y44" s="89">
        <v>428</v>
      </c>
      <c r="Z44" s="54"/>
      <c r="AA44" s="54"/>
    </row>
    <row r="45" spans="1:27" ht="45" customHeight="1" x14ac:dyDescent="0.45">
      <c r="A45" s="29" t="s">
        <v>24</v>
      </c>
      <c r="B45" s="31" t="s">
        <v>229</v>
      </c>
      <c r="C45" s="31" t="s">
        <v>230</v>
      </c>
      <c r="D45" s="45" t="s">
        <v>136</v>
      </c>
      <c r="E45" s="46" t="str">
        <f t="shared" si="1"/>
        <v>Tally's OSB Proxy (Oriented strand board CORRIM 2011) yes</v>
      </c>
      <c r="F45" s="32" t="str">
        <f t="shared" si="2"/>
        <v>LSL/OSL LSL/OSL Industry-Wide EPD Tally's OSB Proxy (Oriented strand board CORRIM 2011)</v>
      </c>
      <c r="G45" s="32" t="str">
        <f t="shared" si="3"/>
        <v>LSL/OSL LSL/OSL Industry-Wide EPD Tally's OSB Proxy (Oriented strand board CORRIM 2011) yes</v>
      </c>
      <c r="H45" s="46" t="s">
        <v>83</v>
      </c>
      <c r="I45" s="32" t="str">
        <f t="shared" si="5"/>
        <v>Tally's OSB Proxy (Oriented strand board CORRIM 2011) Tally w/Biogenic Carbon</v>
      </c>
      <c r="J45" s="32" t="str">
        <f t="shared" si="7"/>
        <v>Tally's OSB Proxy (Oriented strand board CORRIM 2011) Tally w/Biogenic Carbon</v>
      </c>
      <c r="K45" s="19" t="s">
        <v>2</v>
      </c>
      <c r="L45" s="87" t="s">
        <v>231</v>
      </c>
      <c r="M45" s="33">
        <v>1.649</v>
      </c>
      <c r="N45" s="91">
        <v>351.54027978608985</v>
      </c>
      <c r="O45" s="91">
        <v>270.8</v>
      </c>
      <c r="P45" s="91">
        <v>0</v>
      </c>
      <c r="Q45" s="91">
        <v>44.761339972763089</v>
      </c>
      <c r="R45" s="91">
        <v>-945.4726797569125</v>
      </c>
      <c r="S45" s="91">
        <v>13.948506927512486</v>
      </c>
      <c r="T45" s="97">
        <v>214</v>
      </c>
      <c r="U45" s="91">
        <v>0</v>
      </c>
      <c r="V45" s="91">
        <v>0</v>
      </c>
      <c r="W45" s="91">
        <v>0</v>
      </c>
      <c r="X45" s="91">
        <v>0</v>
      </c>
      <c r="Y45" s="90">
        <v>1091.2232010299999</v>
      </c>
      <c r="Z45" s="54"/>
      <c r="AA45" s="54"/>
    </row>
    <row r="46" spans="1:27" s="54" customFormat="1" ht="45" customHeight="1" x14ac:dyDescent="0.45">
      <c r="A46" s="29" t="s">
        <v>24</v>
      </c>
      <c r="B46" s="31" t="s">
        <v>229</v>
      </c>
      <c r="C46" s="31" t="s">
        <v>230</v>
      </c>
      <c r="D46" s="45" t="s">
        <v>157</v>
      </c>
      <c r="E46" s="46" t="str">
        <f t="shared" si="1"/>
        <v>Tally's OSB Proxy (Oriented strand board CORRIM 2011) no</v>
      </c>
      <c r="F46" s="32" t="str">
        <f t="shared" si="2"/>
        <v>LSL/OSL LSL/OSL Industry-Wide EPD Tally's OSB Proxy (Oriented strand board CORRIM 2011)</v>
      </c>
      <c r="G46" s="32" t="str">
        <f t="shared" si="3"/>
        <v>LSL/OSL LSL/OSL Industry-Wide EPD Tally's OSB Proxy (Oriented strand board CORRIM 2011) no</v>
      </c>
      <c r="H46" s="46" t="s">
        <v>84</v>
      </c>
      <c r="I46" s="32" t="str">
        <f t="shared" ref="I46" si="8">C46&amp;" "&amp;H46</f>
        <v>Tally's OSB Proxy (Oriented strand board CORRIM 2011) Tally w/o Biogenic Carbon</v>
      </c>
      <c r="J46" s="32" t="str">
        <f t="shared" si="7"/>
        <v>Tally's OSB Proxy (Oriented strand board CORRIM 2011) Tally w/o Biogenic Carbon</v>
      </c>
      <c r="K46" s="19" t="s">
        <v>2</v>
      </c>
      <c r="L46" s="87" t="s">
        <v>231</v>
      </c>
      <c r="M46" s="33">
        <v>1.649</v>
      </c>
      <c r="N46" s="33">
        <v>0</v>
      </c>
      <c r="O46" s="98">
        <v>270.75151983525063</v>
      </c>
      <c r="P46" s="91">
        <v>0</v>
      </c>
      <c r="Q46" s="98">
        <v>-92.797899943533594</v>
      </c>
      <c r="R46" s="91">
        <v>0</v>
      </c>
      <c r="S46" s="91">
        <v>13.871866779559127</v>
      </c>
      <c r="T46" s="97">
        <v>214.00688020199996</v>
      </c>
      <c r="U46" s="91">
        <v>0</v>
      </c>
      <c r="V46" s="91">
        <v>0</v>
      </c>
      <c r="W46" s="91">
        <v>0</v>
      </c>
      <c r="X46" s="91">
        <v>0</v>
      </c>
      <c r="Y46" s="90">
        <v>1091.2232010299999</v>
      </c>
    </row>
    <row r="47" spans="1:27" ht="66" customHeight="1" x14ac:dyDescent="0.45">
      <c r="A47" s="29" t="s">
        <v>25</v>
      </c>
      <c r="B47" s="31" t="s">
        <v>232</v>
      </c>
      <c r="C47" s="31" t="s">
        <v>233</v>
      </c>
      <c r="D47" s="45" t="s">
        <v>136</v>
      </c>
      <c r="E47" s="46" t="str">
        <f t="shared" si="1"/>
        <v>Tally - AWC/CWC North American Laminated veneer Lumber 2013 yes</v>
      </c>
      <c r="F47" s="32" t="str">
        <f t="shared" si="2"/>
        <v>LVL LVL Industry-Wide EPD Tally - AWC/CWC North American Laminated veneer Lumber 2013</v>
      </c>
      <c r="G47" s="32" t="str">
        <f t="shared" si="3"/>
        <v>LVL LVL Industry-Wide EPD Tally - AWC/CWC North American Laminated veneer Lumber 2013 yes</v>
      </c>
      <c r="H47" s="46" t="s">
        <v>83</v>
      </c>
      <c r="I47" s="32" t="str">
        <f>C47&amp;" "&amp;H47</f>
        <v>Tally - AWC/CWC North American Laminated veneer Lumber 2013 Tally w/Biogenic Carbon</v>
      </c>
      <c r="J47" s="32" t="str">
        <f t="shared" si="7"/>
        <v>Tally - AWC/CWC North American Laminated veneer Lumber 2013 Tally w/Biogenic Carbon</v>
      </c>
      <c r="K47" s="19" t="s">
        <v>2</v>
      </c>
      <c r="L47" s="87" t="s">
        <v>234</v>
      </c>
      <c r="M47" s="33">
        <v>1.34</v>
      </c>
      <c r="N47" s="91">
        <v>356.99897978277011</v>
      </c>
      <c r="O47" s="91">
        <v>270.8</v>
      </c>
      <c r="P47" s="91">
        <v>0</v>
      </c>
      <c r="Q47" s="91">
        <v>49.182886970072708</v>
      </c>
      <c r="R47" s="91">
        <v>-977.1</v>
      </c>
      <c r="S47" s="91">
        <v>13.948506927512486</v>
      </c>
      <c r="T47" s="91">
        <v>202</v>
      </c>
      <c r="U47" s="91">
        <v>0</v>
      </c>
      <c r="V47" s="91">
        <v>0</v>
      </c>
      <c r="W47" s="91">
        <v>0</v>
      </c>
      <c r="X47" s="91">
        <v>0</v>
      </c>
      <c r="Y47" s="90">
        <v>547.3773338499999</v>
      </c>
      <c r="Z47" s="54"/>
      <c r="AA47" s="54"/>
    </row>
    <row r="48" spans="1:27" s="54" customFormat="1" ht="66" customHeight="1" x14ac:dyDescent="0.45">
      <c r="A48" s="29" t="s">
        <v>25</v>
      </c>
      <c r="B48" s="31" t="s">
        <v>232</v>
      </c>
      <c r="C48" s="31" t="s">
        <v>233</v>
      </c>
      <c r="D48" s="45" t="s">
        <v>157</v>
      </c>
      <c r="E48" s="46" t="str">
        <f t="shared" si="1"/>
        <v>Tally - AWC/CWC North American Laminated veneer Lumber 2013 no</v>
      </c>
      <c r="F48" s="32" t="str">
        <f t="shared" si="2"/>
        <v>LVL LVL Industry-Wide EPD Tally - AWC/CWC North American Laminated veneer Lumber 2013</v>
      </c>
      <c r="G48" s="32" t="str">
        <f t="shared" si="3"/>
        <v>LVL LVL Industry-Wide EPD Tally - AWC/CWC North American Laminated veneer Lumber 2013 no</v>
      </c>
      <c r="H48" s="46" t="s">
        <v>84</v>
      </c>
      <c r="I48" s="32" t="str">
        <f t="shared" ref="I48:I52" si="9">C48&amp;" "&amp;H48</f>
        <v>Tally - AWC/CWC North American Laminated veneer Lumber 2013 Tally w/o Biogenic Carbon</v>
      </c>
      <c r="J48" s="32" t="str">
        <f t="shared" si="7"/>
        <v>Tally - AWC/CWC North American Laminated veneer Lumber 2013 Tally w/o Biogenic Carbon</v>
      </c>
      <c r="K48" s="19" t="s">
        <v>2</v>
      </c>
      <c r="L48" s="87" t="s">
        <v>234</v>
      </c>
      <c r="M48" s="33">
        <v>1.34</v>
      </c>
      <c r="N48" s="104">
        <v>0</v>
      </c>
      <c r="O48" s="98">
        <v>270.75151983525063</v>
      </c>
      <c r="P48" s="105">
        <v>0</v>
      </c>
      <c r="Q48" s="98">
        <v>-92.797899943533594</v>
      </c>
      <c r="R48" s="105">
        <v>0</v>
      </c>
      <c r="S48" s="105">
        <v>13.871866779559127</v>
      </c>
      <c r="T48" s="105">
        <v>201.99989352399996</v>
      </c>
      <c r="U48" s="105">
        <v>0</v>
      </c>
      <c r="V48" s="105">
        <v>0</v>
      </c>
      <c r="W48" s="105">
        <v>0</v>
      </c>
      <c r="X48" s="105">
        <v>0</v>
      </c>
      <c r="Y48" s="106">
        <v>547.3773338499999</v>
      </c>
    </row>
    <row r="49" spans="1:28" s="54" customFormat="1" ht="59.25" customHeight="1" x14ac:dyDescent="0.45">
      <c r="A49" s="29" t="s">
        <v>25</v>
      </c>
      <c r="B49" s="31" t="s">
        <v>232</v>
      </c>
      <c r="C49" s="31" t="s">
        <v>235</v>
      </c>
      <c r="D49" s="45" t="s">
        <v>136</v>
      </c>
      <c r="E49" s="46" t="str">
        <f t="shared" si="1"/>
        <v>AWC/CWC Laminated Veneer Lumber 2020 yes</v>
      </c>
      <c r="F49" s="32" t="str">
        <f t="shared" si="2"/>
        <v>LVL LVL Industry-Wide EPD AWC/CWC Laminated Veneer Lumber 2020</v>
      </c>
      <c r="G49" s="32" t="str">
        <f t="shared" si="3"/>
        <v>LVL LVL Industry-Wide EPD AWC/CWC Laminated Veneer Lumber 2020 yes</v>
      </c>
      <c r="H49" s="46" t="s">
        <v>83</v>
      </c>
      <c r="I49" s="32" t="str">
        <f t="shared" si="9"/>
        <v>AWC/CWC Laminated Veneer Lumber 2020 Tally w/Biogenic Carbon</v>
      </c>
      <c r="J49" s="32" t="str">
        <f t="shared" si="7"/>
        <v>AWC/CWC Laminated Veneer Lumber 2020 Tally w/Biogenic Carbon</v>
      </c>
      <c r="K49" s="19"/>
      <c r="L49" s="87"/>
      <c r="M49" s="33">
        <v>1.34</v>
      </c>
      <c r="N49" s="104">
        <f>Y49*'Tally C-D kg factors'!D7</f>
        <v>269.39135927102296</v>
      </c>
      <c r="O49" s="98">
        <f>Y49*'Tally C-D kg factors'!E7</f>
        <v>269.39135927102296</v>
      </c>
      <c r="P49" s="105"/>
      <c r="Q49" s="98">
        <f>Y49*'Tally C-D kg factors'!F7</f>
        <v>48.927048647492498</v>
      </c>
      <c r="R49" s="105">
        <v>-998.3</v>
      </c>
      <c r="S49" s="105"/>
      <c r="T49" s="105">
        <v>167.2</v>
      </c>
      <c r="U49" s="105"/>
      <c r="V49" s="105"/>
      <c r="W49" s="105"/>
      <c r="X49" s="105"/>
      <c r="Y49" s="90">
        <v>544.53</v>
      </c>
    </row>
    <row r="50" spans="1:28" s="54" customFormat="1" ht="61.5" customHeight="1" x14ac:dyDescent="0.45">
      <c r="A50" s="29" t="s">
        <v>25</v>
      </c>
      <c r="B50" s="31" t="s">
        <v>232</v>
      </c>
      <c r="C50" s="31" t="s">
        <v>235</v>
      </c>
      <c r="D50" s="45" t="s">
        <v>157</v>
      </c>
      <c r="E50" s="46" t="str">
        <f t="shared" si="1"/>
        <v>AWC/CWC Laminated Veneer Lumber 2020 no</v>
      </c>
      <c r="F50" s="32" t="str">
        <f t="shared" si="2"/>
        <v>LVL LVL Industry-Wide EPD AWC/CWC Laminated Veneer Lumber 2020</v>
      </c>
      <c r="G50" s="32" t="str">
        <f t="shared" si="3"/>
        <v>LVL LVL Industry-Wide EPD AWC/CWC Laminated Veneer Lumber 2020 no</v>
      </c>
      <c r="H50" s="46" t="s">
        <v>84</v>
      </c>
      <c r="I50" s="32" t="str">
        <f t="shared" si="9"/>
        <v>AWC/CWC Laminated Veneer Lumber 2020 Tally w/o Biogenic Carbon</v>
      </c>
      <c r="J50" s="32" t="str">
        <f t="shared" si="7"/>
        <v>AWC/CWC Laminated Veneer Lumber 2020 Tally w/o Biogenic Carbon</v>
      </c>
      <c r="K50" s="19"/>
      <c r="L50" s="87"/>
      <c r="M50" s="33">
        <v>1.34</v>
      </c>
      <c r="N50" s="104">
        <v>0</v>
      </c>
      <c r="O50" s="98">
        <f>'Tally C-D kg factors'!E8*Y50</f>
        <v>269.34313128919314</v>
      </c>
      <c r="P50" s="105"/>
      <c r="Q50" s="98">
        <f>Y50*'Tally C-D kg factors'!F8</f>
        <v>-92.315186127344532</v>
      </c>
      <c r="R50" s="105">
        <v>0</v>
      </c>
      <c r="S50" s="105"/>
      <c r="T50" s="105">
        <v>167.2</v>
      </c>
      <c r="U50" s="105"/>
      <c r="V50" s="105"/>
      <c r="W50" s="105"/>
      <c r="X50" s="105"/>
      <c r="Y50" s="90">
        <v>544.53</v>
      </c>
    </row>
    <row r="51" spans="1:28" s="54" customFormat="1" ht="66" customHeight="1" x14ac:dyDescent="0.45">
      <c r="A51" s="29" t="s">
        <v>25</v>
      </c>
      <c r="B51" s="31" t="s">
        <v>232</v>
      </c>
      <c r="C51" s="31" t="s">
        <v>235</v>
      </c>
      <c r="D51" s="45" t="s">
        <v>136</v>
      </c>
      <c r="E51" s="46" t="str">
        <f t="shared" si="1"/>
        <v>AWC/CWC Laminated Veneer Lumber 2020 yes</v>
      </c>
      <c r="F51" s="32" t="str">
        <f t="shared" si="2"/>
        <v>LVL LVL Industry-Wide EPD AWC/CWC Laminated Veneer Lumber 2020</v>
      </c>
      <c r="G51" s="32" t="str">
        <f t="shared" si="3"/>
        <v>LVL LVL Industry-Wide EPD AWC/CWC Laminated Veneer Lumber 2020 yes</v>
      </c>
      <c r="H51" s="46" t="s">
        <v>85</v>
      </c>
      <c r="I51" s="32" t="str">
        <f t="shared" si="9"/>
        <v>AWC/CWC Laminated Veneer Lumber 2020 EPD v1 - Biogenic Carbon Net Neutral</v>
      </c>
      <c r="J51" s="32" t="str">
        <f t="shared" si="7"/>
        <v>AWC/CWC Laminated Veneer Lumber 2020 EPD v1 - Biogenic Carbon Net Neutral</v>
      </c>
      <c r="K51" s="19"/>
      <c r="L51" s="87"/>
      <c r="M51" s="33">
        <v>1.34</v>
      </c>
      <c r="N51" s="33">
        <v>998.31</v>
      </c>
      <c r="O51" s="104">
        <v>0</v>
      </c>
      <c r="P51" s="104">
        <v>0</v>
      </c>
      <c r="Q51" s="104">
        <v>0</v>
      </c>
      <c r="R51" s="91">
        <v>-998.31</v>
      </c>
      <c r="S51" s="104">
        <v>0</v>
      </c>
      <c r="T51" s="91">
        <v>167.23</v>
      </c>
      <c r="U51" s="91"/>
      <c r="V51" s="91"/>
      <c r="W51" s="91"/>
      <c r="X51" s="91"/>
      <c r="Y51" s="90">
        <v>544.53</v>
      </c>
    </row>
    <row r="52" spans="1:28" s="54" customFormat="1" ht="66" customHeight="1" x14ac:dyDescent="0.45">
      <c r="A52" s="29" t="s">
        <v>25</v>
      </c>
      <c r="B52" s="31" t="s">
        <v>232</v>
      </c>
      <c r="C52" s="31" t="s">
        <v>235</v>
      </c>
      <c r="D52" s="45" t="s">
        <v>136</v>
      </c>
      <c r="E52" s="46" t="str">
        <f t="shared" si="1"/>
        <v>AWC/CWC Laminated Veneer Lumber 2020 yes</v>
      </c>
      <c r="F52" s="32" t="str">
        <f t="shared" si="2"/>
        <v>LVL LVL Industry-Wide EPD AWC/CWC Laminated Veneer Lumber 2020</v>
      </c>
      <c r="G52" s="32" t="str">
        <f t="shared" si="3"/>
        <v>LVL LVL Industry-Wide EPD AWC/CWC Laminated Veneer Lumber 2020 yes</v>
      </c>
      <c r="H52" s="46" t="s">
        <v>86</v>
      </c>
      <c r="I52" s="32" t="str">
        <f t="shared" si="9"/>
        <v>AWC/CWC Laminated Veneer Lumber 2020 EPD v2 - w/Long Term Biogenic Carbon Sequestration</v>
      </c>
      <c r="J52" s="32" t="str">
        <f t="shared" si="7"/>
        <v>AWC/CWC Laminated Veneer Lumber 2020 EPD v2 - w/Long Term Biogenic Carbon Sequestration</v>
      </c>
      <c r="K52" s="19"/>
      <c r="L52" s="87"/>
      <c r="M52" s="33">
        <v>1.34</v>
      </c>
      <c r="N52" s="33">
        <v>112.12</v>
      </c>
      <c r="O52" s="104">
        <v>0</v>
      </c>
      <c r="P52" s="104">
        <v>0</v>
      </c>
      <c r="Q52" s="104">
        <v>0</v>
      </c>
      <c r="R52" s="91">
        <v>-998.31</v>
      </c>
      <c r="S52" s="104">
        <v>0</v>
      </c>
      <c r="T52" s="91">
        <v>167.23</v>
      </c>
      <c r="U52" s="91"/>
      <c r="V52" s="91"/>
      <c r="W52" s="91"/>
      <c r="X52" s="91"/>
      <c r="Y52" s="90">
        <v>544.53</v>
      </c>
    </row>
    <row r="53" spans="1:28" ht="63.75" customHeight="1" x14ac:dyDescent="0.45">
      <c r="A53" s="29" t="s">
        <v>26</v>
      </c>
      <c r="B53" s="31" t="s">
        <v>236</v>
      </c>
      <c r="C53" s="31" t="s">
        <v>237</v>
      </c>
      <c r="D53" s="45" t="s">
        <v>136</v>
      </c>
      <c r="E53" s="46" t="str">
        <f t="shared" si="1"/>
        <v>Tally's LVL Proxy (AWC/CWC North American Laminated veneer Lumber 2013  ) yes</v>
      </c>
      <c r="F53" s="32" t="str">
        <f t="shared" si="2"/>
        <v>PSL PSL Industry-Wide EPD Tally's LVL Proxy (AWC/CWC North American Laminated veneer Lumber 2013  )</v>
      </c>
      <c r="G53" s="32" t="str">
        <f t="shared" si="3"/>
        <v>PSL PSL Industry-Wide EPD Tally's LVL Proxy (AWC/CWC North American Laminated veneer Lumber 2013  ) yes</v>
      </c>
      <c r="H53" s="46" t="s">
        <v>83</v>
      </c>
      <c r="I53" s="32" t="str">
        <f t="shared" si="5"/>
        <v>Tally's LVL Proxy (AWC/CWC North American Laminated veneer Lumber 2013  ) Tally w/Biogenic Carbon</v>
      </c>
      <c r="J53" s="32" t="str">
        <f t="shared" si="7"/>
        <v>Tally's LVL Proxy (AWC/CWC North American Laminated veneer Lumber 2013  ) Tally w/Biogenic Carbon</v>
      </c>
      <c r="K53" s="19" t="s">
        <v>2</v>
      </c>
      <c r="L53" s="87" t="s">
        <v>234</v>
      </c>
      <c r="M53" s="33">
        <v>1.34</v>
      </c>
      <c r="N53" s="91">
        <v>412.01999974929021</v>
      </c>
      <c r="O53" s="91">
        <v>724.4999995591495</v>
      </c>
      <c r="P53" s="91">
        <v>0</v>
      </c>
      <c r="Q53" s="91">
        <v>56.762999965460473</v>
      </c>
      <c r="R53" s="91">
        <v>-1127.6767996756455</v>
      </c>
      <c r="S53" s="91">
        <v>16.098263990204369</v>
      </c>
      <c r="T53" s="91">
        <v>233.1</v>
      </c>
      <c r="U53" s="91">
        <v>0</v>
      </c>
      <c r="V53" s="91">
        <v>0</v>
      </c>
      <c r="W53" s="91">
        <v>0</v>
      </c>
      <c r="X53" s="91">
        <v>0</v>
      </c>
      <c r="Y53" s="90">
        <v>628.60106725999992</v>
      </c>
      <c r="Z53" s="54"/>
      <c r="AA53" s="54"/>
      <c r="AB53" s="54"/>
    </row>
    <row r="54" spans="1:28" s="54" customFormat="1" ht="63.75" customHeight="1" x14ac:dyDescent="0.45">
      <c r="A54" s="29" t="s">
        <v>26</v>
      </c>
      <c r="B54" s="31" t="s">
        <v>236</v>
      </c>
      <c r="C54" s="31" t="s">
        <v>237</v>
      </c>
      <c r="D54" s="45" t="s">
        <v>157</v>
      </c>
      <c r="E54" s="46" t="str">
        <f t="shared" si="1"/>
        <v>Tally's LVL Proxy (AWC/CWC North American Laminated veneer Lumber 2013  ) no</v>
      </c>
      <c r="F54" s="32" t="str">
        <f t="shared" si="2"/>
        <v>PSL PSL Industry-Wide EPD Tally's LVL Proxy (AWC/CWC North American Laminated veneer Lumber 2013  )</v>
      </c>
      <c r="G54" s="32" t="str">
        <f t="shared" si="3"/>
        <v>PSL PSL Industry-Wide EPD Tally's LVL Proxy (AWC/CWC North American Laminated veneer Lumber 2013  ) no</v>
      </c>
      <c r="H54" s="46" t="s">
        <v>84</v>
      </c>
      <c r="I54" s="32" t="str">
        <f t="shared" ref="I54" si="10">C54&amp;" "&amp;H54</f>
        <v>Tally's LVL Proxy (AWC/CWC North American Laminated veneer Lumber 2013  ) Tally w/o Biogenic Carbon</v>
      </c>
      <c r="J54" s="32" t="str">
        <f t="shared" si="7"/>
        <v>Tally's LVL Proxy (AWC/CWC North American Laminated veneer Lumber 2013  ) Tally w/o Biogenic Carbon</v>
      </c>
      <c r="K54" s="19" t="s">
        <v>2</v>
      </c>
      <c r="L54" s="87" t="s">
        <v>234</v>
      </c>
      <c r="M54" s="33">
        <v>1.34</v>
      </c>
      <c r="N54" s="33">
        <v>0</v>
      </c>
      <c r="O54" s="98">
        <v>312.47999980985929</v>
      </c>
      <c r="P54" s="91">
        <v>0</v>
      </c>
      <c r="Q54" s="99">
        <v>-107.09999993483081</v>
      </c>
      <c r="R54" s="91">
        <v>0</v>
      </c>
      <c r="S54" s="91">
        <v>16.009811990258214</v>
      </c>
      <c r="T54" s="91">
        <v>233.07680021999997</v>
      </c>
      <c r="U54" s="91">
        <v>0</v>
      </c>
      <c r="V54" s="91">
        <v>0</v>
      </c>
      <c r="W54" s="91">
        <v>0</v>
      </c>
      <c r="X54" s="91">
        <v>0</v>
      </c>
      <c r="Y54" s="90">
        <v>628.60106725999992</v>
      </c>
    </row>
    <row r="55" spans="1:28" ht="60" customHeight="1" x14ac:dyDescent="0.45">
      <c r="A55" s="29" t="s">
        <v>27</v>
      </c>
      <c r="B55" s="31" t="s">
        <v>238</v>
      </c>
      <c r="C55" s="31" t="s">
        <v>239</v>
      </c>
      <c r="D55" s="45" t="s">
        <v>136</v>
      </c>
      <c r="E55" s="46" t="str">
        <f t="shared" si="1"/>
        <v>Tally - US: Dry rough lumber, at kiln, PNW and SE USLCI/PE (2009) yes</v>
      </c>
      <c r="F55" s="32" t="str">
        <f t="shared" si="2"/>
        <v>heavy timber heavy timber Industry-Wide EPD Tally - US: Dry rough lumber, at kiln, PNW and SE USLCI/PE (2009)</v>
      </c>
      <c r="G55" s="32" t="str">
        <f t="shared" si="3"/>
        <v>heavy timber heavy timber Industry-Wide EPD Tally - US: Dry rough lumber, at kiln, PNW and SE USLCI/PE (2009) yes</v>
      </c>
      <c r="H55" s="46" t="s">
        <v>83</v>
      </c>
      <c r="I55" s="32" t="str">
        <f t="shared" si="5"/>
        <v>Tally - US: Dry rough lumber, at kiln, PNW and SE USLCI/PE (2009) Tally w/Biogenic Carbon</v>
      </c>
      <c r="J55" s="32" t="str">
        <f t="shared" si="7"/>
        <v>Tally - US: Dry rough lumber, at kiln, PNW and SE USLCI/PE (2009) Tally w/Biogenic Carbon</v>
      </c>
      <c r="K55" s="19" t="s">
        <v>2</v>
      </c>
      <c r="L55" s="87" t="s">
        <v>240</v>
      </c>
      <c r="M55" s="33">
        <v>1.68</v>
      </c>
      <c r="N55" s="91">
        <v>301.52999981652158</v>
      </c>
      <c r="O55" s="97">
        <v>275.10000000000002</v>
      </c>
      <c r="P55" s="91">
        <v>0</v>
      </c>
      <c r="Q55" s="97">
        <v>63.47999996137311</v>
      </c>
      <c r="R55" s="91">
        <v>-1280.1799992210229</v>
      </c>
      <c r="S55" s="97">
        <v>11.062342193268693</v>
      </c>
      <c r="T55" s="91">
        <v>100.5</v>
      </c>
      <c r="U55" s="91">
        <v>0</v>
      </c>
      <c r="V55" s="91">
        <v>0</v>
      </c>
      <c r="W55" s="91">
        <v>0</v>
      </c>
      <c r="X55" s="91">
        <v>0</v>
      </c>
      <c r="Y55" s="90">
        <v>529.72000049999997</v>
      </c>
      <c r="Z55" s="54"/>
      <c r="AA55" s="54"/>
      <c r="AB55" s="54"/>
    </row>
    <row r="56" spans="1:28" s="54" customFormat="1" ht="60" customHeight="1" x14ac:dyDescent="0.45">
      <c r="A56" s="29" t="s">
        <v>27</v>
      </c>
      <c r="B56" s="31" t="s">
        <v>238</v>
      </c>
      <c r="C56" s="31" t="s">
        <v>239</v>
      </c>
      <c r="D56" s="45" t="s">
        <v>157</v>
      </c>
      <c r="E56" s="46" t="str">
        <f t="shared" si="1"/>
        <v>Tally - US: Dry rough lumber, at kiln, PNW and SE USLCI/PE (2009) no</v>
      </c>
      <c r="F56" s="32" t="str">
        <f t="shared" si="2"/>
        <v>heavy timber heavy timber Industry-Wide EPD Tally - US: Dry rough lumber, at kiln, PNW and SE USLCI/PE (2009)</v>
      </c>
      <c r="G56" s="32" t="str">
        <f t="shared" si="3"/>
        <v>heavy timber heavy timber Industry-Wide EPD Tally - US: Dry rough lumber, at kiln, PNW and SE USLCI/PE (2009) no</v>
      </c>
      <c r="H56" s="46" t="s">
        <v>84</v>
      </c>
      <c r="I56" s="32" t="str">
        <f t="shared" ref="I56" si="11">C56&amp;" "&amp;H56</f>
        <v>Tally - US: Dry rough lumber, at kiln, PNW and SE USLCI/PE (2009) Tally w/o Biogenic Carbon</v>
      </c>
      <c r="J56" s="32" t="str">
        <f t="shared" si="7"/>
        <v>Tally - US: Dry rough lumber, at kiln, PNW and SE USLCI/PE (2009) Tally w/o Biogenic Carbon</v>
      </c>
      <c r="K56" s="19" t="s">
        <v>2</v>
      </c>
      <c r="L56" s="87" t="s">
        <v>240</v>
      </c>
      <c r="M56" s="33">
        <v>1.68</v>
      </c>
      <c r="N56" s="85">
        <v>0</v>
      </c>
      <c r="O56" s="91">
        <v>275.07999983261675</v>
      </c>
      <c r="P56" s="91">
        <v>0</v>
      </c>
      <c r="Q56" s="98">
        <v>-90.987999944634936</v>
      </c>
      <c r="R56" s="100">
        <v>0</v>
      </c>
      <c r="S56" s="91">
        <v>11.001560093305663</v>
      </c>
      <c r="T56" s="101">
        <v>100.50999993884075</v>
      </c>
      <c r="U56" s="101">
        <v>0</v>
      </c>
      <c r="V56" s="91">
        <v>0</v>
      </c>
      <c r="W56" s="91">
        <v>0</v>
      </c>
      <c r="X56" s="91">
        <v>0</v>
      </c>
      <c r="Y56" s="90">
        <v>529.72000049999997</v>
      </c>
    </row>
    <row r="57" spans="1:28" s="7" customFormat="1" ht="54.75" customHeight="1" x14ac:dyDescent="0.45">
      <c r="A57" s="301" t="s">
        <v>28</v>
      </c>
      <c r="B57" s="112" t="s">
        <v>241</v>
      </c>
      <c r="C57" s="113" t="s">
        <v>242</v>
      </c>
      <c r="D57" s="114" t="s">
        <v>136</v>
      </c>
      <c r="E57" s="46" t="str">
        <f t="shared" si="1"/>
        <v>Tally - AWC/CWC North American Softwood lumber 2013 yes</v>
      </c>
      <c r="F57" s="32" t="str">
        <f t="shared" si="2"/>
        <v>wood framing wood framing Industry-Wide EPD Tally - AWC/CWC North American Softwood lumber 2013</v>
      </c>
      <c r="G57" s="32" t="str">
        <f t="shared" si="3"/>
        <v>wood framing wood framing Industry-Wide EPD Tally - AWC/CWC North American Softwood lumber 2013 yes</v>
      </c>
      <c r="H57" s="114" t="s">
        <v>83</v>
      </c>
      <c r="I57" s="113" t="str">
        <f t="shared" si="5"/>
        <v>Tally - AWC/CWC North American Softwood lumber 2013 Tally w/Biogenic Carbon</v>
      </c>
      <c r="J57" s="32" t="str">
        <f t="shared" si="7"/>
        <v>Tally - AWC/CWC North American Softwood lumber 2013 Tally w/Biogenic Carbon</v>
      </c>
      <c r="K57" s="115" t="s">
        <v>2</v>
      </c>
      <c r="L57" s="116" t="s">
        <v>243</v>
      </c>
      <c r="M57" s="94">
        <v>1.8080000000000001</v>
      </c>
      <c r="N57" s="117">
        <v>247.13489984962283</v>
      </c>
      <c r="O57" s="97">
        <v>225.5</v>
      </c>
      <c r="P57" s="117">
        <v>0</v>
      </c>
      <c r="Q57" s="97">
        <v>52.028399968341184</v>
      </c>
      <c r="R57" s="117">
        <v>-796.90165951509243</v>
      </c>
      <c r="S57" s="97">
        <v>9.0667291204829841</v>
      </c>
      <c r="T57" s="117">
        <v>72.8</v>
      </c>
      <c r="U57" s="117">
        <v>0</v>
      </c>
      <c r="V57" s="117">
        <v>0</v>
      </c>
      <c r="W57" s="117">
        <v>0</v>
      </c>
      <c r="X57" s="117">
        <v>0</v>
      </c>
      <c r="Y57" s="118">
        <v>434.37040041</v>
      </c>
      <c r="Z57" s="119"/>
      <c r="AB57" s="7">
        <f>R57*0.22</f>
        <v>-175.31836509332032</v>
      </c>
    </row>
    <row r="58" spans="1:28" s="54" customFormat="1" ht="54.75" customHeight="1" x14ac:dyDescent="0.45">
      <c r="A58" s="29" t="s">
        <v>28</v>
      </c>
      <c r="B58" s="86" t="s">
        <v>241</v>
      </c>
      <c r="C58" s="32" t="s">
        <v>242</v>
      </c>
      <c r="D58" s="88" t="s">
        <v>157</v>
      </c>
      <c r="E58" s="46" t="str">
        <f t="shared" si="1"/>
        <v>Tally - AWC/CWC North American Softwood lumber 2013 no</v>
      </c>
      <c r="F58" s="32" t="str">
        <f t="shared" si="2"/>
        <v>wood framing wood framing Industry-Wide EPD Tally - AWC/CWC North American Softwood lumber 2013</v>
      </c>
      <c r="G58" s="32" t="str">
        <f t="shared" si="3"/>
        <v>wood framing wood framing Industry-Wide EPD Tally - AWC/CWC North American Softwood lumber 2013 no</v>
      </c>
      <c r="H58" s="88" t="s">
        <v>84</v>
      </c>
      <c r="I58" s="32" t="str">
        <f t="shared" si="5"/>
        <v>Tally - AWC/CWC North American Softwood lumber 2013 Tally w/o Biogenic Carbon</v>
      </c>
      <c r="J58" s="32" t="str">
        <f t="shared" si="7"/>
        <v>Tally - AWC/CWC North American Softwood lumber 2013 Tally w/o Biogenic Carbon</v>
      </c>
      <c r="K58" s="19" t="s">
        <v>2</v>
      </c>
      <c r="L58" s="87" t="s">
        <v>243</v>
      </c>
      <c r="M58" s="33">
        <v>1.8080000000000001</v>
      </c>
      <c r="N58" s="33">
        <v>0</v>
      </c>
      <c r="O58" s="91">
        <v>225.45639986281228</v>
      </c>
      <c r="P58" s="91">
        <v>0</v>
      </c>
      <c r="Q58" s="102">
        <v>-74.513946736999984</v>
      </c>
      <c r="R58" s="103">
        <v>0</v>
      </c>
      <c r="S58" s="91">
        <v>9.0169119275133003</v>
      </c>
      <c r="T58" s="91">
        <v>72.839759955677863</v>
      </c>
      <c r="U58" s="91">
        <v>0</v>
      </c>
      <c r="V58" s="91">
        <v>0</v>
      </c>
      <c r="W58" s="91">
        <v>0</v>
      </c>
      <c r="X58" s="91">
        <v>0</v>
      </c>
      <c r="Y58" s="90">
        <v>434.37040041</v>
      </c>
    </row>
    <row r="59" spans="1:28" s="54" customFormat="1" ht="54.75" customHeight="1" x14ac:dyDescent="0.45">
      <c r="A59" s="29" t="s">
        <v>28</v>
      </c>
      <c r="B59" s="86" t="s">
        <v>241</v>
      </c>
      <c r="C59" s="32" t="s">
        <v>244</v>
      </c>
      <c r="D59" s="88" t="s">
        <v>136</v>
      </c>
      <c r="E59" s="46" t="str">
        <f t="shared" si="1"/>
        <v>AWC/CWC North American Softwood lumber 2020 yes</v>
      </c>
      <c r="F59" s="32" t="str">
        <f t="shared" si="2"/>
        <v>wood framing wood framing Industry-Wide EPD AWC/CWC North American Softwood lumber 2020</v>
      </c>
      <c r="G59" s="32" t="str">
        <f t="shared" si="3"/>
        <v>wood framing wood framing Industry-Wide EPD AWC/CWC North American Softwood lumber 2020 yes</v>
      </c>
      <c r="H59" s="88" t="s">
        <v>83</v>
      </c>
      <c r="I59" s="32" t="str">
        <f t="shared" si="5"/>
        <v>AWC/CWC North American Softwood lumber 2020 Tally w/Biogenic Carbon</v>
      </c>
      <c r="J59" s="32" t="str">
        <f t="shared" si="7"/>
        <v>AWC/CWC North American Softwood lumber 2020 Tally w/Biogenic Carbon</v>
      </c>
      <c r="K59" s="19" t="s">
        <v>3</v>
      </c>
      <c r="L59" s="87"/>
      <c r="M59" s="33">
        <v>1.68</v>
      </c>
      <c r="N59" s="33">
        <f>Y59*'Tally C-D kg factors'!D9</f>
        <v>261.81926324964485</v>
      </c>
      <c r="O59" s="91">
        <f>Y59*'Tally C-D kg factors'!E9</f>
        <v>238.89885199832096</v>
      </c>
      <c r="P59" s="91"/>
      <c r="Q59" s="102">
        <f>Y59*'Tally C-D kg factors'!F9</f>
        <v>55.119844894661583</v>
      </c>
      <c r="R59" s="91">
        <v>-843.66</v>
      </c>
      <c r="S59" s="91"/>
      <c r="T59" s="91">
        <v>63.12</v>
      </c>
      <c r="U59" s="91"/>
      <c r="V59" s="91"/>
      <c r="W59" s="91"/>
      <c r="X59" s="91"/>
      <c r="Y59" s="90">
        <v>460.18</v>
      </c>
      <c r="AB59" s="54">
        <f>0.05*0.145*434.4</f>
        <v>3.1493999999999995</v>
      </c>
    </row>
    <row r="60" spans="1:28" s="54" customFormat="1" ht="54.75" customHeight="1" x14ac:dyDescent="0.45">
      <c r="A60" s="29" t="s">
        <v>28</v>
      </c>
      <c r="B60" s="86" t="s">
        <v>241</v>
      </c>
      <c r="C60" s="32" t="s">
        <v>244</v>
      </c>
      <c r="D60" s="88" t="s">
        <v>157</v>
      </c>
      <c r="E60" s="46" t="str">
        <f t="shared" si="1"/>
        <v>AWC/CWC North American Softwood lumber 2020 no</v>
      </c>
      <c r="F60" s="32" t="str">
        <f t="shared" si="2"/>
        <v>wood framing wood framing Industry-Wide EPD AWC/CWC North American Softwood lumber 2020</v>
      </c>
      <c r="G60" s="32" t="str">
        <f t="shared" si="3"/>
        <v>wood framing wood framing Industry-Wide EPD AWC/CWC North American Softwood lumber 2020 no</v>
      </c>
      <c r="H60" s="88" t="s">
        <v>84</v>
      </c>
      <c r="I60" s="32" t="str">
        <f t="shared" si="5"/>
        <v>AWC/CWC North American Softwood lumber 2020 Tally w/o Biogenic Carbon</v>
      </c>
      <c r="J60" s="32" t="str">
        <f t="shared" si="7"/>
        <v>AWC/CWC North American Softwood lumber 2020 Tally w/o Biogenic Carbon</v>
      </c>
      <c r="K60" s="19" t="s">
        <v>3</v>
      </c>
      <c r="L60" s="87"/>
      <c r="M60" s="33">
        <v>1.68</v>
      </c>
      <c r="N60" s="33">
        <v>0</v>
      </c>
      <c r="O60" s="91">
        <f>Y60*'Tally C-D kg factors'!E10</f>
        <v>238.85266121020069</v>
      </c>
      <c r="P60" s="91"/>
      <c r="Q60" s="102">
        <f>Y60*'Tally C-D kg factors'!F10</f>
        <v>-78.941447154471533</v>
      </c>
      <c r="R60" s="91">
        <v>0</v>
      </c>
      <c r="S60" s="91"/>
      <c r="T60" s="91">
        <v>63.12</v>
      </c>
      <c r="U60" s="91"/>
      <c r="V60" s="91"/>
      <c r="W60" s="91"/>
      <c r="X60" s="91"/>
      <c r="Y60" s="90">
        <v>460.18</v>
      </c>
      <c r="AB60" s="54">
        <f>-0.36*434.4</f>
        <v>-156.38399999999999</v>
      </c>
    </row>
    <row r="61" spans="1:28" s="54" customFormat="1" ht="54.75" customHeight="1" x14ac:dyDescent="0.45">
      <c r="A61" s="29" t="s">
        <v>28</v>
      </c>
      <c r="B61" s="86" t="s">
        <v>241</v>
      </c>
      <c r="C61" s="32" t="s">
        <v>244</v>
      </c>
      <c r="D61" s="46" t="s">
        <v>136</v>
      </c>
      <c r="E61" s="46" t="str">
        <f t="shared" si="1"/>
        <v>AWC/CWC North American Softwood lumber 2020 yes</v>
      </c>
      <c r="F61" s="32" t="str">
        <f t="shared" si="2"/>
        <v>wood framing wood framing Industry-Wide EPD AWC/CWC North American Softwood lumber 2020</v>
      </c>
      <c r="G61" s="32" t="str">
        <f t="shared" si="3"/>
        <v>wood framing wood framing Industry-Wide EPD AWC/CWC North American Softwood lumber 2020 yes</v>
      </c>
      <c r="H61" s="46" t="s">
        <v>85</v>
      </c>
      <c r="I61" s="32" t="str">
        <f t="shared" si="5"/>
        <v>AWC/CWC North American Softwood lumber 2020 EPD v1 - Biogenic Carbon Net Neutral</v>
      </c>
      <c r="J61" s="32" t="str">
        <f t="shared" si="7"/>
        <v>AWC/CWC North American Softwood lumber 2020 EPD v1 - Biogenic Carbon Net Neutral</v>
      </c>
      <c r="K61" s="19" t="s">
        <v>3</v>
      </c>
      <c r="L61" s="87"/>
      <c r="M61" s="33">
        <v>1.68</v>
      </c>
      <c r="N61" s="91">
        <v>843.66</v>
      </c>
      <c r="O61" s="33">
        <v>0</v>
      </c>
      <c r="P61" s="33">
        <v>0</v>
      </c>
      <c r="Q61" s="33">
        <v>0</v>
      </c>
      <c r="R61" s="91">
        <v>-843.66</v>
      </c>
      <c r="S61" s="97"/>
      <c r="T61" s="91">
        <v>63.12</v>
      </c>
      <c r="U61" s="91"/>
      <c r="V61" s="91"/>
      <c r="W61" s="91"/>
      <c r="X61" s="91"/>
      <c r="Y61" s="90">
        <v>460.18</v>
      </c>
    </row>
    <row r="62" spans="1:28" s="54" customFormat="1" ht="54.75" customHeight="1" x14ac:dyDescent="0.45">
      <c r="A62" s="29" t="s">
        <v>28</v>
      </c>
      <c r="B62" s="86" t="s">
        <v>241</v>
      </c>
      <c r="C62" s="32" t="s">
        <v>244</v>
      </c>
      <c r="D62" s="46" t="s">
        <v>136</v>
      </c>
      <c r="E62" s="46" t="str">
        <f t="shared" si="1"/>
        <v>AWC/CWC North American Softwood lumber 2020 yes</v>
      </c>
      <c r="F62" s="32" t="str">
        <f t="shared" si="2"/>
        <v>wood framing wood framing Industry-Wide EPD AWC/CWC North American Softwood lumber 2020</v>
      </c>
      <c r="G62" s="32" t="str">
        <f t="shared" si="3"/>
        <v>wood framing wood framing Industry-Wide EPD AWC/CWC North American Softwood lumber 2020 yes</v>
      </c>
      <c r="H62" s="46" t="s">
        <v>86</v>
      </c>
      <c r="I62" s="32" t="str">
        <f t="shared" si="5"/>
        <v>AWC/CWC North American Softwood lumber 2020 EPD v2 - w/Long Term Biogenic Carbon Sequestration</v>
      </c>
      <c r="J62" s="32" t="str">
        <f t="shared" si="7"/>
        <v>AWC/CWC North American Softwood lumber 2020 EPD v2 - w/Long Term Biogenic Carbon Sequestration</v>
      </c>
      <c r="K62" s="19" t="s">
        <v>3</v>
      </c>
      <c r="L62" s="87"/>
      <c r="M62" s="33">
        <v>1.68</v>
      </c>
      <c r="N62" s="91">
        <v>94.75</v>
      </c>
      <c r="O62" s="33">
        <v>0</v>
      </c>
      <c r="P62" s="33">
        <v>0</v>
      </c>
      <c r="Q62" s="33">
        <v>0</v>
      </c>
      <c r="R62" s="91">
        <v>-843.66</v>
      </c>
      <c r="S62" s="97"/>
      <c r="T62" s="91">
        <v>63.12</v>
      </c>
      <c r="U62" s="91"/>
      <c r="V62" s="91"/>
      <c r="W62" s="91"/>
      <c r="X62" s="91"/>
      <c r="Y62" s="90">
        <v>460.18</v>
      </c>
    </row>
    <row r="63" spans="1:28" s="54" customFormat="1" ht="54.75" customHeight="1" x14ac:dyDescent="0.45">
      <c r="A63" s="29"/>
      <c r="B63" s="86"/>
      <c r="C63" s="32"/>
      <c r="D63" s="88"/>
      <c r="E63" s="88"/>
      <c r="F63" s="32"/>
      <c r="G63" s="32"/>
      <c r="H63" s="46"/>
      <c r="I63" s="32"/>
      <c r="J63" s="32"/>
      <c r="K63" s="19"/>
      <c r="L63" s="87"/>
      <c r="M63" s="33"/>
      <c r="N63" s="91"/>
      <c r="O63" s="97"/>
      <c r="P63" s="91"/>
      <c r="Q63" s="102"/>
      <c r="R63" s="91"/>
      <c r="S63" s="97"/>
      <c r="T63" s="91"/>
      <c r="U63" s="91"/>
      <c r="V63" s="91"/>
      <c r="W63" s="91"/>
      <c r="X63" s="91"/>
      <c r="Y63" s="90"/>
    </row>
    <row r="64" spans="1:28" s="54" customFormat="1" ht="54.75" customHeight="1" x14ac:dyDescent="0.45">
      <c r="A64" s="29"/>
      <c r="B64" s="86"/>
      <c r="C64" s="32"/>
      <c r="D64" s="88"/>
      <c r="E64" s="88"/>
      <c r="F64" s="32"/>
      <c r="G64" s="32"/>
      <c r="H64" s="32"/>
      <c r="I64" s="32"/>
      <c r="J64" s="32"/>
      <c r="K64" s="19"/>
      <c r="L64" s="87"/>
      <c r="M64" s="33"/>
      <c r="N64" s="33"/>
      <c r="O64" s="91"/>
      <c r="P64" s="91"/>
      <c r="Q64" s="102"/>
      <c r="R64" s="103"/>
      <c r="S64" s="91"/>
      <c r="T64" s="91"/>
      <c r="U64" s="91"/>
      <c r="V64" s="91"/>
      <c r="W64" s="91"/>
      <c r="X64" s="91"/>
      <c r="Y64" s="90"/>
    </row>
    <row r="67" spans="14:24" x14ac:dyDescent="0.45">
      <c r="N67" s="56"/>
      <c r="O67" s="56"/>
      <c r="P67" s="56"/>
      <c r="Q67" s="56"/>
      <c r="R67" s="56"/>
      <c r="S67" s="56"/>
      <c r="T67" s="56"/>
      <c r="U67" s="56"/>
      <c r="V67" s="56"/>
      <c r="W67" s="56"/>
      <c r="X67" s="56"/>
    </row>
    <row r="68" spans="14:24" x14ac:dyDescent="0.45">
      <c r="N68" s="56"/>
      <c r="O68" s="56"/>
      <c r="P68" s="56"/>
      <c r="Q68" s="99"/>
      <c r="R68" s="56"/>
      <c r="S68" s="56"/>
      <c r="T68" s="56"/>
      <c r="U68" s="56"/>
      <c r="V68" s="56"/>
      <c r="W68" s="56"/>
      <c r="X68" s="56"/>
    </row>
    <row r="69" spans="14:24" x14ac:dyDescent="0.45">
      <c r="N69" s="56"/>
      <c r="O69" s="56"/>
      <c r="P69" s="99"/>
      <c r="Q69" s="56"/>
      <c r="R69" s="56"/>
      <c r="S69" s="56"/>
      <c r="T69" s="56"/>
      <c r="U69" s="56"/>
      <c r="V69" s="56"/>
      <c r="W69" s="56"/>
      <c r="X69" s="56"/>
    </row>
    <row r="70" spans="14:24" x14ac:dyDescent="0.45">
      <c r="N70" s="56"/>
      <c r="O70" s="56"/>
      <c r="P70" s="56"/>
      <c r="Q70" s="56"/>
      <c r="R70" s="56"/>
      <c r="S70" s="56"/>
      <c r="T70" s="99"/>
      <c r="U70" s="56"/>
      <c r="V70" s="56"/>
      <c r="W70" s="56"/>
      <c r="X70" s="56"/>
    </row>
    <row r="71" spans="14:24" x14ac:dyDescent="0.45">
      <c r="N71" s="56"/>
      <c r="O71" s="56"/>
      <c r="P71" s="56"/>
      <c r="Q71" s="56"/>
      <c r="R71" s="56"/>
      <c r="S71" s="56"/>
      <c r="T71" s="56"/>
      <c r="U71" s="56"/>
      <c r="V71" s="56"/>
      <c r="W71" s="56"/>
      <c r="X71" s="56"/>
    </row>
    <row r="72" spans="14:24" x14ac:dyDescent="0.45">
      <c r="N72" s="56"/>
      <c r="O72" s="56"/>
      <c r="P72" s="56"/>
      <c r="Q72" s="56"/>
      <c r="R72" s="56"/>
      <c r="S72" s="56"/>
      <c r="T72" s="56"/>
      <c r="U72" s="56"/>
      <c r="V72" s="56"/>
      <c r="W72" s="56"/>
      <c r="X72" s="56"/>
    </row>
    <row r="73" spans="14:24" x14ac:dyDescent="0.45">
      <c r="N73" s="56"/>
      <c r="O73" s="56"/>
      <c r="P73" s="56"/>
      <c r="Q73" s="56"/>
      <c r="R73" s="56"/>
      <c r="S73" s="56"/>
      <c r="T73" s="56"/>
      <c r="U73" s="56"/>
      <c r="V73" s="56"/>
      <c r="W73" s="56"/>
      <c r="X73" s="56"/>
    </row>
    <row r="74" spans="14:24" x14ac:dyDescent="0.45">
      <c r="N74" s="56"/>
      <c r="O74" s="56"/>
      <c r="P74" s="56"/>
      <c r="Q74" s="56"/>
      <c r="R74" s="56"/>
      <c r="S74" s="56"/>
      <c r="T74" s="56"/>
      <c r="U74" s="56"/>
      <c r="V74" s="56"/>
      <c r="W74" s="56"/>
      <c r="X74" s="5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706D-B90D-4A38-9B3E-594E67F036F6}">
  <sheetPr>
    <pageSetUpPr autoPageBreaks="0"/>
  </sheetPr>
  <dimension ref="A4:T8"/>
  <sheetViews>
    <sheetView showGridLines="0" workbookViewId="0">
      <selection activeCell="C8" sqref="C8:H8"/>
    </sheetView>
    <sheetView workbookViewId="1"/>
    <sheetView workbookViewId="2"/>
  </sheetViews>
  <sheetFormatPr defaultRowHeight="14.25" x14ac:dyDescent="0.45"/>
  <cols>
    <col min="1" max="1" width="9" style="54"/>
    <col min="2" max="2" width="17.265625" style="54" customWidth="1"/>
    <col min="3" max="3" width="11.1328125" customWidth="1"/>
    <col min="4" max="4" width="7.3984375" customWidth="1"/>
    <col min="5" max="5" width="7" customWidth="1"/>
    <col min="6" max="6" width="9.1328125" customWidth="1"/>
    <col min="7" max="7" width="10.59765625" customWidth="1"/>
    <col min="8" max="8" width="12.73046875" customWidth="1"/>
    <col min="9" max="9" width="5.3984375" customWidth="1"/>
    <col min="10" max="10" width="4.86328125" customWidth="1"/>
    <col min="11" max="11" width="6.73046875" customWidth="1"/>
    <col min="12" max="12" width="7.3984375" customWidth="1"/>
    <col min="13" max="13" width="7.1328125" customWidth="1"/>
    <col min="14" max="14" width="7.59765625" customWidth="1"/>
    <col min="15" max="15" width="4.3984375" customWidth="1"/>
    <col min="16" max="16" width="5.3984375" customWidth="1"/>
    <col min="17" max="17" width="6.59765625" customWidth="1"/>
    <col min="18" max="18" width="7.86328125" customWidth="1"/>
    <col min="19" max="19" width="8" customWidth="1"/>
    <col min="20" max="20" width="16" customWidth="1"/>
  </cols>
  <sheetData>
    <row r="4" spans="2:20" ht="14.65" thickBot="1" x14ac:dyDescent="0.5">
      <c r="B4" s="54" t="s">
        <v>245</v>
      </c>
      <c r="C4" s="54"/>
      <c r="D4" s="54"/>
      <c r="E4" s="54"/>
      <c r="F4" s="54"/>
      <c r="G4" s="54"/>
      <c r="H4" s="54"/>
      <c r="I4" s="54"/>
      <c r="J4" s="54"/>
      <c r="K4" s="54"/>
      <c r="L4" s="54"/>
      <c r="M4" s="54"/>
      <c r="N4" s="54"/>
      <c r="O4" s="54"/>
      <c r="P4" s="54"/>
      <c r="Q4" s="54"/>
      <c r="R4" s="54"/>
      <c r="S4" s="54"/>
      <c r="T4" s="54"/>
    </row>
    <row r="5" spans="2:20" x14ac:dyDescent="0.45">
      <c r="B5" s="184" t="s">
        <v>246</v>
      </c>
      <c r="C5" s="185" t="s">
        <v>247</v>
      </c>
      <c r="D5" s="408" t="s">
        <v>248</v>
      </c>
      <c r="E5" s="408"/>
      <c r="F5" s="408"/>
      <c r="G5" s="408" t="s">
        <v>249</v>
      </c>
      <c r="H5" s="408"/>
      <c r="I5" s="408" t="s">
        <v>250</v>
      </c>
      <c r="J5" s="408"/>
      <c r="K5" s="408"/>
      <c r="L5" s="408"/>
      <c r="M5" s="408"/>
      <c r="N5" s="408"/>
      <c r="O5" s="408"/>
      <c r="P5" s="408" t="s">
        <v>57</v>
      </c>
      <c r="Q5" s="408"/>
      <c r="R5" s="408"/>
      <c r="S5" s="408"/>
      <c r="T5" s="186" t="s">
        <v>251</v>
      </c>
    </row>
    <row r="6" spans="2:20" x14ac:dyDescent="0.45">
      <c r="B6" s="187" t="s">
        <v>252</v>
      </c>
      <c r="C6" s="190" t="s">
        <v>190</v>
      </c>
      <c r="D6" s="190" t="s">
        <v>46</v>
      </c>
      <c r="E6" s="190" t="s">
        <v>47</v>
      </c>
      <c r="F6" s="190" t="s">
        <v>48</v>
      </c>
      <c r="G6" s="190" t="s">
        <v>253</v>
      </c>
      <c r="H6" s="190" t="s">
        <v>254</v>
      </c>
      <c r="I6" s="195" t="s">
        <v>255</v>
      </c>
      <c r="J6" s="195" t="s">
        <v>256</v>
      </c>
      <c r="K6" s="195" t="s">
        <v>257</v>
      </c>
      <c r="L6" s="195" t="s">
        <v>258</v>
      </c>
      <c r="M6" s="195" t="s">
        <v>259</v>
      </c>
      <c r="N6" s="195" t="s">
        <v>260</v>
      </c>
      <c r="O6" s="195" t="s">
        <v>261</v>
      </c>
      <c r="P6" s="195" t="s">
        <v>262</v>
      </c>
      <c r="Q6" s="190" t="s">
        <v>263</v>
      </c>
      <c r="R6" s="190" t="s">
        <v>264</v>
      </c>
      <c r="S6" s="190" t="s">
        <v>265</v>
      </c>
      <c r="T6" s="193" t="s">
        <v>266</v>
      </c>
    </row>
    <row r="7" spans="2:20" ht="123" customHeight="1" x14ac:dyDescent="0.45">
      <c r="B7" s="188" t="s">
        <v>267</v>
      </c>
      <c r="C7" s="191" t="s">
        <v>268</v>
      </c>
      <c r="D7" s="191" t="s">
        <v>269</v>
      </c>
      <c r="E7" s="191" t="s">
        <v>270</v>
      </c>
      <c r="F7" s="191" t="s">
        <v>271</v>
      </c>
      <c r="G7" s="191" t="s">
        <v>270</v>
      </c>
      <c r="H7" s="191" t="s">
        <v>272</v>
      </c>
      <c r="I7" s="196" t="s">
        <v>273</v>
      </c>
      <c r="J7" s="196" t="s">
        <v>274</v>
      </c>
      <c r="K7" s="196" t="s">
        <v>275</v>
      </c>
      <c r="L7" s="196" t="s">
        <v>276</v>
      </c>
      <c r="M7" s="196" t="s">
        <v>277</v>
      </c>
      <c r="N7" s="196" t="s">
        <v>278</v>
      </c>
      <c r="O7" s="196" t="s">
        <v>279</v>
      </c>
      <c r="P7" s="196" t="s">
        <v>280</v>
      </c>
      <c r="Q7" s="191" t="s">
        <v>270</v>
      </c>
      <c r="R7" s="191" t="s">
        <v>281</v>
      </c>
      <c r="S7" s="191" t="s">
        <v>282</v>
      </c>
      <c r="T7" s="194" t="s">
        <v>283</v>
      </c>
    </row>
    <row r="8" spans="2:20" ht="97.5" customHeight="1" thickBot="1" x14ac:dyDescent="0.5">
      <c r="B8" s="189" t="s">
        <v>284</v>
      </c>
      <c r="C8" s="214" t="s">
        <v>285</v>
      </c>
      <c r="D8" s="409" t="s">
        <v>286</v>
      </c>
      <c r="E8" s="409"/>
      <c r="F8" s="409"/>
      <c r="G8" s="214" t="s">
        <v>287</v>
      </c>
      <c r="H8" s="214" t="s">
        <v>288</v>
      </c>
      <c r="I8" s="410" t="s">
        <v>289</v>
      </c>
      <c r="J8" s="410"/>
      <c r="K8" s="410"/>
      <c r="L8" s="410"/>
      <c r="M8" s="410"/>
      <c r="N8" s="410"/>
      <c r="O8" s="410"/>
      <c r="P8" s="410"/>
      <c r="Q8" s="214" t="s">
        <v>290</v>
      </c>
      <c r="R8" s="409" t="s">
        <v>291</v>
      </c>
      <c r="S8" s="409"/>
      <c r="T8" s="192" t="s">
        <v>290</v>
      </c>
    </row>
  </sheetData>
  <mergeCells count="7">
    <mergeCell ref="P5:S5"/>
    <mergeCell ref="I5:O5"/>
    <mergeCell ref="G5:H5"/>
    <mergeCell ref="D5:F5"/>
    <mergeCell ref="D8:F8"/>
    <mergeCell ref="R8:S8"/>
    <mergeCell ref="I8:P8"/>
  </mergeCells>
  <phoneticPr fontId="31" type="noConversion"/>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AF3A-50CB-4AC9-A51B-0005A0305990}">
  <dimension ref="A1:V103"/>
  <sheetViews>
    <sheetView zoomScale="85" zoomScaleNormal="85" workbookViewId="0">
      <selection activeCell="I4" sqref="I4"/>
    </sheetView>
    <sheetView topLeftCell="A17" zoomScale="70" zoomScaleNormal="70" workbookViewId="1">
      <selection activeCell="A23" sqref="A23:I23"/>
    </sheetView>
    <sheetView workbookViewId="2"/>
  </sheetViews>
  <sheetFormatPr defaultRowHeight="14.25" x14ac:dyDescent="0.45"/>
  <cols>
    <col min="1" max="1" width="9" style="54"/>
    <col min="2" max="2" width="18.6640625" style="54" customWidth="1"/>
    <col min="3" max="3" width="9" style="54"/>
    <col min="4" max="4" width="20.3984375" style="54" customWidth="1"/>
    <col min="5" max="5" width="14.265625" style="54" customWidth="1"/>
    <col min="6" max="6" width="11.265625" style="54" customWidth="1"/>
    <col min="7" max="7" width="9" style="54"/>
    <col min="9" max="9" width="20.3984375" customWidth="1"/>
    <col min="10" max="10" width="18.3984375" style="56" customWidth="1"/>
    <col min="11" max="11" width="18.73046875" customWidth="1"/>
    <col min="12" max="12" width="14.73046875" customWidth="1"/>
    <col min="13" max="13" width="11" bestFit="1" customWidth="1"/>
    <col min="14" max="14" width="11.59765625" style="54" bestFit="1" customWidth="1"/>
    <col min="15" max="15" width="14.73046875" customWidth="1"/>
    <col min="16" max="16" width="8" customWidth="1"/>
    <col min="17" max="17" width="25" customWidth="1"/>
    <col min="18" max="18" width="17.59765625" style="56" customWidth="1"/>
    <col min="19" max="19" width="17" customWidth="1"/>
    <col min="20" max="20" width="12.265625" customWidth="1"/>
    <col min="21" max="21" width="17" customWidth="1"/>
    <col min="22" max="22" width="16.59765625" customWidth="1"/>
  </cols>
  <sheetData>
    <row r="1" spans="2:21" ht="14.65" thickBot="1" x14ac:dyDescent="0.5">
      <c r="H1" s="54"/>
      <c r="I1" s="54"/>
      <c r="K1" s="54"/>
      <c r="L1" s="54"/>
      <c r="M1" s="54"/>
      <c r="O1" s="54"/>
      <c r="P1" s="54"/>
      <c r="Q1" s="54"/>
      <c r="S1" s="54"/>
      <c r="T1" s="54"/>
      <c r="U1" s="54"/>
    </row>
    <row r="2" spans="2:21" ht="43.15" thickBot="1" x14ac:dyDescent="0.5">
      <c r="B2" s="278" t="s">
        <v>292</v>
      </c>
      <c r="C2" s="279">
        <f>'Scenario 1 - Calc Sheet'!B73</f>
        <v>0</v>
      </c>
      <c r="H2" s="54"/>
      <c r="I2" s="54"/>
      <c r="K2" s="54"/>
      <c r="L2" s="54"/>
      <c r="M2" s="54"/>
      <c r="O2" s="54"/>
      <c r="P2" s="54"/>
      <c r="Q2" s="54"/>
      <c r="S2" s="54"/>
      <c r="T2" s="54"/>
      <c r="U2" s="54"/>
    </row>
    <row r="3" spans="2:21" ht="14.65" thickBot="1" x14ac:dyDescent="0.5">
      <c r="C3" s="56"/>
      <c r="H3" s="54"/>
      <c r="I3" s="54"/>
      <c r="K3" s="54"/>
      <c r="L3" s="54"/>
      <c r="M3" s="54"/>
      <c r="O3" s="54"/>
      <c r="P3" s="54"/>
      <c r="Q3" s="54"/>
      <c r="S3" s="54"/>
      <c r="T3" s="54"/>
      <c r="U3" s="54"/>
    </row>
    <row r="4" spans="2:21" ht="33.75" customHeight="1" x14ac:dyDescent="0.45">
      <c r="B4" s="269" t="s">
        <v>252</v>
      </c>
      <c r="C4" s="270" t="s">
        <v>293</v>
      </c>
      <c r="D4" s="270" t="s">
        <v>294</v>
      </c>
      <c r="E4" s="271" t="s">
        <v>173</v>
      </c>
      <c r="F4" s="271" t="s">
        <v>295</v>
      </c>
      <c r="G4" s="271" t="s">
        <v>296</v>
      </c>
      <c r="H4" s="272" t="s">
        <v>297</v>
      </c>
      <c r="I4" s="54"/>
      <c r="K4" s="54"/>
      <c r="L4" s="54"/>
      <c r="M4" s="54"/>
      <c r="O4" s="54"/>
      <c r="P4" s="54"/>
      <c r="Q4" s="54"/>
      <c r="S4" s="54"/>
      <c r="T4" s="54"/>
      <c r="U4" s="54"/>
    </row>
    <row r="5" spans="2:21" s="54" customFormat="1" x14ac:dyDescent="0.45">
      <c r="B5" s="273" t="s">
        <v>298</v>
      </c>
      <c r="C5" s="91" t="e">
        <f>'Calculation Factors m3 trans'!L3*'Scenario 1 - Calc Sheet'!C77*'Scenario 1 - Calc Sheet'!$B$25</f>
        <v>#VALUE!</v>
      </c>
      <c r="D5" s="103" t="e">
        <f>'Calculation Factors m3 trans'!L3*'Scenario 1 - Calc Sheet'!C78*'Scenario 1 - Calc Sheet'!$B$25</f>
        <v>#VALUE!</v>
      </c>
      <c r="E5" s="103" t="e">
        <f>'Calculation Factors m3 trans'!L3*'Scenario 1 - Calc Sheet'!C79*'Scenario 1 - Calc Sheet'!$B$25</f>
        <v>#VALUE!</v>
      </c>
      <c r="F5" s="103" t="e">
        <f>'Calculation Factors m3 trans'!L3*'Scenario 1 - Calc Sheet'!C80*'Scenario 1 - Calc Sheet'!$B$25</f>
        <v>#VALUE!</v>
      </c>
      <c r="G5" s="103" t="e">
        <f>'Calculation Factors m3 trans'!L3*'Scenario 1 - Calc Sheet'!C81*'Scenario 1 - Calc Sheet'!$B$25</f>
        <v>#VALUE!</v>
      </c>
      <c r="H5" s="274" t="e">
        <f>SUM(C5:G5)</f>
        <v>#VALUE!</v>
      </c>
      <c r="R5" s="56"/>
    </row>
    <row r="6" spans="2:21" s="54" customFormat="1" x14ac:dyDescent="0.45">
      <c r="B6" s="273" t="s">
        <v>299</v>
      </c>
      <c r="C6" s="91">
        <f>IF('Scenario 1 - Calc Sheet'!B70&lt;&gt;"custom",0,IF(C2="EPA Warm",K20,IF(C2="Tally",K80,0)))</f>
        <v>0</v>
      </c>
      <c r="D6" s="103">
        <f>IF('Scenario 1 - Calc Sheet'!B70&lt;&gt;"custom",0,IF(C2="EPA Warm",K33,IF(C2="Tally",0,0)))</f>
        <v>0</v>
      </c>
      <c r="E6" s="103">
        <f>IF('Scenario 1 - Calc Sheet'!B70&lt;&gt;"custom",0,IF(C2="EPA Warm",K47,IF(C2="Tally",0,0)))</f>
        <v>0</v>
      </c>
      <c r="F6" s="103">
        <f>IF('Scenario 1 - Calc Sheet'!B70&lt;&gt;"custom",0,IF(C2="EPA Warm",K60,IF(C2="Tally",K92,0)))</f>
        <v>0</v>
      </c>
      <c r="G6" s="103">
        <f>IF('Scenario 1 - Calc Sheet'!B70&lt;&gt;"custom",0,IF(C2="EPA Warm",K69,IF(C2="Tally",K102,0)))</f>
        <v>0</v>
      </c>
      <c r="H6" s="274">
        <f>SUM(C6:G6)</f>
        <v>0</v>
      </c>
      <c r="R6" s="56"/>
    </row>
    <row r="7" spans="2:21" s="54" customFormat="1" x14ac:dyDescent="0.45">
      <c r="B7" s="273" t="s">
        <v>300</v>
      </c>
      <c r="C7" s="91">
        <f>IF('Scenario 1 - Calc Sheet'!B70&lt;&gt;"custom",0,IF(C2="EPA Warm",L20,IF(C2="Tally",L80,0)))</f>
        <v>0</v>
      </c>
      <c r="D7" s="103">
        <f>IF('Scenario 1 - Calc Sheet'!B70&lt;&gt;"custom",0,IF(C2="EPA Warm",L33,IF(C2="Tally",0,0)))</f>
        <v>0</v>
      </c>
      <c r="E7" s="103">
        <f>IF('Scenario 1 - Calc Sheet'!B70&lt;&gt;"custom",0,IF(C2="EPA Warm",L47,IF(C2="Tally",0,0)))</f>
        <v>0</v>
      </c>
      <c r="F7" s="103">
        <f>IF('Scenario 1 - Calc Sheet'!B70&lt;&gt;"custom",0,IF(C2="EPA Warm",L60,IF(C2="Tally",L92,0)))</f>
        <v>0</v>
      </c>
      <c r="G7" s="103">
        <f>IF('Scenario 1 - Calc Sheet'!B70&lt;&gt;"custom",0,IF(C2="EPA Warm",L69,IF(C2="Tally",L102,0)))</f>
        <v>0</v>
      </c>
      <c r="H7" s="274">
        <f>SUM(C7:G7)</f>
        <v>0</v>
      </c>
    </row>
    <row r="8" spans="2:21" s="54" customFormat="1" x14ac:dyDescent="0.45">
      <c r="B8" s="273" t="s">
        <v>58</v>
      </c>
      <c r="C8" s="91" t="b">
        <f>IF(AND('Scenario 1 - Calc Sheet'!B88="yes",'Scenario 1 - Calc Sheet'!B70="custom"),IF(C2="EPA Warm",M20,IF(C2="Tally",M80,0)))</f>
        <v>0</v>
      </c>
      <c r="D8" s="103" t="b">
        <f>IF(AND('Scenario 1 - Calc Sheet'!B88="yes",'Scenario 1 - Calc Sheet'!B70="custom"),IF(C2="EPA Warm",M33,IF(C2="Tally",0,0)))</f>
        <v>0</v>
      </c>
      <c r="E8" s="103" t="b">
        <f>IF(AND('Scenario 1 - Calc Sheet'!B88="yes",'Scenario 1 - Calc Sheet'!B70="custom"),IF(C2="EPA Warm",M47,IF(C2="Tally",0,0)))</f>
        <v>0</v>
      </c>
      <c r="F8" s="103" t="b">
        <f>IF(AND('Scenario 1 - Calc Sheet'!B88="yes",'Scenario 1 - Calc Sheet'!B70="custom"),IF(C2="EPA Warm",M60,IF(C2="Tally",M92,0)))</f>
        <v>0</v>
      </c>
      <c r="G8" s="103" t="b">
        <f>IF(AND('Scenario 1 - Calc Sheet'!B88="yes",'Scenario 1 - Calc Sheet'!B70="custom"),IF(C2="EPA Warm",M69,IF(C2="Tally",M102,0)))</f>
        <v>0</v>
      </c>
      <c r="H8" s="274">
        <f>SUM(C8:G8)</f>
        <v>0</v>
      </c>
      <c r="R8" s="56"/>
    </row>
    <row r="9" spans="2:21" s="54" customFormat="1" ht="14.65" thickBot="1" x14ac:dyDescent="0.5">
      <c r="B9" s="275" t="s">
        <v>133</v>
      </c>
      <c r="C9" s="276">
        <f>SUM(C6:C8)</f>
        <v>0</v>
      </c>
      <c r="D9" s="276">
        <f t="shared" ref="D9:F9" si="0">SUM(D6:D8)</f>
        <v>0</v>
      </c>
      <c r="E9" s="276">
        <f t="shared" si="0"/>
        <v>0</v>
      </c>
      <c r="F9" s="276">
        <f t="shared" si="0"/>
        <v>0</v>
      </c>
      <c r="G9" s="276">
        <f>SUM(G6:G8)</f>
        <v>0</v>
      </c>
      <c r="H9" s="277">
        <f>SUM(H6:H8)</f>
        <v>0</v>
      </c>
      <c r="R9" s="56"/>
    </row>
    <row r="10" spans="2:21" x14ac:dyDescent="0.45">
      <c r="H10" s="54"/>
      <c r="I10" s="54"/>
      <c r="K10" s="54"/>
      <c r="L10" s="54"/>
      <c r="M10" s="54"/>
      <c r="O10" s="54" t="s">
        <v>108</v>
      </c>
      <c r="P10" s="54"/>
      <c r="Q10" s="54"/>
      <c r="S10" s="54"/>
      <c r="T10" s="54"/>
      <c r="U10" s="54"/>
    </row>
    <row r="11" spans="2:21" ht="21.75" customHeight="1" x14ac:dyDescent="0.45">
      <c r="H11" s="54"/>
      <c r="I11" s="54"/>
      <c r="J11" s="432" t="s">
        <v>301</v>
      </c>
      <c r="K11" s="432"/>
      <c r="L11" s="432"/>
      <c r="M11" s="432"/>
      <c r="N11" s="432"/>
      <c r="O11" s="432"/>
      <c r="P11" s="54"/>
      <c r="Q11" s="432" t="s">
        <v>302</v>
      </c>
      <c r="R11" s="432"/>
      <c r="S11" s="432"/>
      <c r="T11" s="432"/>
      <c r="U11" s="432"/>
    </row>
    <row r="12" spans="2:21" ht="14.65" thickBot="1" x14ac:dyDescent="0.5">
      <c r="H12" s="54"/>
      <c r="I12" s="54"/>
      <c r="K12" s="54"/>
      <c r="L12" s="54"/>
      <c r="M12" s="54"/>
      <c r="O12" s="54"/>
      <c r="P12" s="54"/>
      <c r="Q12" s="56"/>
      <c r="R12" s="54"/>
      <c r="S12" s="54"/>
      <c r="T12" s="54"/>
      <c r="U12" s="54"/>
    </row>
    <row r="13" spans="2:21" ht="14.25" customHeight="1" x14ac:dyDescent="0.45">
      <c r="H13" s="54"/>
      <c r="I13" s="54"/>
      <c r="J13" s="411" t="s">
        <v>1</v>
      </c>
      <c r="K13" s="415" t="s">
        <v>303</v>
      </c>
      <c r="L13" s="416"/>
      <c r="M13" s="416"/>
      <c r="N13" s="417"/>
      <c r="O13" s="413" t="s">
        <v>304</v>
      </c>
      <c r="P13" s="54"/>
      <c r="Q13" s="433" t="s">
        <v>1</v>
      </c>
      <c r="R13" s="415" t="s">
        <v>305</v>
      </c>
      <c r="S13" s="416"/>
      <c r="T13" s="417"/>
      <c r="U13" s="435" t="s">
        <v>306</v>
      </c>
    </row>
    <row r="14" spans="2:21" s="56" customFormat="1" ht="28.5" x14ac:dyDescent="0.45">
      <c r="J14" s="412"/>
      <c r="K14" s="156" t="s">
        <v>307</v>
      </c>
      <c r="L14" s="156" t="s">
        <v>308</v>
      </c>
      <c r="M14" s="156" t="s">
        <v>58</v>
      </c>
      <c r="N14" s="156" t="s">
        <v>133</v>
      </c>
      <c r="O14" s="414"/>
      <c r="Q14" s="434"/>
      <c r="R14" s="156" t="s">
        <v>307</v>
      </c>
      <c r="S14" s="156" t="s">
        <v>308</v>
      </c>
      <c r="T14" s="156" t="s">
        <v>58</v>
      </c>
      <c r="U14" s="436"/>
    </row>
    <row r="15" spans="2:21" ht="29.25" customHeight="1" x14ac:dyDescent="0.45">
      <c r="H15" s="54"/>
      <c r="I15" s="54"/>
      <c r="J15" s="146" t="s">
        <v>309</v>
      </c>
      <c r="K15" s="103"/>
      <c r="L15" s="103" t="e">
        <f>S15*$C$5</f>
        <v>#VALUE!</v>
      </c>
      <c r="M15" s="103"/>
      <c r="N15" s="103"/>
      <c r="O15" s="20" t="s">
        <v>139</v>
      </c>
      <c r="P15" s="54"/>
      <c r="Q15" s="146" t="s">
        <v>309</v>
      </c>
      <c r="R15" s="8"/>
      <c r="S15" s="8">
        <v>0.20599999999999999</v>
      </c>
      <c r="T15" s="8"/>
      <c r="U15" s="20" t="s">
        <v>310</v>
      </c>
    </row>
    <row r="16" spans="2:21" ht="36.75" customHeight="1" x14ac:dyDescent="0.45">
      <c r="H16" s="54"/>
      <c r="I16" s="54"/>
      <c r="J16" s="146" t="s">
        <v>311</v>
      </c>
      <c r="K16" s="103" t="e">
        <f>R16*$C$5</f>
        <v>#VALUE!</v>
      </c>
      <c r="L16" s="103"/>
      <c r="M16" s="103"/>
      <c r="N16" s="103"/>
      <c r="O16" s="20" t="s">
        <v>139</v>
      </c>
      <c r="P16" s="54"/>
      <c r="Q16" s="146" t="s">
        <v>311</v>
      </c>
      <c r="R16" s="8">
        <v>0.15</v>
      </c>
      <c r="S16" s="8"/>
      <c r="T16" s="8"/>
      <c r="U16" s="20" t="s">
        <v>310</v>
      </c>
    </row>
    <row r="17" spans="10:22" ht="45" customHeight="1" x14ac:dyDescent="0.45">
      <c r="J17" s="146" t="s">
        <v>312</v>
      </c>
      <c r="K17" s="103"/>
      <c r="L17" s="103" t="e">
        <f>S17*$C$5</f>
        <v>#VALUE!</v>
      </c>
      <c r="M17" s="103"/>
      <c r="N17" s="103"/>
      <c r="O17" s="20"/>
      <c r="P17" s="54"/>
      <c r="Q17" s="146" t="s">
        <v>312</v>
      </c>
      <c r="R17" s="154"/>
      <c r="S17" s="154">
        <v>2.1999999999999999E-2</v>
      </c>
      <c r="T17" s="8"/>
      <c r="U17" s="20"/>
      <c r="V17" s="54"/>
    </row>
    <row r="18" spans="10:22" ht="18" customHeight="1" x14ac:dyDescent="0.45">
      <c r="J18" s="146" t="s">
        <v>313</v>
      </c>
      <c r="K18" s="103" t="e">
        <f>R18*$C$5</f>
        <v>#VALUE!</v>
      </c>
      <c r="L18" s="103"/>
      <c r="M18" s="103"/>
      <c r="N18" s="103"/>
      <c r="O18" s="20" t="s">
        <v>139</v>
      </c>
      <c r="P18" s="54"/>
      <c r="Q18" s="146" t="s">
        <v>313</v>
      </c>
      <c r="R18" s="155">
        <v>2.204634140964307E-2</v>
      </c>
      <c r="S18" s="154"/>
      <c r="T18" s="8"/>
      <c r="U18" s="20" t="s">
        <v>310</v>
      </c>
      <c r="V18" s="54"/>
    </row>
    <row r="19" spans="10:22" ht="14.65" thickBot="1" x14ac:dyDescent="0.5">
      <c r="J19" s="242" t="s">
        <v>314</v>
      </c>
      <c r="K19" s="243" t="e">
        <f>R19*$C$5</f>
        <v>#VALUE!</v>
      </c>
      <c r="L19" s="243"/>
      <c r="M19" s="243"/>
      <c r="N19" s="243"/>
      <c r="O19" s="244" t="s">
        <v>139</v>
      </c>
      <c r="P19" s="54"/>
      <c r="Q19" s="121" t="s">
        <v>314</v>
      </c>
      <c r="R19" s="157">
        <v>4.4092682819286142E-3</v>
      </c>
      <c r="S19" s="158"/>
      <c r="T19" s="17"/>
      <c r="U19" s="122" t="s">
        <v>310</v>
      </c>
      <c r="V19" s="54"/>
    </row>
    <row r="20" spans="10:22" x14ac:dyDescent="0.45">
      <c r="J20" s="245" t="s">
        <v>297</v>
      </c>
      <c r="K20" s="246" t="e">
        <f>SUM(K15:K19)</f>
        <v>#VALUE!</v>
      </c>
      <c r="L20" s="246" t="e">
        <f>SUM(L15:L19)</f>
        <v>#VALUE!</v>
      </c>
      <c r="M20" s="246">
        <f>SUM(M15:M19)</f>
        <v>0</v>
      </c>
      <c r="N20" s="246"/>
      <c r="O20" s="257"/>
      <c r="P20" s="54"/>
      <c r="Q20" s="56"/>
      <c r="R20" s="54"/>
      <c r="S20" s="54"/>
      <c r="T20" s="54"/>
      <c r="U20" s="54"/>
      <c r="V20" s="54"/>
    </row>
    <row r="21" spans="10:22" s="54" customFormat="1" ht="14.65" thickBot="1" x14ac:dyDescent="0.5">
      <c r="J21" s="248" t="s">
        <v>315</v>
      </c>
      <c r="K21" s="249"/>
      <c r="L21" s="249"/>
      <c r="M21" s="249"/>
      <c r="N21" s="249" t="e">
        <f>SUM(K20:M20)</f>
        <v>#VALUE!</v>
      </c>
      <c r="O21" s="256"/>
      <c r="Q21" s="56"/>
    </row>
    <row r="22" spans="10:22" s="54" customFormat="1" x14ac:dyDescent="0.45">
      <c r="J22" s="56"/>
      <c r="Q22" s="56"/>
    </row>
    <row r="23" spans="10:22" ht="25.5" customHeight="1" x14ac:dyDescent="0.45">
      <c r="J23" s="432" t="s">
        <v>316</v>
      </c>
      <c r="K23" s="432"/>
      <c r="L23" s="432"/>
      <c r="M23" s="432"/>
      <c r="N23" s="432"/>
      <c r="O23" s="432"/>
      <c r="P23" s="54"/>
      <c r="Q23" s="432" t="s">
        <v>317</v>
      </c>
      <c r="R23" s="432"/>
      <c r="S23" s="432"/>
      <c r="T23" s="432"/>
      <c r="U23" s="432"/>
      <c r="V23" s="56"/>
    </row>
    <row r="24" spans="10:22" ht="14.65" thickBot="1" x14ac:dyDescent="0.5">
      <c r="K24" s="54"/>
      <c r="L24" s="54"/>
      <c r="M24" s="54"/>
      <c r="O24" s="54"/>
      <c r="P24" s="54"/>
      <c r="Q24" s="56"/>
      <c r="R24" s="54"/>
      <c r="S24" s="54"/>
      <c r="T24" s="54"/>
      <c r="U24" s="54"/>
      <c r="V24" s="54"/>
    </row>
    <row r="25" spans="10:22" x14ac:dyDescent="0.45">
      <c r="J25" s="411" t="s">
        <v>1</v>
      </c>
      <c r="K25" s="415" t="s">
        <v>318</v>
      </c>
      <c r="L25" s="416"/>
      <c r="M25" s="416"/>
      <c r="N25" s="417"/>
      <c r="O25" s="413" t="s">
        <v>304</v>
      </c>
      <c r="P25" s="54"/>
      <c r="Q25" s="433" t="s">
        <v>1</v>
      </c>
      <c r="R25" s="415" t="s">
        <v>319</v>
      </c>
      <c r="S25" s="416"/>
      <c r="T25" s="417"/>
      <c r="U25" s="435" t="s">
        <v>304</v>
      </c>
      <c r="V25" s="54"/>
    </row>
    <row r="26" spans="10:22" s="56" customFormat="1" ht="28.5" x14ac:dyDescent="0.45">
      <c r="J26" s="412"/>
      <c r="K26" s="156" t="s">
        <v>307</v>
      </c>
      <c r="L26" s="156" t="s">
        <v>308</v>
      </c>
      <c r="M26" s="156" t="s">
        <v>58</v>
      </c>
      <c r="N26" s="156" t="s">
        <v>133</v>
      </c>
      <c r="O26" s="414"/>
      <c r="Q26" s="434"/>
      <c r="R26" s="156" t="s">
        <v>307</v>
      </c>
      <c r="S26" s="156" t="s">
        <v>308</v>
      </c>
      <c r="T26" s="156" t="s">
        <v>58</v>
      </c>
      <c r="U26" s="436"/>
    </row>
    <row r="27" spans="10:22" ht="34.5" customHeight="1" x14ac:dyDescent="0.45">
      <c r="J27" s="147" t="s">
        <v>309</v>
      </c>
      <c r="K27" s="149"/>
      <c r="L27" s="149" t="e">
        <f>S27*$D$5</f>
        <v>#VALUE!</v>
      </c>
      <c r="M27" s="149"/>
      <c r="N27" s="149"/>
      <c r="O27" s="148" t="s">
        <v>139</v>
      </c>
      <c r="P27" s="54"/>
      <c r="Q27" s="146" t="s">
        <v>309</v>
      </c>
      <c r="R27" s="159"/>
      <c r="S27" s="159">
        <v>0.20599999999999999</v>
      </c>
      <c r="T27" s="159"/>
      <c r="U27" s="20" t="s">
        <v>310</v>
      </c>
      <c r="V27" s="54"/>
    </row>
    <row r="28" spans="10:22" ht="35.25" customHeight="1" x14ac:dyDescent="0.45">
      <c r="J28" s="146" t="s">
        <v>311</v>
      </c>
      <c r="K28" s="103" t="e">
        <f>R28*$D$5</f>
        <v>#VALUE!</v>
      </c>
      <c r="L28" s="54"/>
      <c r="M28" s="103"/>
      <c r="N28" s="103"/>
      <c r="O28" s="20" t="s">
        <v>139</v>
      </c>
      <c r="P28" s="54"/>
      <c r="Q28" s="146" t="s">
        <v>311</v>
      </c>
      <c r="R28" s="159">
        <v>0.05</v>
      </c>
      <c r="S28" s="159"/>
      <c r="T28" s="159"/>
      <c r="U28" s="20" t="s">
        <v>310</v>
      </c>
      <c r="V28" s="54"/>
    </row>
    <row r="29" spans="10:22" ht="45" customHeight="1" x14ac:dyDescent="0.45">
      <c r="J29" s="146" t="s">
        <v>312</v>
      </c>
      <c r="K29" s="103"/>
      <c r="L29" s="103" t="e">
        <f>S29*$D$5</f>
        <v>#VALUE!</v>
      </c>
      <c r="M29" s="103"/>
      <c r="N29" s="103"/>
      <c r="O29" s="236" t="s">
        <v>139</v>
      </c>
      <c r="P29" s="54"/>
      <c r="Q29" s="146" t="s">
        <v>312</v>
      </c>
      <c r="R29" s="159"/>
      <c r="S29" s="159">
        <v>1.1023170704821535E-2</v>
      </c>
      <c r="T29" s="159"/>
      <c r="U29" s="20"/>
      <c r="V29" s="54"/>
    </row>
    <row r="30" spans="10:22" ht="21.75" customHeight="1" x14ac:dyDescent="0.45">
      <c r="J30" s="146" t="s">
        <v>313</v>
      </c>
      <c r="K30" s="103" t="e">
        <f>R30*$D$5</f>
        <v>#VALUE!</v>
      </c>
      <c r="L30" s="103"/>
      <c r="M30" s="103"/>
      <c r="N30" s="103"/>
      <c r="O30" s="20" t="s">
        <v>139</v>
      </c>
      <c r="P30" s="54"/>
      <c r="Q30" s="146" t="s">
        <v>313</v>
      </c>
      <c r="R30" s="159">
        <v>2.204634140964307E-2</v>
      </c>
      <c r="S30" s="159"/>
      <c r="T30" s="159"/>
      <c r="U30" s="20" t="s">
        <v>310</v>
      </c>
      <c r="V30" s="54"/>
    </row>
    <row r="31" spans="10:22" x14ac:dyDescent="0.45">
      <c r="J31" s="146" t="s">
        <v>314</v>
      </c>
      <c r="K31" s="103" t="e">
        <f>R31*$D$5</f>
        <v>#VALUE!</v>
      </c>
      <c r="L31" s="103"/>
      <c r="M31" s="103"/>
      <c r="N31" s="103"/>
      <c r="O31" s="20" t="s">
        <v>139</v>
      </c>
      <c r="P31" s="54"/>
      <c r="Q31" s="146" t="s">
        <v>314</v>
      </c>
      <c r="R31" s="159">
        <v>4.4092682819286142E-3</v>
      </c>
      <c r="S31" s="159"/>
      <c r="T31" s="159"/>
      <c r="U31" s="20" t="s">
        <v>310</v>
      </c>
      <c r="V31" s="54"/>
    </row>
    <row r="32" spans="10:22" ht="33.75" customHeight="1" thickBot="1" x14ac:dyDescent="0.5">
      <c r="J32" s="242" t="s">
        <v>320</v>
      </c>
      <c r="K32" s="243"/>
      <c r="L32" s="243"/>
      <c r="M32" s="243" t="e">
        <f>T32*$D$5</f>
        <v>#VALUE!</v>
      </c>
      <c r="N32" s="243"/>
      <c r="O32" s="244" t="s">
        <v>139</v>
      </c>
      <c r="P32" s="54"/>
      <c r="Q32" s="121" t="s">
        <v>321</v>
      </c>
      <c r="R32" s="160"/>
      <c r="S32" s="160"/>
      <c r="T32" s="160">
        <v>-1.1023170704821535E-2</v>
      </c>
      <c r="U32" s="122" t="s">
        <v>310</v>
      </c>
      <c r="V32" s="54"/>
    </row>
    <row r="33" spans="10:21" x14ac:dyDescent="0.45">
      <c r="J33" s="245" t="s">
        <v>297</v>
      </c>
      <c r="K33" s="246" t="e">
        <f>SUM(K27:K32)</f>
        <v>#VALUE!</v>
      </c>
      <c r="L33" s="246" t="e">
        <f>SUM(L27:L32)</f>
        <v>#VALUE!</v>
      </c>
      <c r="M33" s="246" t="e">
        <f>SUM(M27:M32)</f>
        <v>#VALUE!</v>
      </c>
      <c r="N33" s="246"/>
      <c r="O33" s="247" t="s">
        <v>139</v>
      </c>
      <c r="P33" s="54"/>
      <c r="Q33" s="54"/>
      <c r="S33" s="54"/>
      <c r="T33" s="54"/>
      <c r="U33" s="54"/>
    </row>
    <row r="34" spans="10:21" s="54" customFormat="1" ht="14.65" thickBot="1" x14ac:dyDescent="0.5">
      <c r="J34" s="248" t="s">
        <v>133</v>
      </c>
      <c r="K34" s="249"/>
      <c r="L34" s="249"/>
      <c r="M34" s="249"/>
      <c r="N34" s="249" t="e">
        <f>SUM(K33:M33)</f>
        <v>#VALUE!</v>
      </c>
      <c r="O34" s="250" t="s">
        <v>139</v>
      </c>
      <c r="R34" s="56"/>
    </row>
    <row r="35" spans="10:21" s="54" customFormat="1" x14ac:dyDescent="0.45">
      <c r="J35" s="56"/>
      <c r="R35" s="56"/>
    </row>
    <row r="36" spans="10:21" ht="21" customHeight="1" x14ac:dyDescent="0.45">
      <c r="J36" s="377" t="s">
        <v>322</v>
      </c>
      <c r="K36" s="377"/>
      <c r="L36" s="377"/>
      <c r="M36" s="377"/>
      <c r="N36" s="377"/>
      <c r="O36" s="377"/>
      <c r="P36" s="54"/>
      <c r="Q36" s="377" t="s">
        <v>323</v>
      </c>
      <c r="R36" s="377"/>
      <c r="S36" s="377"/>
      <c r="T36" s="377"/>
      <c r="U36" s="377"/>
    </row>
    <row r="37" spans="10:21" ht="14.65" thickBot="1" x14ac:dyDescent="0.5">
      <c r="K37" s="54"/>
      <c r="L37" s="54"/>
      <c r="M37" s="54"/>
      <c r="O37" s="54"/>
      <c r="P37" s="54"/>
      <c r="Q37" s="54"/>
      <c r="S37" s="54"/>
      <c r="T37" s="54"/>
      <c r="U37" s="54"/>
    </row>
    <row r="38" spans="10:21" x14ac:dyDescent="0.45">
      <c r="J38" s="428" t="s">
        <v>1</v>
      </c>
      <c r="K38" s="415" t="s">
        <v>324</v>
      </c>
      <c r="L38" s="416"/>
      <c r="M38" s="417"/>
      <c r="N38" s="216"/>
      <c r="O38" s="430" t="s">
        <v>304</v>
      </c>
      <c r="P38" s="54"/>
      <c r="Q38" s="418" t="s">
        <v>1</v>
      </c>
      <c r="R38" s="420" t="s">
        <v>324</v>
      </c>
      <c r="S38" s="420"/>
      <c r="T38" s="420"/>
      <c r="U38" s="421" t="s">
        <v>304</v>
      </c>
    </row>
    <row r="39" spans="10:21" ht="28.5" x14ac:dyDescent="0.45">
      <c r="J39" s="429"/>
      <c r="K39" s="156" t="s">
        <v>307</v>
      </c>
      <c r="L39" s="156" t="s">
        <v>308</v>
      </c>
      <c r="M39" s="161" t="s">
        <v>58</v>
      </c>
      <c r="N39" s="161" t="s">
        <v>133</v>
      </c>
      <c r="O39" s="431"/>
      <c r="P39" s="54"/>
      <c r="Q39" s="419"/>
      <c r="R39" s="156" t="s">
        <v>307</v>
      </c>
      <c r="S39" s="156" t="s">
        <v>308</v>
      </c>
      <c r="T39" s="156" t="s">
        <v>58</v>
      </c>
      <c r="U39" s="422"/>
    </row>
    <row r="40" spans="10:21" x14ac:dyDescent="0.45">
      <c r="J40" s="235" t="s">
        <v>325</v>
      </c>
      <c r="K40" s="238"/>
      <c r="L40" s="238" t="e">
        <f>S40*$E$5</f>
        <v>#VALUE!</v>
      </c>
      <c r="M40" s="238"/>
      <c r="N40" s="238"/>
      <c r="O40" s="236" t="s">
        <v>139</v>
      </c>
      <c r="P40" s="54"/>
      <c r="Q40" s="163" t="s">
        <v>325</v>
      </c>
      <c r="R40" s="143"/>
      <c r="S40" s="143">
        <v>0.20599999999999999</v>
      </c>
      <c r="T40" s="143"/>
      <c r="U40" s="164" t="s">
        <v>310</v>
      </c>
    </row>
    <row r="41" spans="10:21" x14ac:dyDescent="0.45">
      <c r="J41" s="235" t="s">
        <v>326</v>
      </c>
      <c r="K41" s="238" t="e">
        <f>R41*$E$5</f>
        <v>#VALUE!</v>
      </c>
      <c r="L41" s="238"/>
      <c r="M41" s="238"/>
      <c r="N41" s="238"/>
      <c r="O41" s="236" t="s">
        <v>139</v>
      </c>
      <c r="P41" s="54"/>
      <c r="Q41" s="163" t="s">
        <v>326</v>
      </c>
      <c r="R41" s="168">
        <v>0.06</v>
      </c>
      <c r="S41" s="143"/>
      <c r="T41" s="143"/>
      <c r="U41" s="164" t="s">
        <v>310</v>
      </c>
    </row>
    <row r="42" spans="10:21" ht="42.75" x14ac:dyDescent="0.45">
      <c r="J42" s="237" t="s">
        <v>312</v>
      </c>
      <c r="K42" s="238"/>
      <c r="L42" s="238" t="e">
        <f>S42*$E$5</f>
        <v>#VALUE!</v>
      </c>
      <c r="M42" s="238"/>
      <c r="N42" s="238"/>
      <c r="O42" s="236" t="s">
        <v>139</v>
      </c>
      <c r="P42" s="54"/>
      <c r="Q42" s="169" t="s">
        <v>312</v>
      </c>
      <c r="R42" s="143"/>
      <c r="S42" s="168">
        <v>2.204634140964307E-2</v>
      </c>
      <c r="T42" s="143"/>
      <c r="U42" s="164"/>
    </row>
    <row r="43" spans="10:21" x14ac:dyDescent="0.45">
      <c r="J43" s="237" t="s">
        <v>313</v>
      </c>
      <c r="K43" s="238" t="e">
        <f>R43*$E$5</f>
        <v>#VALUE!</v>
      </c>
      <c r="L43" s="238"/>
      <c r="M43" s="238"/>
      <c r="N43" s="238"/>
      <c r="O43" s="236" t="s">
        <v>139</v>
      </c>
      <c r="P43" s="54"/>
      <c r="Q43" s="163" t="s">
        <v>313</v>
      </c>
      <c r="R43" s="168">
        <v>2.204634140964307E-2</v>
      </c>
      <c r="S43" s="143"/>
      <c r="T43" s="143"/>
      <c r="U43" s="164" t="s">
        <v>310</v>
      </c>
    </row>
    <row r="44" spans="10:21" x14ac:dyDescent="0.45">
      <c r="J44" s="237" t="s">
        <v>314</v>
      </c>
      <c r="K44" s="238" t="e">
        <f>R44*$E$5</f>
        <v>#VALUE!</v>
      </c>
      <c r="L44" s="238"/>
      <c r="M44" s="238"/>
      <c r="N44" s="238"/>
      <c r="O44" s="236" t="s">
        <v>139</v>
      </c>
      <c r="P44" s="54"/>
      <c r="Q44" s="163" t="s">
        <v>314</v>
      </c>
      <c r="R44" s="168">
        <v>4.4092682819286142E-3</v>
      </c>
      <c r="S44" s="143"/>
      <c r="T44" s="143"/>
      <c r="U44" s="164" t="s">
        <v>310</v>
      </c>
    </row>
    <row r="45" spans="10:21" ht="28.5" customHeight="1" x14ac:dyDescent="0.45">
      <c r="J45" s="237" t="s">
        <v>320</v>
      </c>
      <c r="K45" s="238"/>
      <c r="L45" s="238"/>
      <c r="M45" s="238"/>
      <c r="N45" s="238"/>
      <c r="O45" s="236" t="s">
        <v>139</v>
      </c>
      <c r="P45" s="54"/>
      <c r="Q45" s="163" t="s">
        <v>320</v>
      </c>
      <c r="R45" s="143"/>
      <c r="S45" s="143"/>
      <c r="T45" s="143"/>
      <c r="U45" s="164" t="s">
        <v>310</v>
      </c>
    </row>
    <row r="46" spans="10:21" ht="14.65" thickBot="1" x14ac:dyDescent="0.5">
      <c r="J46" s="267" t="s">
        <v>327</v>
      </c>
      <c r="K46" s="240"/>
      <c r="L46" s="240"/>
      <c r="M46" s="240"/>
      <c r="N46" s="240"/>
      <c r="O46" s="241" t="s">
        <v>139</v>
      </c>
      <c r="P46" s="54"/>
      <c r="Q46" s="165" t="s">
        <v>327</v>
      </c>
      <c r="R46" s="166"/>
      <c r="S46" s="166"/>
      <c r="T46" s="166"/>
      <c r="U46" s="167" t="s">
        <v>310</v>
      </c>
    </row>
    <row r="47" spans="10:21" x14ac:dyDescent="0.45">
      <c r="J47" s="251" t="s">
        <v>297</v>
      </c>
      <c r="K47" s="252" t="e">
        <f>SUM(K40:K46)</f>
        <v>#VALUE!</v>
      </c>
      <c r="L47" s="252" t="e">
        <f>SUM(L40:L46)</f>
        <v>#VALUE!</v>
      </c>
      <c r="M47" s="252">
        <f>SUM(M40:M46)</f>
        <v>0</v>
      </c>
      <c r="N47" s="252"/>
      <c r="O47" s="247" t="s">
        <v>139</v>
      </c>
      <c r="P47" s="54"/>
      <c r="Q47" s="54"/>
      <c r="S47" s="54"/>
      <c r="T47" s="54"/>
      <c r="U47" s="54"/>
    </row>
    <row r="48" spans="10:21" ht="14.65" thickBot="1" x14ac:dyDescent="0.5">
      <c r="J48" s="253" t="s">
        <v>133</v>
      </c>
      <c r="K48" s="254"/>
      <c r="L48" s="254"/>
      <c r="M48" s="255"/>
      <c r="N48" s="255" t="e">
        <f>SUM(K47:M47)</f>
        <v>#VALUE!</v>
      </c>
      <c r="O48" s="250" t="s">
        <v>139</v>
      </c>
      <c r="P48" s="54"/>
      <c r="Q48" s="54"/>
      <c r="S48" s="54"/>
      <c r="T48" s="54"/>
      <c r="U48" s="54"/>
    </row>
    <row r="49" spans="10:21" s="54" customFormat="1" x14ac:dyDescent="0.45">
      <c r="J49" s="56"/>
      <c r="R49" s="56"/>
    </row>
    <row r="50" spans="10:21" x14ac:dyDescent="0.45">
      <c r="J50" s="377" t="s">
        <v>328</v>
      </c>
      <c r="K50" s="377"/>
      <c r="L50" s="377"/>
      <c r="M50" s="377"/>
      <c r="N50" s="377"/>
      <c r="O50" s="377"/>
      <c r="P50" s="54"/>
      <c r="Q50" s="377" t="s">
        <v>329</v>
      </c>
      <c r="R50" s="377"/>
      <c r="S50" s="377"/>
      <c r="T50" s="377"/>
      <c r="U50" s="377"/>
    </row>
    <row r="51" spans="10:21" ht="14.65" thickBot="1" x14ac:dyDescent="0.5">
      <c r="K51" s="54"/>
      <c r="L51" s="54"/>
      <c r="M51" s="54"/>
      <c r="O51" s="54"/>
      <c r="P51" s="54"/>
      <c r="Q51" s="54"/>
      <c r="S51" s="54"/>
      <c r="T51" s="54"/>
      <c r="U51" s="54"/>
    </row>
    <row r="52" spans="10:21" x14ac:dyDescent="0.45">
      <c r="J52" s="418" t="s">
        <v>1</v>
      </c>
      <c r="K52" s="420" t="s">
        <v>295</v>
      </c>
      <c r="L52" s="420"/>
      <c r="M52" s="420"/>
      <c r="N52" s="216"/>
      <c r="O52" s="421" t="s">
        <v>304</v>
      </c>
      <c r="P52" s="54"/>
      <c r="Q52" s="418" t="s">
        <v>1</v>
      </c>
      <c r="R52" s="420" t="s">
        <v>295</v>
      </c>
      <c r="S52" s="420"/>
      <c r="T52" s="420"/>
      <c r="U52" s="421" t="s">
        <v>304</v>
      </c>
    </row>
    <row r="53" spans="10:21" ht="28.5" x14ac:dyDescent="0.45">
      <c r="J53" s="419"/>
      <c r="K53" s="156" t="s">
        <v>307</v>
      </c>
      <c r="L53" s="156" t="s">
        <v>308</v>
      </c>
      <c r="M53" s="161" t="s">
        <v>58</v>
      </c>
      <c r="N53" s="161" t="s">
        <v>133</v>
      </c>
      <c r="O53" s="422"/>
      <c r="P53" s="54"/>
      <c r="Q53" s="419"/>
      <c r="R53" s="156" t="s">
        <v>307</v>
      </c>
      <c r="S53" s="156" t="s">
        <v>308</v>
      </c>
      <c r="T53" s="156" t="s">
        <v>58</v>
      </c>
      <c r="U53" s="422"/>
    </row>
    <row r="54" spans="10:21" x14ac:dyDescent="0.45">
      <c r="J54" s="235" t="s">
        <v>330</v>
      </c>
      <c r="K54" s="238" t="e">
        <f>R54*$F$5</f>
        <v>#VALUE!</v>
      </c>
      <c r="L54" s="103"/>
      <c r="M54" s="103"/>
      <c r="N54" s="103"/>
      <c r="O54" s="20" t="s">
        <v>139</v>
      </c>
      <c r="P54" s="54"/>
      <c r="Q54" s="163" t="s">
        <v>330</v>
      </c>
      <c r="R54" s="168">
        <v>4.409268281928614E-2</v>
      </c>
      <c r="S54" s="168"/>
      <c r="T54" s="168"/>
      <c r="U54" s="164" t="s">
        <v>310</v>
      </c>
    </row>
    <row r="55" spans="10:21" ht="28.5" x14ac:dyDescent="0.45">
      <c r="J55" s="237" t="s">
        <v>331</v>
      </c>
      <c r="K55" s="238"/>
      <c r="L55" s="238" t="e">
        <f>S55*$F$5</f>
        <v>#VALUE!</v>
      </c>
      <c r="M55" s="238"/>
      <c r="N55" s="238"/>
      <c r="O55" s="236" t="s">
        <v>139</v>
      </c>
      <c r="P55" s="54"/>
      <c r="Q55" s="169" t="s">
        <v>331</v>
      </c>
      <c r="R55" s="168"/>
      <c r="S55" s="171" t="e">
        <f>'Calculation Factors m3 trans'!E3/'Calculation Factors m3 trans'!L3*-1</f>
        <v>#VALUE!</v>
      </c>
      <c r="T55" s="168"/>
      <c r="U55" s="164" t="s">
        <v>310</v>
      </c>
    </row>
    <row r="56" spans="10:21" x14ac:dyDescent="0.45">
      <c r="J56" s="235" t="s">
        <v>320</v>
      </c>
      <c r="K56" s="238"/>
      <c r="L56" s="238"/>
      <c r="M56" s="238" t="e">
        <f>T56*$F$5</f>
        <v>#VALUE!</v>
      </c>
      <c r="N56" s="238"/>
      <c r="O56" s="236" t="s">
        <v>139</v>
      </c>
      <c r="P56" s="54"/>
      <c r="Q56" s="163" t="s">
        <v>320</v>
      </c>
      <c r="R56" s="168"/>
      <c r="S56" s="168"/>
      <c r="T56" s="168">
        <v>-0.69445975440375673</v>
      </c>
      <c r="U56" s="164" t="s">
        <v>310</v>
      </c>
    </row>
    <row r="57" spans="10:21" x14ac:dyDescent="0.45">
      <c r="J57" s="235" t="s">
        <v>332</v>
      </c>
      <c r="K57" s="238"/>
      <c r="L57" s="238"/>
      <c r="M57" s="238"/>
      <c r="N57" s="238"/>
      <c r="O57" s="236" t="s">
        <v>139</v>
      </c>
      <c r="P57" s="54"/>
      <c r="Q57" s="163" t="s">
        <v>332</v>
      </c>
      <c r="R57" s="168"/>
      <c r="S57" s="168"/>
      <c r="T57" s="168"/>
      <c r="U57" s="164" t="s">
        <v>310</v>
      </c>
    </row>
    <row r="58" spans="10:21" x14ac:dyDescent="0.45">
      <c r="J58" s="235" t="s">
        <v>333</v>
      </c>
      <c r="K58" s="238"/>
      <c r="L58" s="238"/>
      <c r="M58" s="238"/>
      <c r="N58" s="238"/>
      <c r="O58" s="236" t="s">
        <v>139</v>
      </c>
      <c r="P58" s="54"/>
      <c r="Q58" s="163" t="s">
        <v>333</v>
      </c>
      <c r="R58" s="168"/>
      <c r="S58" s="168"/>
      <c r="T58" s="168"/>
      <c r="U58" s="164" t="s">
        <v>310</v>
      </c>
    </row>
    <row r="59" spans="10:21" ht="14.65" thickBot="1" x14ac:dyDescent="0.5">
      <c r="J59" s="239" t="s">
        <v>314</v>
      </c>
      <c r="K59" s="240" t="e">
        <f>R59*$F$5</f>
        <v>#VALUE!</v>
      </c>
      <c r="L59" s="240"/>
      <c r="M59" s="240"/>
      <c r="N59" s="240"/>
      <c r="O59" s="241" t="s">
        <v>139</v>
      </c>
      <c r="P59" s="54"/>
      <c r="Q59" s="165" t="s">
        <v>314</v>
      </c>
      <c r="R59" s="170">
        <v>1.1023170704821535E-2</v>
      </c>
      <c r="S59" s="170"/>
      <c r="T59" s="170"/>
      <c r="U59" s="167" t="s">
        <v>310</v>
      </c>
    </row>
    <row r="60" spans="10:21" x14ac:dyDescent="0.45">
      <c r="J60" s="251" t="s">
        <v>297</v>
      </c>
      <c r="K60" s="252" t="e">
        <f>SUM(K54:K59)</f>
        <v>#VALUE!</v>
      </c>
      <c r="L60" s="252" t="e">
        <f>SUM(L54:L59)</f>
        <v>#VALUE!</v>
      </c>
      <c r="M60" s="252" t="e">
        <f>SUM(M54:M59)</f>
        <v>#VALUE!</v>
      </c>
      <c r="N60" s="252"/>
      <c r="O60" s="247" t="s">
        <v>139</v>
      </c>
      <c r="P60" s="54"/>
      <c r="Q60" s="54"/>
      <c r="S60" s="54"/>
      <c r="T60" s="54"/>
      <c r="U60" s="54"/>
    </row>
    <row r="61" spans="10:21" s="54" customFormat="1" ht="14.65" thickBot="1" x14ac:dyDescent="0.5">
      <c r="J61" s="253" t="s">
        <v>133</v>
      </c>
      <c r="K61" s="255"/>
      <c r="L61" s="255"/>
      <c r="M61" s="255"/>
      <c r="N61" s="255" t="e">
        <f>SUM(K60:M60)</f>
        <v>#VALUE!</v>
      </c>
      <c r="O61" s="250" t="s">
        <v>139</v>
      </c>
      <c r="R61" s="56"/>
    </row>
    <row r="62" spans="10:21" ht="65.25" customHeight="1" x14ac:dyDescent="0.45">
      <c r="K62" s="54"/>
      <c r="L62" s="54"/>
      <c r="M62" s="54"/>
      <c r="O62" s="54"/>
      <c r="P62" s="54"/>
      <c r="Q62" s="54"/>
      <c r="S62" s="54"/>
      <c r="T62" s="54"/>
      <c r="U62" s="54"/>
    </row>
    <row r="63" spans="10:21" ht="14.25" customHeight="1" x14ac:dyDescent="0.45">
      <c r="J63" s="377" t="s">
        <v>334</v>
      </c>
      <c r="K63" s="377"/>
      <c r="L63" s="377"/>
      <c r="M63" s="377"/>
      <c r="N63" s="377"/>
      <c r="O63" s="377"/>
      <c r="P63" s="54"/>
      <c r="Q63" s="377" t="s">
        <v>335</v>
      </c>
      <c r="R63" s="377"/>
      <c r="S63" s="377"/>
      <c r="T63" s="377"/>
      <c r="U63" s="377"/>
    </row>
    <row r="64" spans="10:21" ht="14.65" thickBot="1" x14ac:dyDescent="0.5">
      <c r="K64" s="54"/>
      <c r="L64" s="54"/>
      <c r="M64" s="54"/>
      <c r="O64" s="54"/>
      <c r="P64" s="54"/>
      <c r="Q64" s="54"/>
      <c r="S64" s="54"/>
      <c r="T64" s="54"/>
      <c r="U64" s="54"/>
    </row>
    <row r="65" spans="9:21" x14ac:dyDescent="0.45">
      <c r="I65" s="54"/>
      <c r="J65" s="418" t="s">
        <v>1</v>
      </c>
      <c r="K65" s="420" t="s">
        <v>296</v>
      </c>
      <c r="L65" s="420"/>
      <c r="M65" s="420"/>
      <c r="N65" s="216"/>
      <c r="O65" s="421" t="s">
        <v>304</v>
      </c>
      <c r="P65" s="54"/>
      <c r="Q65" s="418" t="s">
        <v>1</v>
      </c>
      <c r="R65" s="420" t="s">
        <v>296</v>
      </c>
      <c r="S65" s="420"/>
      <c r="T65" s="420"/>
      <c r="U65" s="421" t="s">
        <v>304</v>
      </c>
    </row>
    <row r="66" spans="9:21" ht="28.5" x14ac:dyDescent="0.45">
      <c r="I66" s="54"/>
      <c r="J66" s="419"/>
      <c r="K66" s="156" t="s">
        <v>307</v>
      </c>
      <c r="L66" s="156" t="s">
        <v>308</v>
      </c>
      <c r="M66" s="161" t="s">
        <v>58</v>
      </c>
      <c r="N66" s="161" t="s">
        <v>133</v>
      </c>
      <c r="O66" s="422"/>
      <c r="P66" s="54"/>
      <c r="Q66" s="419"/>
      <c r="R66" s="156" t="s">
        <v>307</v>
      </c>
      <c r="S66" s="156" t="s">
        <v>308</v>
      </c>
      <c r="T66" s="156" t="s">
        <v>58</v>
      </c>
      <c r="U66" s="422"/>
    </row>
    <row r="67" spans="9:21" ht="28.5" x14ac:dyDescent="0.45">
      <c r="I67" s="54"/>
      <c r="J67" s="235" t="s">
        <v>336</v>
      </c>
      <c r="K67" s="238" t="e">
        <f>R67*$G$5</f>
        <v>#VALUE!</v>
      </c>
      <c r="L67" s="238"/>
      <c r="M67" s="238"/>
      <c r="N67" s="238"/>
      <c r="O67" s="236" t="s">
        <v>139</v>
      </c>
      <c r="P67" s="54"/>
      <c r="Q67" s="146" t="s">
        <v>337</v>
      </c>
      <c r="R67" s="168">
        <v>0.36376463325911068</v>
      </c>
      <c r="S67" s="168"/>
      <c r="T67" s="168"/>
      <c r="U67" s="20" t="s">
        <v>310</v>
      </c>
    </row>
    <row r="68" spans="9:21" ht="28.9" thickBot="1" x14ac:dyDescent="0.5">
      <c r="I68" s="54"/>
      <c r="J68" s="239" t="s">
        <v>338</v>
      </c>
      <c r="K68" s="240"/>
      <c r="L68" s="240"/>
      <c r="M68" s="240" t="e">
        <f>T68*$G$5</f>
        <v>#VALUE!</v>
      </c>
      <c r="N68" s="240"/>
      <c r="O68" s="241" t="s">
        <v>139</v>
      </c>
      <c r="P68" s="54"/>
      <c r="Q68" s="121" t="s">
        <v>339</v>
      </c>
      <c r="R68" s="170"/>
      <c r="S68" s="170"/>
      <c r="T68" s="170">
        <v>-0.12125487775303689</v>
      </c>
      <c r="U68" s="122" t="s">
        <v>310</v>
      </c>
    </row>
    <row r="69" spans="9:21" x14ac:dyDescent="0.45">
      <c r="I69" s="54"/>
      <c r="J69" s="251" t="s">
        <v>297</v>
      </c>
      <c r="K69" s="252" t="e">
        <f>SUM(K67:K68)</f>
        <v>#VALUE!</v>
      </c>
      <c r="L69" s="252">
        <f>SUM(L67:L68)</f>
        <v>0</v>
      </c>
      <c r="M69" s="252" t="e">
        <f>SUM(M67:M68)</f>
        <v>#VALUE!</v>
      </c>
      <c r="N69" s="252"/>
      <c r="O69" s="247" t="s">
        <v>139</v>
      </c>
      <c r="P69" s="54"/>
      <c r="Q69" s="54"/>
      <c r="S69" s="54"/>
      <c r="T69" s="54"/>
      <c r="U69" s="54"/>
    </row>
    <row r="70" spans="9:21" s="54" customFormat="1" ht="14.65" thickBot="1" x14ac:dyDescent="0.5">
      <c r="J70" s="253" t="s">
        <v>133</v>
      </c>
      <c r="K70" s="255"/>
      <c r="L70" s="255"/>
      <c r="M70" s="255"/>
      <c r="N70" s="255" t="e">
        <f>SUM(K69:M69)</f>
        <v>#VALUE!</v>
      </c>
      <c r="O70" s="250" t="s">
        <v>139</v>
      </c>
      <c r="R70" s="56"/>
    </row>
    <row r="71" spans="9:21" ht="113.25" customHeight="1" x14ac:dyDescent="0.45">
      <c r="I71" s="54"/>
      <c r="K71" s="54"/>
      <c r="L71" s="54"/>
      <c r="M71" s="54"/>
      <c r="O71" s="54"/>
      <c r="P71" s="54"/>
      <c r="Q71" s="54"/>
      <c r="S71" s="54"/>
      <c r="T71" s="54"/>
      <c r="U71" s="54"/>
    </row>
    <row r="72" spans="9:21" ht="14.25" customHeight="1" x14ac:dyDescent="0.45">
      <c r="I72" s="54"/>
      <c r="J72" s="377" t="s">
        <v>340</v>
      </c>
      <c r="K72" s="377"/>
      <c r="L72" s="377"/>
      <c r="M72" s="377"/>
      <c r="N72" s="377"/>
      <c r="O72" s="377"/>
      <c r="P72" s="54"/>
      <c r="Q72" s="377" t="s">
        <v>341</v>
      </c>
      <c r="R72" s="377"/>
      <c r="S72" s="377"/>
      <c r="T72" s="377"/>
      <c r="U72" s="377"/>
    </row>
    <row r="73" spans="9:21" ht="14.65" thickBot="1" x14ac:dyDescent="0.5">
      <c r="I73" s="54"/>
      <c r="K73" s="54"/>
      <c r="L73" s="54"/>
      <c r="M73" s="54"/>
      <c r="O73" s="54"/>
      <c r="P73" s="54"/>
      <c r="Q73" s="54"/>
      <c r="S73" s="54"/>
      <c r="T73" s="54"/>
      <c r="U73" s="54"/>
    </row>
    <row r="74" spans="9:21" x14ac:dyDescent="0.45">
      <c r="I74" s="54"/>
      <c r="J74" s="423" t="s">
        <v>1</v>
      </c>
      <c r="K74" s="425" t="s">
        <v>342</v>
      </c>
      <c r="L74" s="425"/>
      <c r="M74" s="425"/>
      <c r="N74" s="268"/>
      <c r="O74" s="426" t="s">
        <v>304</v>
      </c>
      <c r="P74" s="54"/>
      <c r="Q74" s="418" t="s">
        <v>1</v>
      </c>
      <c r="R74" s="420" t="s">
        <v>342</v>
      </c>
      <c r="S74" s="420"/>
      <c r="T74" s="420"/>
      <c r="U74" s="421" t="s">
        <v>304</v>
      </c>
    </row>
    <row r="75" spans="9:21" ht="28.5" x14ac:dyDescent="0.45">
      <c r="I75" s="54"/>
      <c r="J75" s="424"/>
      <c r="K75" s="156" t="s">
        <v>307</v>
      </c>
      <c r="L75" s="156" t="s">
        <v>308</v>
      </c>
      <c r="M75" s="234" t="s">
        <v>58</v>
      </c>
      <c r="N75" s="234" t="s">
        <v>133</v>
      </c>
      <c r="O75" s="427"/>
      <c r="P75" s="54"/>
      <c r="Q75" s="419"/>
      <c r="R75" s="156" t="s">
        <v>307</v>
      </c>
      <c r="S75" s="156" t="s">
        <v>308</v>
      </c>
      <c r="T75" s="161" t="s">
        <v>58</v>
      </c>
      <c r="U75" s="422"/>
    </row>
    <row r="76" spans="9:21" x14ac:dyDescent="0.45">
      <c r="I76" s="54"/>
      <c r="J76" s="235" t="s">
        <v>325</v>
      </c>
      <c r="K76" s="238" t="e">
        <f>R76*$C$5</f>
        <v>#VALUE!</v>
      </c>
      <c r="L76" s="238" t="e">
        <f>S76*$C$5</f>
        <v>#VALUE!</v>
      </c>
      <c r="M76" s="238"/>
      <c r="N76" s="238"/>
      <c r="O76" s="236" t="s">
        <v>139</v>
      </c>
      <c r="P76" s="54"/>
      <c r="Q76" s="120" t="s">
        <v>325</v>
      </c>
      <c r="R76" s="168">
        <v>4.7244094488188976E-2</v>
      </c>
      <c r="S76" s="168">
        <v>0.34645669291338582</v>
      </c>
      <c r="T76" s="168"/>
      <c r="U76" s="20" t="s">
        <v>310</v>
      </c>
    </row>
    <row r="77" spans="9:21" x14ac:dyDescent="0.45">
      <c r="I77" s="54"/>
      <c r="J77" s="235" t="s">
        <v>326</v>
      </c>
      <c r="K77" s="238" t="e">
        <f>R77*$C$5</f>
        <v>#VALUE!</v>
      </c>
      <c r="L77" s="238"/>
      <c r="M77" s="238"/>
      <c r="N77" s="238"/>
      <c r="O77" s="236" t="s">
        <v>139</v>
      </c>
      <c r="P77" s="54"/>
      <c r="Q77" s="120" t="s">
        <v>326</v>
      </c>
      <c r="R77" s="168">
        <v>1.0236220472440944</v>
      </c>
      <c r="S77" s="168"/>
      <c r="T77" s="168"/>
      <c r="U77" s="20" t="s">
        <v>310</v>
      </c>
    </row>
    <row r="78" spans="9:21" x14ac:dyDescent="0.45">
      <c r="I78" s="54"/>
      <c r="J78" s="235" t="s">
        <v>320</v>
      </c>
      <c r="K78" s="238"/>
      <c r="L78" s="238"/>
      <c r="M78" s="238" t="e">
        <f>T78*$C$5</f>
        <v>#VALUE!</v>
      </c>
      <c r="N78" s="238"/>
      <c r="O78" s="236" t="s">
        <v>139</v>
      </c>
      <c r="P78" s="54"/>
      <c r="Q78" s="120" t="s">
        <v>320</v>
      </c>
      <c r="R78" s="168"/>
      <c r="S78" s="168"/>
      <c r="T78" s="168">
        <v>-6.2992125984251968E-2</v>
      </c>
      <c r="U78" s="20" t="s">
        <v>310</v>
      </c>
    </row>
    <row r="79" spans="9:21" ht="14.65" thickBot="1" x14ac:dyDescent="0.5">
      <c r="I79" s="54"/>
      <c r="J79" s="239" t="s">
        <v>327</v>
      </c>
      <c r="K79" s="240"/>
      <c r="L79" s="240"/>
      <c r="M79" s="240" t="e">
        <f>T79*$C$5</f>
        <v>#VALUE!</v>
      </c>
      <c r="N79" s="240"/>
      <c r="O79" s="241" t="s">
        <v>139</v>
      </c>
      <c r="P79" s="54"/>
      <c r="Q79" s="162" t="s">
        <v>327</v>
      </c>
      <c r="R79" s="170"/>
      <c r="S79" s="170"/>
      <c r="T79" s="170">
        <v>-1.5748031496062992E-2</v>
      </c>
      <c r="U79" s="122" t="s">
        <v>310</v>
      </c>
    </row>
    <row r="80" spans="9:21" x14ac:dyDescent="0.45">
      <c r="I80" s="54"/>
      <c r="J80" s="245" t="s">
        <v>297</v>
      </c>
      <c r="K80" s="246" t="e">
        <f>SUM(K76:K79)</f>
        <v>#VALUE!</v>
      </c>
      <c r="L80" s="246" t="e">
        <f t="shared" ref="L80:M80" si="1">SUM(L76:L79)</f>
        <v>#VALUE!</v>
      </c>
      <c r="M80" s="246" t="e">
        <f t="shared" si="1"/>
        <v>#VALUE!</v>
      </c>
      <c r="N80" s="246"/>
      <c r="O80" s="280" t="s">
        <v>139</v>
      </c>
      <c r="P80" s="54"/>
      <c r="Q80" s="54"/>
      <c r="S80" s="54"/>
      <c r="T80" s="54"/>
      <c r="U80" s="54"/>
    </row>
    <row r="81" spans="9:21" s="54" customFormat="1" ht="14.65" thickBot="1" x14ac:dyDescent="0.5">
      <c r="J81" s="248" t="s">
        <v>133</v>
      </c>
      <c r="K81" s="249"/>
      <c r="L81" s="249"/>
      <c r="M81" s="249"/>
      <c r="N81" s="249" t="e">
        <f>SUM(K80:M80)</f>
        <v>#VALUE!</v>
      </c>
      <c r="O81" s="256" t="s">
        <v>139</v>
      </c>
      <c r="R81" s="56"/>
    </row>
    <row r="82" spans="9:21" ht="97.5" customHeight="1" x14ac:dyDescent="0.45">
      <c r="I82" s="54"/>
      <c r="K82" s="54"/>
      <c r="L82" s="54"/>
      <c r="M82" s="54"/>
      <c r="O82" s="54"/>
      <c r="P82" s="54"/>
      <c r="Q82" s="54"/>
      <c r="S82" s="54"/>
      <c r="T82" s="54"/>
      <c r="U82" s="54"/>
    </row>
    <row r="83" spans="9:21" x14ac:dyDescent="0.45">
      <c r="I83" s="54"/>
      <c r="J83" s="377" t="s">
        <v>343</v>
      </c>
      <c r="K83" s="377"/>
      <c r="L83" s="377"/>
      <c r="M83" s="377"/>
      <c r="N83" s="377"/>
      <c r="O83" s="377"/>
      <c r="P83" s="54"/>
      <c r="Q83" s="377" t="s">
        <v>344</v>
      </c>
      <c r="R83" s="377"/>
      <c r="S83" s="377"/>
      <c r="T83" s="377"/>
      <c r="U83" s="377"/>
    </row>
    <row r="84" spans="9:21" ht="14.65" thickBot="1" x14ac:dyDescent="0.5">
      <c r="I84" s="54"/>
      <c r="K84" s="54"/>
      <c r="L84" s="54"/>
      <c r="M84" s="54"/>
      <c r="O84" s="54"/>
      <c r="P84" s="54"/>
      <c r="Q84" s="54"/>
      <c r="S84" s="54"/>
      <c r="T84" s="54"/>
      <c r="U84" s="54"/>
    </row>
    <row r="85" spans="9:21" x14ac:dyDescent="0.45">
      <c r="I85" s="54"/>
      <c r="J85" s="418" t="s">
        <v>1</v>
      </c>
      <c r="K85" s="420" t="s">
        <v>345</v>
      </c>
      <c r="L85" s="420"/>
      <c r="M85" s="420"/>
      <c r="N85" s="216"/>
      <c r="O85" s="421" t="s">
        <v>304</v>
      </c>
      <c r="P85" s="54"/>
      <c r="Q85" s="418" t="s">
        <v>1</v>
      </c>
      <c r="R85" s="420" t="s">
        <v>346</v>
      </c>
      <c r="S85" s="420"/>
      <c r="T85" s="420"/>
      <c r="U85" s="421" t="s">
        <v>304</v>
      </c>
    </row>
    <row r="86" spans="9:21" ht="28.5" x14ac:dyDescent="0.45">
      <c r="I86" s="54"/>
      <c r="J86" s="419"/>
      <c r="K86" s="156" t="s">
        <v>307</v>
      </c>
      <c r="L86" s="156" t="s">
        <v>308</v>
      </c>
      <c r="M86" s="161" t="s">
        <v>58</v>
      </c>
      <c r="N86" s="161" t="s">
        <v>133</v>
      </c>
      <c r="O86" s="422"/>
      <c r="P86" s="54"/>
      <c r="Q86" s="419"/>
      <c r="R86" s="156" t="s">
        <v>307</v>
      </c>
      <c r="S86" s="156" t="s">
        <v>308</v>
      </c>
      <c r="T86" s="161" t="s">
        <v>58</v>
      </c>
      <c r="U86" s="422"/>
    </row>
    <row r="87" spans="9:21" x14ac:dyDescent="0.45">
      <c r="I87" s="54"/>
      <c r="J87" s="235" t="s">
        <v>325</v>
      </c>
      <c r="K87" s="238"/>
      <c r="L87" s="238" t="e">
        <f>S87*$F$5</f>
        <v>#VALUE!</v>
      </c>
      <c r="M87" s="238"/>
      <c r="N87" s="238"/>
      <c r="O87" s="236" t="s">
        <v>139</v>
      </c>
      <c r="P87" s="54"/>
      <c r="Q87" s="120" t="s">
        <v>325</v>
      </c>
      <c r="R87" s="8"/>
      <c r="S87" s="168">
        <v>1.2727272727272729</v>
      </c>
      <c r="T87" s="168"/>
      <c r="U87" s="20" t="s">
        <v>310</v>
      </c>
    </row>
    <row r="88" spans="9:21" x14ac:dyDescent="0.45">
      <c r="I88" s="54"/>
      <c r="J88" s="235" t="s">
        <v>326</v>
      </c>
      <c r="K88" s="281"/>
      <c r="L88" s="281"/>
      <c r="M88" s="238"/>
      <c r="N88" s="238"/>
      <c r="O88" s="236" t="s">
        <v>139</v>
      </c>
      <c r="P88" s="54"/>
      <c r="Q88" s="120" t="s">
        <v>326</v>
      </c>
      <c r="R88" s="142"/>
      <c r="S88" s="172"/>
      <c r="T88" s="168"/>
      <c r="U88" s="20" t="s">
        <v>310</v>
      </c>
    </row>
    <row r="89" spans="9:21" x14ac:dyDescent="0.45">
      <c r="I89" s="54"/>
      <c r="J89" s="235" t="s">
        <v>320</v>
      </c>
      <c r="K89" s="238"/>
      <c r="L89" s="238"/>
      <c r="M89" s="238" t="e">
        <f>T89*$F$5</f>
        <v>#VALUE!</v>
      </c>
      <c r="N89" s="238"/>
      <c r="O89" s="236" t="s">
        <v>139</v>
      </c>
      <c r="P89" s="54"/>
      <c r="Q89" s="120" t="s">
        <v>320</v>
      </c>
      <c r="R89" s="8"/>
      <c r="S89" s="168"/>
      <c r="T89" s="168">
        <v>-0.36363636363636365</v>
      </c>
      <c r="U89" s="20" t="s">
        <v>310</v>
      </c>
    </row>
    <row r="90" spans="9:21" x14ac:dyDescent="0.45">
      <c r="I90" s="54"/>
      <c r="J90" s="235" t="s">
        <v>332</v>
      </c>
      <c r="K90" s="238"/>
      <c r="L90" s="238"/>
      <c r="M90" s="238" t="e">
        <f>T90*$F$5</f>
        <v>#VALUE!</v>
      </c>
      <c r="N90" s="238"/>
      <c r="O90" s="236" t="s">
        <v>139</v>
      </c>
      <c r="P90" s="54"/>
      <c r="Q90" s="120" t="s">
        <v>332</v>
      </c>
      <c r="R90" s="8"/>
      <c r="S90" s="168"/>
      <c r="T90" s="168">
        <v>-4.5454545454545456E-2</v>
      </c>
      <c r="U90" s="20" t="s">
        <v>310</v>
      </c>
    </row>
    <row r="91" spans="9:21" ht="14.65" thickBot="1" x14ac:dyDescent="0.5">
      <c r="I91" s="54"/>
      <c r="J91" s="239" t="s">
        <v>327</v>
      </c>
      <c r="K91" s="240"/>
      <c r="L91" s="240"/>
      <c r="M91" s="240" t="e">
        <f>T91*$F$5</f>
        <v>#VALUE!</v>
      </c>
      <c r="N91" s="240"/>
      <c r="O91" s="241" t="s">
        <v>139</v>
      </c>
      <c r="P91" s="54"/>
      <c r="Q91" s="162" t="s">
        <v>347</v>
      </c>
      <c r="R91" s="17"/>
      <c r="S91" s="170"/>
      <c r="T91" s="170">
        <v>-4.5454545454545456E-2</v>
      </c>
      <c r="U91" s="122" t="s">
        <v>310</v>
      </c>
    </row>
    <row r="92" spans="9:21" x14ac:dyDescent="0.45">
      <c r="I92" s="54"/>
      <c r="J92" s="245" t="s">
        <v>297</v>
      </c>
      <c r="K92" s="246">
        <f>SUM(K87:K91)</f>
        <v>0</v>
      </c>
      <c r="L92" s="246" t="e">
        <f t="shared" ref="L92:M92" si="2">SUM(L87:L91)</f>
        <v>#VALUE!</v>
      </c>
      <c r="M92" s="246" t="e">
        <f t="shared" si="2"/>
        <v>#VALUE!</v>
      </c>
      <c r="N92" s="246"/>
      <c r="O92" s="257" t="s">
        <v>139</v>
      </c>
      <c r="P92" s="54"/>
      <c r="Q92" s="54"/>
      <c r="S92" s="54"/>
      <c r="T92" s="54"/>
      <c r="U92" s="54"/>
    </row>
    <row r="93" spans="9:21" s="54" customFormat="1" ht="14.65" thickBot="1" x14ac:dyDescent="0.5">
      <c r="J93" s="248" t="s">
        <v>133</v>
      </c>
      <c r="K93" s="249"/>
      <c r="L93" s="249"/>
      <c r="M93" s="249"/>
      <c r="N93" s="249" t="e">
        <f>SUM(K92:M92)</f>
        <v>#VALUE!</v>
      </c>
      <c r="O93" s="256" t="s">
        <v>139</v>
      </c>
      <c r="R93" s="56"/>
    </row>
    <row r="94" spans="9:21" ht="81" customHeight="1" x14ac:dyDescent="0.45">
      <c r="I94" s="54"/>
      <c r="K94" s="54"/>
      <c r="L94" s="54"/>
      <c r="M94" s="54"/>
      <c r="O94" s="54"/>
      <c r="P94" s="54"/>
      <c r="Q94" s="54"/>
      <c r="S94" s="54"/>
      <c r="T94" s="54"/>
      <c r="U94" s="54"/>
    </row>
    <row r="95" spans="9:21" x14ac:dyDescent="0.45">
      <c r="I95" s="54"/>
      <c r="J95" s="377" t="s">
        <v>348</v>
      </c>
      <c r="K95" s="377"/>
      <c r="L95" s="377"/>
      <c r="M95" s="377"/>
      <c r="N95" s="377"/>
      <c r="O95" s="377"/>
      <c r="P95" s="54"/>
      <c r="Q95" s="377" t="s">
        <v>349</v>
      </c>
      <c r="R95" s="377"/>
      <c r="S95" s="377"/>
      <c r="T95" s="377"/>
      <c r="U95" s="377"/>
    </row>
    <row r="96" spans="9:21" ht="14.65" thickBot="1" x14ac:dyDescent="0.5">
      <c r="I96" s="54"/>
      <c r="K96" s="54"/>
      <c r="L96" s="54"/>
      <c r="M96" s="54"/>
      <c r="O96" s="54"/>
      <c r="P96" s="54"/>
      <c r="Q96" s="54"/>
      <c r="S96" s="54"/>
      <c r="T96" s="54"/>
      <c r="U96" s="54"/>
    </row>
    <row r="97" spans="10:21" x14ac:dyDescent="0.45">
      <c r="J97" s="418" t="s">
        <v>1</v>
      </c>
      <c r="K97" s="420" t="s">
        <v>350</v>
      </c>
      <c r="L97" s="420"/>
      <c r="M97" s="420"/>
      <c r="N97" s="216"/>
      <c r="O97" s="421" t="s">
        <v>304</v>
      </c>
      <c r="P97" s="54"/>
      <c r="Q97" s="418" t="s">
        <v>1</v>
      </c>
      <c r="R97" s="420" t="s">
        <v>350</v>
      </c>
      <c r="S97" s="420"/>
      <c r="T97" s="420"/>
      <c r="U97" s="421" t="s">
        <v>304</v>
      </c>
    </row>
    <row r="98" spans="10:21" ht="28.5" x14ac:dyDescent="0.45">
      <c r="J98" s="419"/>
      <c r="K98" s="156" t="s">
        <v>307</v>
      </c>
      <c r="L98" s="156" t="s">
        <v>308</v>
      </c>
      <c r="M98" s="161" t="s">
        <v>58</v>
      </c>
      <c r="N98" s="161" t="s">
        <v>133</v>
      </c>
      <c r="O98" s="422"/>
      <c r="P98" s="54"/>
      <c r="Q98" s="419"/>
      <c r="R98" s="156" t="s">
        <v>307</v>
      </c>
      <c r="S98" s="156" t="s">
        <v>308</v>
      </c>
      <c r="T98" s="161" t="s">
        <v>58</v>
      </c>
      <c r="U98" s="422"/>
    </row>
    <row r="99" spans="10:21" x14ac:dyDescent="0.45">
      <c r="J99" s="235" t="s">
        <v>351</v>
      </c>
      <c r="K99" s="238"/>
      <c r="L99" s="238"/>
      <c r="M99" s="238" t="e">
        <f>T99*$G$5</f>
        <v>#VALUE!</v>
      </c>
      <c r="N99" s="238"/>
      <c r="O99" s="236" t="s">
        <v>139</v>
      </c>
      <c r="P99" s="54"/>
      <c r="Q99" s="163" t="s">
        <v>351</v>
      </c>
      <c r="R99" s="173"/>
      <c r="S99" s="143"/>
      <c r="T99" s="168">
        <v>-0.13793103448275865</v>
      </c>
      <c r="U99" s="164" t="s">
        <v>310</v>
      </c>
    </row>
    <row r="100" spans="10:21" s="54" customFormat="1" x14ac:dyDescent="0.45">
      <c r="J100" s="235" t="s">
        <v>352</v>
      </c>
      <c r="K100" s="238"/>
      <c r="L100" s="238"/>
      <c r="M100" s="238" t="e">
        <f>T100*$G$5</f>
        <v>#VALUE!</v>
      </c>
      <c r="N100" s="238"/>
      <c r="O100" s="236" t="s">
        <v>139</v>
      </c>
      <c r="Q100" s="163" t="s">
        <v>353</v>
      </c>
      <c r="R100" s="143"/>
      <c r="S100" s="143"/>
      <c r="T100" s="168">
        <v>-0.34482758620689657</v>
      </c>
      <c r="U100" s="164"/>
    </row>
    <row r="101" spans="10:21" ht="14.65" thickBot="1" x14ac:dyDescent="0.5">
      <c r="J101" s="239" t="s">
        <v>354</v>
      </c>
      <c r="K101" s="240"/>
      <c r="L101" s="240"/>
      <c r="M101" s="240" t="e">
        <f>T101*$G$5</f>
        <v>#VALUE!</v>
      </c>
      <c r="N101" s="240"/>
      <c r="O101" s="241" t="s">
        <v>139</v>
      </c>
      <c r="P101" s="54"/>
      <c r="Q101" s="165" t="s">
        <v>354</v>
      </c>
      <c r="R101" s="174"/>
      <c r="S101" s="166"/>
      <c r="T101" s="170">
        <v>2.3448275862068968</v>
      </c>
      <c r="U101" s="167" t="s">
        <v>310</v>
      </c>
    </row>
    <row r="102" spans="10:21" x14ac:dyDescent="0.45">
      <c r="J102" s="245" t="s">
        <v>297</v>
      </c>
      <c r="K102" s="246">
        <f>SUM(K99:K101)</f>
        <v>0</v>
      </c>
      <c r="L102" s="246">
        <f>SUM(L99:L101)</f>
        <v>0</v>
      </c>
      <c r="M102" s="246" t="e">
        <f>SUM(M99:M101)</f>
        <v>#VALUE!</v>
      </c>
      <c r="N102" s="246"/>
      <c r="O102" s="247" t="s">
        <v>139</v>
      </c>
      <c r="P102" s="54"/>
      <c r="Q102" s="54"/>
      <c r="S102" s="54"/>
      <c r="T102" s="54"/>
      <c r="U102" s="54"/>
    </row>
    <row r="103" spans="10:21" ht="14.65" thickBot="1" x14ac:dyDescent="0.5">
      <c r="J103" s="248" t="s">
        <v>133</v>
      </c>
      <c r="K103" s="249"/>
      <c r="L103" s="249"/>
      <c r="M103" s="249"/>
      <c r="N103" s="249" t="e">
        <f>SUM(K102:M102)</f>
        <v>#VALUE!</v>
      </c>
      <c r="O103" s="250" t="s">
        <v>139</v>
      </c>
      <c r="P103" s="54"/>
      <c r="Q103" s="54"/>
      <c r="S103" s="54"/>
      <c r="T103" s="54"/>
      <c r="U103" s="54"/>
    </row>
  </sheetData>
  <mergeCells count="64">
    <mergeCell ref="Q25:Q26"/>
    <mergeCell ref="U25:U26"/>
    <mergeCell ref="R25:T25"/>
    <mergeCell ref="R13:T13"/>
    <mergeCell ref="Q11:U11"/>
    <mergeCell ref="J11:O11"/>
    <mergeCell ref="Q23:U23"/>
    <mergeCell ref="J23:O23"/>
    <mergeCell ref="Q13:Q14"/>
    <mergeCell ref="U13:U14"/>
    <mergeCell ref="Q38:Q39"/>
    <mergeCell ref="R38:T38"/>
    <mergeCell ref="U38:U39"/>
    <mergeCell ref="Q36:U36"/>
    <mergeCell ref="J36:O36"/>
    <mergeCell ref="J38:J39"/>
    <mergeCell ref="K38:M38"/>
    <mergeCell ref="O38:O39"/>
    <mergeCell ref="Q52:Q53"/>
    <mergeCell ref="R52:T52"/>
    <mergeCell ref="U52:U53"/>
    <mergeCell ref="Q50:U50"/>
    <mergeCell ref="J52:J53"/>
    <mergeCell ref="K52:M52"/>
    <mergeCell ref="O52:O53"/>
    <mergeCell ref="J50:O50"/>
    <mergeCell ref="Q63:U63"/>
    <mergeCell ref="J63:O63"/>
    <mergeCell ref="Q74:Q75"/>
    <mergeCell ref="R74:T74"/>
    <mergeCell ref="U74:U75"/>
    <mergeCell ref="Q72:U72"/>
    <mergeCell ref="J74:J75"/>
    <mergeCell ref="K74:M74"/>
    <mergeCell ref="O74:O75"/>
    <mergeCell ref="J72:O72"/>
    <mergeCell ref="Q65:Q66"/>
    <mergeCell ref="R65:T65"/>
    <mergeCell ref="U65:U66"/>
    <mergeCell ref="J65:J66"/>
    <mergeCell ref="K65:M65"/>
    <mergeCell ref="O65:O66"/>
    <mergeCell ref="Q97:Q98"/>
    <mergeCell ref="R97:T97"/>
    <mergeCell ref="U97:U98"/>
    <mergeCell ref="J97:J98"/>
    <mergeCell ref="K97:M97"/>
    <mergeCell ref="O97:O98"/>
    <mergeCell ref="J95:O95"/>
    <mergeCell ref="Q95:U95"/>
    <mergeCell ref="J13:J14"/>
    <mergeCell ref="O13:O14"/>
    <mergeCell ref="K13:N13"/>
    <mergeCell ref="K25:N25"/>
    <mergeCell ref="J25:J26"/>
    <mergeCell ref="O25:O26"/>
    <mergeCell ref="Q85:Q86"/>
    <mergeCell ref="R85:T85"/>
    <mergeCell ref="U85:U86"/>
    <mergeCell ref="J83:O83"/>
    <mergeCell ref="Q83:U83"/>
    <mergeCell ref="J85:J86"/>
    <mergeCell ref="K85:M85"/>
    <mergeCell ref="O85:O86"/>
  </mergeCells>
  <pageMargins left="0.7" right="0.7" top="0.75" bottom="0.75" header="0.3" footer="0.3"/>
  <pageSetup orientation="portrait" horizontalDpi="360" verticalDpi="36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4947-EB04-4E7B-AC3E-151534C45D1A}">
  <dimension ref="B1:G10"/>
  <sheetViews>
    <sheetView zoomScale="115" zoomScaleNormal="115" workbookViewId="0">
      <selection activeCell="H6" sqref="H6"/>
    </sheetView>
    <sheetView workbookViewId="1"/>
    <sheetView workbookViewId="2"/>
  </sheetViews>
  <sheetFormatPr defaultRowHeight="14.25" x14ac:dyDescent="0.45"/>
  <cols>
    <col min="1" max="1" width="3.59765625" customWidth="1"/>
    <col min="2" max="2" width="17.1328125" customWidth="1"/>
    <col min="3" max="3" width="19.86328125" style="54" bestFit="1" customWidth="1"/>
    <col min="4" max="4" width="17.59765625" customWidth="1"/>
    <col min="5" max="5" width="17.1328125" customWidth="1"/>
    <col min="6" max="6" width="11.3984375" customWidth="1"/>
    <col min="9" max="9" width="0" hidden="1" customWidth="1"/>
  </cols>
  <sheetData>
    <row r="1" spans="2:7" ht="14.65" thickBot="1" x14ac:dyDescent="0.5">
      <c r="B1" s="54"/>
      <c r="D1" s="54"/>
      <c r="E1" s="54"/>
      <c r="F1" s="54"/>
      <c r="G1" s="54"/>
    </row>
    <row r="2" spans="2:7" ht="57" x14ac:dyDescent="0.45">
      <c r="B2" s="302" t="s">
        <v>248</v>
      </c>
      <c r="C2" s="303" t="s">
        <v>355</v>
      </c>
      <c r="D2" s="304" t="s">
        <v>356</v>
      </c>
      <c r="E2" s="304" t="s">
        <v>215</v>
      </c>
      <c r="F2" s="304" t="s">
        <v>42</v>
      </c>
      <c r="G2" s="305" t="s">
        <v>206</v>
      </c>
    </row>
    <row r="3" spans="2:7" x14ac:dyDescent="0.45">
      <c r="B3" s="120" t="s">
        <v>17</v>
      </c>
      <c r="C3" s="8" t="s">
        <v>357</v>
      </c>
      <c r="D3" s="8">
        <f>'Calculation Factors m3 trans'!N8/'Calculation Factors m3 trans'!Y8</f>
        <v>0.53725074044711574</v>
      </c>
      <c r="E3" s="8">
        <f>'Calculation Factors m3 trans'!O8/'Calculation Factors m3 trans'!Y8</f>
        <v>0.50384199406644481</v>
      </c>
      <c r="F3" s="8">
        <f>'Calculation Factors m3 trans'!Q8/'Calculation Factors m3 trans'!Y8</f>
        <v>8.3107920013755027E-2</v>
      </c>
      <c r="G3" s="20">
        <v>546</v>
      </c>
    </row>
    <row r="4" spans="2:7" x14ac:dyDescent="0.45">
      <c r="B4" s="120" t="s">
        <v>17</v>
      </c>
      <c r="C4" s="8" t="s">
        <v>358</v>
      </c>
      <c r="D4" s="8"/>
      <c r="E4" s="8">
        <f>'Calculation Factors m3 trans'!O9/'Calculation Factors m3 trans'!Y9</f>
        <v>0.50380946320542352</v>
      </c>
      <c r="F4" s="8">
        <f>'Calculation Factors m3 trans'!Q9/'Calculation Factors m3 trans'!Y9</f>
        <v>-0.15256408419530376</v>
      </c>
      <c r="G4" s="20"/>
    </row>
    <row r="5" spans="2:7" x14ac:dyDescent="0.45">
      <c r="B5" s="120" t="s">
        <v>359</v>
      </c>
      <c r="C5" s="8" t="s">
        <v>357</v>
      </c>
      <c r="D5" s="8">
        <f>'Calculation Factors m3 trans'!N24/'Calculation Factors m3 trans'!Y24</f>
        <v>0.66648691542502081</v>
      </c>
      <c r="E5" s="8">
        <f>'Calculation Factors m3 trans'!O24/'Calculation Factors m3 trans'!Y24</f>
        <v>0.49507599369780469</v>
      </c>
      <c r="F5" s="8">
        <f>'Calculation Factors m3 trans'!Q24/'Calculation Factors m3 trans'!Y24</f>
        <v>9.2724763255717407E-2</v>
      </c>
      <c r="G5" s="20">
        <v>433.3</v>
      </c>
    </row>
    <row r="6" spans="2:7" x14ac:dyDescent="0.45">
      <c r="B6" s="120" t="s">
        <v>359</v>
      </c>
      <c r="C6" s="8" t="s">
        <v>358</v>
      </c>
      <c r="D6" s="8"/>
      <c r="E6" s="8">
        <f>'Calculation Factors m3 trans'!O25/'Calculation Factors m3 trans'!Y25</f>
        <v>0.49507599369780469</v>
      </c>
      <c r="F6" s="8">
        <f>'Calculation Factors m3 trans'!Q25/'Calculation Factors m3 trans'!Y25</f>
        <v>-0.17022904701373606</v>
      </c>
      <c r="G6" s="20"/>
    </row>
    <row r="7" spans="2:7" x14ac:dyDescent="0.45">
      <c r="B7" s="120" t="s">
        <v>25</v>
      </c>
      <c r="C7" s="8" t="s">
        <v>357</v>
      </c>
      <c r="D7" s="8">
        <f>'Calculation Factors m3 trans'!O47/'Calculation Factors m3 trans'!Y47</f>
        <v>0.49472271366320125</v>
      </c>
      <c r="E7" s="8">
        <f>'Calculation Factors m3 trans'!O47/'Calculation Factors m3 trans'!Y47</f>
        <v>0.49472271366320125</v>
      </c>
      <c r="F7" s="8">
        <f>'Calculation Factors m3 trans'!Q47/'Calculation Factors m3 trans'!Y47</f>
        <v>8.9851888137462588E-2</v>
      </c>
      <c r="G7" s="20"/>
    </row>
    <row r="8" spans="2:7" x14ac:dyDescent="0.45">
      <c r="B8" s="120" t="s">
        <v>25</v>
      </c>
      <c r="C8" s="8" t="s">
        <v>358</v>
      </c>
      <c r="D8" s="8"/>
      <c r="E8" s="8">
        <f>'Calculation Factors m3 trans'!O48/'Calculation Factors m3 trans'!Y48</f>
        <v>0.49463414557360136</v>
      </c>
      <c r="F8" s="8">
        <f>'Calculation Factors m3 trans'!Q48/'Calculation Factors m3 trans'!Y48</f>
        <v>-0.16953186441030713</v>
      </c>
      <c r="G8" s="20"/>
    </row>
    <row r="9" spans="2:7" x14ac:dyDescent="0.45">
      <c r="B9" s="120" t="s">
        <v>360</v>
      </c>
      <c r="C9" s="8" t="s">
        <v>357</v>
      </c>
      <c r="D9" s="8">
        <f>'Calculation Factors m3 trans'!N57/'Calculation Factors m3 trans'!Y57</f>
        <v>0.56894967892921211</v>
      </c>
      <c r="E9" s="8">
        <f>'Calculation Factors m3 trans'!O57/'Calculation Factors m3 trans'!Y57</f>
        <v>0.51914218783589239</v>
      </c>
      <c r="F9" s="8">
        <f>'Calculation Factors m3 trans'!Q57/'Calculation Factors m3 trans'!Y57</f>
        <v>0.11977887977456991</v>
      </c>
      <c r="G9" s="20"/>
    </row>
    <row r="10" spans="2:7" ht="14.65" thickBot="1" x14ac:dyDescent="0.5">
      <c r="B10" s="162" t="s">
        <v>360</v>
      </c>
      <c r="C10" s="17" t="s">
        <v>358</v>
      </c>
      <c r="D10" s="17"/>
      <c r="E10" s="17">
        <f>'Calculation Factors m3 trans'!O58/'Calculation Factors m3 trans'!Y58</f>
        <v>0.51904181235647073</v>
      </c>
      <c r="F10" s="17">
        <f>'Calculation Factors m3 trans'!Q58/'Calculation Factors m3 trans'!Y58</f>
        <v>-0.17154471544715444</v>
      </c>
      <c r="G10" s="1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8C8B-7AF7-495E-9037-668181CCF612}">
  <dimension ref="B1:S38"/>
  <sheetViews>
    <sheetView workbookViewId="0">
      <selection activeCell="I15" sqref="I15"/>
    </sheetView>
    <sheetView workbookViewId="1"/>
    <sheetView workbookViewId="2"/>
  </sheetViews>
  <sheetFormatPr defaultRowHeight="14.25" x14ac:dyDescent="0.45"/>
  <cols>
    <col min="2" max="2" width="51.86328125" style="16" customWidth="1"/>
    <col min="3" max="3" width="15" customWidth="1"/>
    <col min="4" max="4" width="11.1328125" bestFit="1" customWidth="1"/>
    <col min="5" max="5" width="14.73046875" customWidth="1"/>
    <col min="6" max="6" width="12.3984375" customWidth="1"/>
    <col min="11" max="11" width="14.59765625" customWidth="1"/>
    <col min="13" max="13" width="12" customWidth="1"/>
    <col min="14" max="14" width="14.265625" customWidth="1"/>
    <col min="19" max="19" width="15.265625" customWidth="1"/>
  </cols>
  <sheetData>
    <row r="1" spans="2:17" s="54" customFormat="1" ht="14.65" thickBot="1" x14ac:dyDescent="0.5">
      <c r="B1" s="56"/>
    </row>
    <row r="2" spans="2:17" ht="57" x14ac:dyDescent="0.45">
      <c r="B2" s="306" t="s">
        <v>361</v>
      </c>
      <c r="C2" s="307">
        <f>'Scenario 1 - Calc Sheet'!B45</f>
        <v>0</v>
      </c>
      <c r="D2" s="54"/>
      <c r="E2" s="54"/>
      <c r="F2" s="54"/>
      <c r="G2" s="54"/>
      <c r="H2" s="54"/>
      <c r="I2" s="54"/>
      <c r="J2" s="54"/>
      <c r="K2" s="54"/>
      <c r="L2" s="54"/>
      <c r="M2" s="54"/>
      <c r="N2" s="54"/>
      <c r="O2" s="54"/>
      <c r="P2" s="54"/>
      <c r="Q2" s="54"/>
    </row>
    <row r="3" spans="2:17" x14ac:dyDescent="0.45">
      <c r="B3" s="127" t="s">
        <v>362</v>
      </c>
      <c r="C3" s="40" cm="1">
        <f t="array" ref="C3">_xlfn.XLOOKUP(C2,_xlfn.ANCHORARRAY(B20),C20:C38,"NA",0)</f>
        <v>0</v>
      </c>
      <c r="D3" s="54"/>
      <c r="E3" s="54"/>
      <c r="F3" s="54"/>
      <c r="G3" s="54"/>
      <c r="H3" s="54"/>
      <c r="I3" s="54"/>
      <c r="J3" s="54"/>
      <c r="K3" s="54"/>
      <c r="L3" s="54"/>
      <c r="M3" s="54"/>
      <c r="N3" s="51"/>
      <c r="O3" s="54"/>
      <c r="P3" s="54"/>
      <c r="Q3" s="54"/>
    </row>
    <row r="4" spans="2:17" s="53" customFormat="1" x14ac:dyDescent="0.45">
      <c r="B4" s="127" t="s">
        <v>363</v>
      </c>
      <c r="C4" s="40" t="e">
        <f>C3*'Scenario 1 - Calc Sheet'!B25</f>
        <v>#VALUE!</v>
      </c>
      <c r="D4" s="54"/>
      <c r="E4" s="54"/>
      <c r="F4" s="54"/>
      <c r="G4" s="54"/>
      <c r="H4" s="54"/>
      <c r="I4" s="54"/>
      <c r="J4" s="54"/>
      <c r="K4" s="54"/>
      <c r="L4" s="54"/>
      <c r="M4" s="54"/>
      <c r="N4" s="49"/>
      <c r="O4" s="54"/>
      <c r="P4" s="54"/>
      <c r="Q4" s="54"/>
    </row>
    <row r="5" spans="2:17" s="48" customFormat="1" x14ac:dyDescent="0.45">
      <c r="B5" s="127" t="s">
        <v>364</v>
      </c>
      <c r="C5" s="310" cm="1">
        <f t="array" ref="C5">_xlfn.XLOOKUP(C2,_xlfn.ANCHORARRAY(B20),E20:E38,"NA",0)</f>
        <v>0</v>
      </c>
      <c r="D5" s="54"/>
      <c r="E5" s="54"/>
      <c r="F5" s="54"/>
      <c r="G5" s="54"/>
      <c r="H5" s="54"/>
      <c r="I5" s="54"/>
      <c r="J5" s="54"/>
      <c r="K5" s="54"/>
      <c r="L5" s="54"/>
      <c r="M5" s="54"/>
      <c r="N5" s="49"/>
      <c r="O5" s="54"/>
      <c r="P5" s="54"/>
      <c r="Q5" s="54"/>
    </row>
    <row r="6" spans="2:17" s="53" customFormat="1" ht="14.65" thickBot="1" x14ac:dyDescent="0.5">
      <c r="B6" s="128" t="s">
        <v>436</v>
      </c>
      <c r="C6" s="43" cm="1">
        <f t="array" ref="C6">_xlfn.XLOOKUP(C2,_xlfn.ANCHORARRAY(B20),F20:F38,"NA",0)</f>
        <v>0</v>
      </c>
      <c r="D6" s="54"/>
      <c r="E6" s="54"/>
      <c r="F6" s="54"/>
      <c r="G6" s="54"/>
      <c r="H6" s="54"/>
      <c r="I6" s="54"/>
      <c r="J6" s="54"/>
      <c r="K6" s="54"/>
      <c r="L6" s="54"/>
      <c r="M6" s="49"/>
      <c r="N6" s="49"/>
      <c r="O6" s="54"/>
      <c r="P6" s="54"/>
      <c r="Q6" s="54"/>
    </row>
    <row r="7" spans="2:17" s="54" customFormat="1" ht="14.65" thickBot="1" x14ac:dyDescent="0.5">
      <c r="B7" s="56"/>
      <c r="M7" s="49"/>
      <c r="N7" s="49"/>
    </row>
    <row r="8" spans="2:17" s="53" customFormat="1" x14ac:dyDescent="0.45">
      <c r="B8" s="306" t="s">
        <v>365</v>
      </c>
      <c r="C8" s="308" t="s">
        <v>366</v>
      </c>
      <c r="D8" s="308"/>
      <c r="E8" s="308" t="s">
        <v>367</v>
      </c>
      <c r="F8" s="309" t="s">
        <v>368</v>
      </c>
      <c r="G8" s="54"/>
      <c r="H8" s="54"/>
      <c r="I8" s="54"/>
      <c r="J8" s="54"/>
      <c r="K8" s="54"/>
      <c r="L8" s="54"/>
      <c r="M8" s="54"/>
      <c r="N8" s="54"/>
      <c r="O8" s="54"/>
      <c r="P8" s="54"/>
      <c r="Q8" s="54"/>
    </row>
    <row r="9" spans="2:17" s="48" customFormat="1" x14ac:dyDescent="0.45">
      <c r="B9" s="130" t="s">
        <v>159</v>
      </c>
      <c r="C9" s="38">
        <v>5.4589544794126595E-5</v>
      </c>
      <c r="D9" s="123"/>
      <c r="E9" s="38">
        <f>'Scenario 1 - Calc Sheet'!C60*1.609344</f>
        <v>0</v>
      </c>
      <c r="F9" s="40" t="e">
        <f>C9*E9*C4</f>
        <v>#VALUE!</v>
      </c>
      <c r="G9" s="54"/>
      <c r="H9" s="54"/>
      <c r="I9" s="54"/>
      <c r="J9" s="54"/>
      <c r="K9" s="54"/>
      <c r="L9" s="54"/>
      <c r="M9" s="54"/>
      <c r="N9" s="11"/>
      <c r="O9" s="54"/>
      <c r="P9" s="54"/>
      <c r="Q9" s="54"/>
    </row>
    <row r="10" spans="2:17" s="48" customFormat="1" x14ac:dyDescent="0.45">
      <c r="B10" s="130" t="s">
        <v>161</v>
      </c>
      <c r="C10" s="38">
        <v>3.3293623473340956E-5</v>
      </c>
      <c r="D10" s="123"/>
      <c r="E10" s="38">
        <f>'Scenario 1 - Calc Sheet'!C61*1.609344</f>
        <v>0</v>
      </c>
      <c r="F10" s="40" t="e">
        <f>C10*E10*C4</f>
        <v>#VALUE!</v>
      </c>
      <c r="G10" s="54"/>
      <c r="H10" s="54"/>
      <c r="I10" s="54"/>
      <c r="J10" s="54"/>
      <c r="K10" s="54"/>
      <c r="L10" s="54"/>
      <c r="M10" s="54"/>
      <c r="N10" s="54"/>
      <c r="O10" s="54"/>
      <c r="P10" s="54"/>
      <c r="Q10" s="54"/>
    </row>
    <row r="11" spans="2:17" s="48" customFormat="1" x14ac:dyDescent="0.45">
      <c r="B11" s="130" t="s">
        <v>162</v>
      </c>
      <c r="C11" s="38">
        <v>2.3995404305110587E-5</v>
      </c>
      <c r="D11" s="123"/>
      <c r="E11" s="38">
        <f>'Scenario 1 - Calc Sheet'!C62*1.609344</f>
        <v>0</v>
      </c>
      <c r="F11" s="40" t="e">
        <f>C11*E11*C4</f>
        <v>#VALUE!</v>
      </c>
      <c r="G11" s="54"/>
      <c r="H11" s="54"/>
      <c r="I11" s="54"/>
      <c r="J11" s="54"/>
      <c r="K11" s="54"/>
      <c r="L11" s="54"/>
      <c r="M11" s="54"/>
      <c r="N11" s="54"/>
      <c r="O11" s="54"/>
      <c r="P11" s="54"/>
      <c r="Q11" s="54"/>
    </row>
    <row r="12" spans="2:17" s="48" customFormat="1" x14ac:dyDescent="0.45">
      <c r="B12" s="130" t="s">
        <v>163</v>
      </c>
      <c r="C12" s="38">
        <v>4.3091746897927795E-5</v>
      </c>
      <c r="D12" s="123"/>
      <c r="E12" s="38">
        <f>'Scenario 1 - Calc Sheet'!C63*1.609344</f>
        <v>0</v>
      </c>
      <c r="F12" s="40" t="e">
        <f>C12*E12*C4</f>
        <v>#VALUE!</v>
      </c>
      <c r="G12" s="54"/>
      <c r="H12" s="54"/>
      <c r="I12" s="54"/>
      <c r="J12" s="54"/>
      <c r="K12" s="54"/>
      <c r="L12" s="54"/>
      <c r="M12" s="54"/>
      <c r="N12" s="54"/>
      <c r="O12" s="54"/>
      <c r="P12" s="54"/>
      <c r="Q12" s="54"/>
    </row>
    <row r="13" spans="2:17" s="53" customFormat="1" ht="14.65" thickBot="1" x14ac:dyDescent="0.5">
      <c r="B13" s="131" t="s">
        <v>369</v>
      </c>
      <c r="C13" s="42"/>
      <c r="D13" s="42"/>
      <c r="E13" s="42"/>
      <c r="F13" s="43" t="e">
        <f>SUM(F9:F12)</f>
        <v>#VALUE!</v>
      </c>
      <c r="G13" s="54"/>
      <c r="H13" s="54"/>
      <c r="I13" s="54"/>
      <c r="J13" s="54"/>
      <c r="K13" s="54"/>
      <c r="L13" s="54"/>
      <c r="M13" s="54"/>
      <c r="N13" s="54"/>
      <c r="O13" s="54"/>
      <c r="P13" s="54"/>
      <c r="Q13" s="54"/>
    </row>
    <row r="14" spans="2:17" s="53" customFormat="1" ht="14.65" thickBot="1" x14ac:dyDescent="0.5">
      <c r="B14" s="54"/>
      <c r="C14" s="54"/>
      <c r="D14" s="54"/>
      <c r="E14" s="54"/>
      <c r="F14" s="54"/>
      <c r="G14" s="54"/>
      <c r="H14" s="54"/>
      <c r="I14" s="54"/>
      <c r="J14" s="54"/>
      <c r="K14" s="54"/>
      <c r="L14" s="54"/>
      <c r="M14" s="54"/>
      <c r="N14" s="54"/>
      <c r="O14" s="54"/>
      <c r="P14" s="54"/>
      <c r="Q14" s="54"/>
    </row>
    <row r="15" spans="2:17" s="53" customFormat="1" ht="14.65" thickBot="1" x14ac:dyDescent="0.5">
      <c r="B15" s="129" t="s">
        <v>370</v>
      </c>
      <c r="C15" s="312" t="e">
        <f>_xlfn.XLOOKUP(C6,F20:F30,E20:E30)</f>
        <v>#N/A</v>
      </c>
      <c r="D15" s="125" t="str">
        <f>_xlfn.XLOOKUP(C6,B9:B12,C9:C12,"NA",0)</f>
        <v>NA</v>
      </c>
      <c r="E15" s="312" t="e">
        <f>C15*1.609344</f>
        <v>#N/A</v>
      </c>
      <c r="F15" s="126" t="e">
        <f>D15*E15*C4</f>
        <v>#VALUE!</v>
      </c>
      <c r="G15" s="54"/>
      <c r="H15" s="54"/>
      <c r="I15" s="54"/>
      <c r="J15" s="54"/>
      <c r="K15" s="54"/>
      <c r="L15" s="54"/>
      <c r="M15" s="54"/>
      <c r="N15" s="54"/>
      <c r="O15" s="54"/>
      <c r="P15" s="54"/>
      <c r="Q15" s="54"/>
    </row>
    <row r="16" spans="2:17" s="53" customFormat="1" x14ac:dyDescent="0.45">
      <c r="B16" s="54"/>
      <c r="C16" s="54"/>
      <c r="D16" s="54"/>
      <c r="E16" s="54"/>
      <c r="F16" s="54"/>
      <c r="G16" s="54"/>
      <c r="H16" s="54"/>
      <c r="I16" s="54"/>
      <c r="J16" s="54"/>
      <c r="K16" s="54"/>
      <c r="L16" s="54"/>
      <c r="M16" s="54"/>
      <c r="N16" s="54"/>
      <c r="O16" s="54"/>
      <c r="P16" s="54"/>
      <c r="Q16" s="54"/>
    </row>
    <row r="17" spans="2:19" s="53" customFormat="1" x14ac:dyDescent="0.45">
      <c r="B17" s="54"/>
      <c r="C17" s="54"/>
      <c r="D17" s="54"/>
      <c r="E17" s="54"/>
      <c r="F17" s="54"/>
      <c r="G17" s="54"/>
      <c r="H17" s="54"/>
      <c r="I17" s="54"/>
      <c r="J17" s="54"/>
      <c r="K17" s="54"/>
      <c r="L17" s="54"/>
      <c r="M17" s="54"/>
      <c r="N17" s="54"/>
      <c r="O17" s="54"/>
      <c r="P17" s="54"/>
      <c r="Q17" s="54"/>
    </row>
    <row r="18" spans="2:19" s="48" customFormat="1" ht="14.65" thickBot="1" x14ac:dyDescent="0.5">
      <c r="B18" s="56"/>
      <c r="C18" s="54"/>
      <c r="D18" s="54"/>
      <c r="E18" s="54"/>
      <c r="F18" s="54"/>
      <c r="G18" s="54"/>
      <c r="H18" s="54"/>
      <c r="I18" s="54"/>
      <c r="J18" s="54"/>
      <c r="K18" s="54"/>
      <c r="L18" s="54"/>
      <c r="M18" s="54"/>
      <c r="N18" s="54"/>
      <c r="O18" s="54"/>
      <c r="P18" s="54"/>
      <c r="Q18" s="54"/>
      <c r="R18" s="54"/>
      <c r="S18" s="50"/>
    </row>
    <row r="19" spans="2:19" x14ac:dyDescent="0.45">
      <c r="B19" s="306" t="s">
        <v>194</v>
      </c>
      <c r="C19" s="308" t="s">
        <v>371</v>
      </c>
      <c r="D19" s="308" t="s">
        <v>372</v>
      </c>
      <c r="E19" s="308" t="s">
        <v>373</v>
      </c>
      <c r="F19" s="309" t="s">
        <v>374</v>
      </c>
      <c r="G19" s="54"/>
      <c r="H19" s="54"/>
      <c r="I19" s="54"/>
      <c r="J19" s="54"/>
      <c r="K19" s="54"/>
      <c r="L19" s="54"/>
      <c r="M19" s="54"/>
      <c r="N19" s="54"/>
      <c r="O19" s="54"/>
      <c r="P19" s="54"/>
      <c r="Q19" s="54"/>
      <c r="R19" s="54"/>
      <c r="S19" s="50"/>
    </row>
    <row r="20" spans="2:19" ht="28.5" x14ac:dyDescent="0.45">
      <c r="B20" s="124" t="str" cm="1">
        <f t="array" ref="B20:B38">_xlfn.UNIQUE('Calculation Factors m3 trans'!C8:C64)</f>
        <v>Tally's Glulam Proxy (AWC/CWC North American Glued Laminated Timbers 2013)</v>
      </c>
      <c r="C20" s="311">
        <f>15.12/0.02831685</f>
        <v>533.95769656582559</v>
      </c>
      <c r="D20" s="311">
        <v>468</v>
      </c>
      <c r="E20" s="311">
        <f>D20*0.62137119</f>
        <v>290.80171691999999</v>
      </c>
      <c r="F20" s="40" t="s">
        <v>159</v>
      </c>
      <c r="G20" s="54"/>
      <c r="H20" s="54"/>
      <c r="I20" s="54"/>
      <c r="J20" s="54"/>
      <c r="K20" s="54"/>
      <c r="L20" s="54"/>
      <c r="M20" s="54"/>
      <c r="N20" s="54"/>
      <c r="O20" s="54"/>
      <c r="P20" s="54"/>
      <c r="Q20" s="54"/>
      <c r="R20" s="54"/>
      <c r="S20" s="50"/>
    </row>
    <row r="21" spans="2:19" x14ac:dyDescent="0.45">
      <c r="B21" s="124" t="str">
        <v>KLH EPD 2012 (57mm thick)</v>
      </c>
      <c r="C21" s="311">
        <f>13.6/0.02831685</f>
        <v>480.27940960947279</v>
      </c>
      <c r="D21" s="311">
        <v>468</v>
      </c>
      <c r="E21" s="311">
        <f t="shared" ref="E21:E37" si="0">D21*0.62137119</f>
        <v>290.80171691999999</v>
      </c>
      <c r="F21" s="40" t="s">
        <v>159</v>
      </c>
      <c r="G21" s="54"/>
      <c r="H21" s="54"/>
      <c r="I21" s="54"/>
      <c r="J21" s="54"/>
      <c r="K21" s="54"/>
      <c r="L21" s="54"/>
      <c r="M21" s="54"/>
      <c r="N21" s="49"/>
      <c r="O21" s="54"/>
      <c r="P21" s="54"/>
      <c r="Q21" s="54"/>
      <c r="R21" s="54"/>
      <c r="S21" s="50"/>
    </row>
    <row r="22" spans="2:19" x14ac:dyDescent="0.45">
      <c r="B22" s="124" t="str">
        <v>KLH EPD 2012 (320 mm thick)</v>
      </c>
      <c r="C22" s="311"/>
      <c r="D22" s="311">
        <v>468</v>
      </c>
      <c r="E22" s="311">
        <f t="shared" si="0"/>
        <v>290.80171691999999</v>
      </c>
      <c r="F22" s="40" t="s">
        <v>159</v>
      </c>
      <c r="G22" s="54"/>
      <c r="H22" s="54"/>
      <c r="I22" s="54"/>
      <c r="J22" s="54"/>
      <c r="K22" s="54"/>
      <c r="L22" s="54"/>
      <c r="M22" s="54"/>
      <c r="N22" s="49"/>
      <c r="O22" s="54"/>
      <c r="P22" s="54"/>
      <c r="Q22" s="54"/>
      <c r="R22" s="54"/>
      <c r="S22" s="50"/>
    </row>
    <row r="23" spans="2:19" ht="28.5" x14ac:dyDescent="0.45">
      <c r="B23" s="124" t="str">
        <v>Structurlam - Crosslam CLT EPD for Cross Laminated Timber produced by Structurlam in Okanagan Falls, BC 2020</v>
      </c>
      <c r="C23" s="311">
        <v>481</v>
      </c>
      <c r="D23" s="311">
        <v>468</v>
      </c>
      <c r="E23" s="311">
        <f t="shared" si="0"/>
        <v>290.80171691999999</v>
      </c>
      <c r="F23" s="40" t="s">
        <v>159</v>
      </c>
      <c r="G23" s="54"/>
      <c r="H23" s="54"/>
      <c r="I23" s="54"/>
      <c r="J23" s="54"/>
      <c r="K23" s="54"/>
      <c r="L23" s="54"/>
      <c r="M23" s="54"/>
      <c r="N23" s="54"/>
      <c r="O23" s="54"/>
      <c r="P23" s="54"/>
      <c r="Q23" s="54"/>
      <c r="R23" s="54"/>
      <c r="S23" s="54"/>
    </row>
    <row r="24" spans="2:19" x14ac:dyDescent="0.45">
      <c r="B24" s="124" t="str">
        <v>Nordic X-Lam (CLT) Environmental Product Declaration 2018</v>
      </c>
      <c r="C24" s="311">
        <v>410.46</v>
      </c>
      <c r="D24" s="311">
        <v>468</v>
      </c>
      <c r="E24" s="311">
        <f t="shared" si="0"/>
        <v>290.80171691999999</v>
      </c>
      <c r="F24" s="40" t="s">
        <v>159</v>
      </c>
      <c r="G24" s="54"/>
      <c r="H24" s="54"/>
      <c r="I24" s="54"/>
      <c r="J24" s="54"/>
      <c r="K24" s="54"/>
      <c r="L24" s="54"/>
      <c r="M24" s="54"/>
      <c r="N24" s="54"/>
      <c r="O24" s="54"/>
      <c r="P24" s="54"/>
      <c r="Q24" s="54"/>
      <c r="R24" s="54"/>
      <c r="S24" s="54"/>
    </row>
    <row r="25" spans="2:19" ht="28.5" x14ac:dyDescent="0.45">
      <c r="B25" s="124" t="str">
        <v>Tally - AWC/CWC North American Glued Laminated Timbers 2013</v>
      </c>
      <c r="C25" s="311">
        <v>525</v>
      </c>
      <c r="D25" s="311">
        <v>468</v>
      </c>
      <c r="E25" s="311">
        <f t="shared" si="0"/>
        <v>290.80171691999999</v>
      </c>
      <c r="F25" s="40" t="s">
        <v>159</v>
      </c>
      <c r="G25" s="54"/>
      <c r="H25" s="54"/>
      <c r="I25" s="54"/>
      <c r="J25" s="54"/>
      <c r="K25" s="54"/>
      <c r="L25" s="54"/>
      <c r="M25" s="54"/>
      <c r="N25" s="54"/>
      <c r="O25" s="57"/>
      <c r="P25" s="54"/>
      <c r="Q25" s="54"/>
      <c r="R25" s="54"/>
      <c r="S25" s="54"/>
    </row>
    <row r="26" spans="2:19" x14ac:dyDescent="0.45">
      <c r="B26" s="124" t="str">
        <v>AWC/CWC North American Glued Laminated Timbers 2013</v>
      </c>
      <c r="C26" s="311">
        <v>548</v>
      </c>
      <c r="D26" s="311">
        <v>468</v>
      </c>
      <c r="E26" s="311">
        <f t="shared" si="0"/>
        <v>290.80171691999999</v>
      </c>
      <c r="F26" s="40" t="s">
        <v>159</v>
      </c>
      <c r="G26" s="54"/>
      <c r="H26" s="54"/>
      <c r="I26" s="54"/>
      <c r="J26" s="54"/>
      <c r="K26" s="54"/>
      <c r="L26" s="54"/>
      <c r="M26" s="54"/>
      <c r="N26" s="54"/>
      <c r="O26" s="54"/>
      <c r="P26" s="54"/>
      <c r="Q26" s="54"/>
      <c r="R26" s="54"/>
      <c r="S26" s="54"/>
    </row>
    <row r="27" spans="2:19" x14ac:dyDescent="0.45">
      <c r="B27" s="124" t="str">
        <v>AWC/CWC North American Glued Laminated Timbers 2020</v>
      </c>
      <c r="C27" s="311">
        <v>481</v>
      </c>
      <c r="D27" s="311">
        <v>468</v>
      </c>
      <c r="E27" s="311">
        <f t="shared" si="0"/>
        <v>290.80171691999999</v>
      </c>
      <c r="F27" s="40" t="s">
        <v>159</v>
      </c>
      <c r="G27" s="54"/>
      <c r="H27" s="54"/>
      <c r="I27" s="54"/>
      <c r="J27" s="54"/>
      <c r="K27" s="54"/>
      <c r="L27" s="54"/>
      <c r="M27" s="54"/>
      <c r="N27" s="54"/>
      <c r="O27" s="54"/>
      <c r="P27" s="54"/>
      <c r="Q27" s="54"/>
      <c r="R27" s="54"/>
      <c r="S27" s="54"/>
    </row>
    <row r="28" spans="2:19" x14ac:dyDescent="0.45">
      <c r="B28" s="124" t="str">
        <v>Corrim Report LCA of PNW Glued Laminated Timbers 2017</v>
      </c>
      <c r="C28" s="311">
        <v>510.7</v>
      </c>
      <c r="D28" s="311">
        <v>468</v>
      </c>
      <c r="E28" s="311">
        <f t="shared" si="0"/>
        <v>290.80171691999999</v>
      </c>
      <c r="F28" s="40" t="s">
        <v>159</v>
      </c>
      <c r="G28" s="54"/>
      <c r="H28" s="54"/>
      <c r="I28" s="54"/>
      <c r="J28" s="54"/>
      <c r="K28" s="54"/>
      <c r="L28" s="54"/>
      <c r="M28" s="54"/>
      <c r="N28" s="54"/>
      <c r="O28" s="54"/>
      <c r="P28" s="54"/>
      <c r="Q28" s="54"/>
      <c r="R28" s="54"/>
      <c r="S28" s="54"/>
    </row>
    <row r="29" spans="2:19" ht="28.5" x14ac:dyDescent="0.45">
      <c r="B29" s="124" t="str">
        <v>Corrim Report: LCA For the Production of Southeast Glued Laminated Timbers 2017</v>
      </c>
      <c r="C29" s="311">
        <v>590</v>
      </c>
      <c r="D29" s="311">
        <v>468</v>
      </c>
      <c r="E29" s="311">
        <f t="shared" si="0"/>
        <v>290.80171691999999</v>
      </c>
      <c r="F29" s="40" t="s">
        <v>159</v>
      </c>
      <c r="G29" s="54"/>
      <c r="H29" s="54"/>
      <c r="I29" s="54"/>
      <c r="J29" s="54"/>
      <c r="K29" s="54"/>
      <c r="L29" s="54"/>
      <c r="M29" s="54"/>
      <c r="N29" s="54"/>
      <c r="O29" s="54"/>
      <c r="P29" s="54"/>
      <c r="Q29" s="54"/>
      <c r="R29" s="54"/>
      <c r="S29" s="54"/>
    </row>
    <row r="30" spans="2:19" ht="42.75" x14ac:dyDescent="0.45">
      <c r="B30" s="124" t="str">
        <v>Athena Sustainable Materials Insitute - A Cradle-to-Gate Life Cycle Assessment
of Canadian Glulam (2019)</v>
      </c>
      <c r="C30" s="311">
        <v>428</v>
      </c>
      <c r="D30" s="311">
        <v>468</v>
      </c>
      <c r="E30" s="311">
        <f t="shared" si="0"/>
        <v>290.80171691999999</v>
      </c>
      <c r="F30" s="40" t="s">
        <v>159</v>
      </c>
      <c r="G30" s="54"/>
      <c r="H30" s="54"/>
      <c r="I30" s="54"/>
      <c r="J30" s="54"/>
      <c r="K30" s="54"/>
      <c r="L30" s="54"/>
      <c r="M30" s="54"/>
      <c r="N30" s="54"/>
      <c r="O30" s="54"/>
      <c r="P30" s="54"/>
      <c r="Q30" s="54"/>
      <c r="R30" s="54"/>
      <c r="S30" s="54"/>
    </row>
    <row r="31" spans="2:19" x14ac:dyDescent="0.45">
      <c r="B31" s="124" t="str">
        <v>Tally's OSB Proxy (Oriented strand board CORRIM 2011)</v>
      </c>
      <c r="C31" s="311">
        <v>1091.2</v>
      </c>
      <c r="D31" s="311">
        <v>468</v>
      </c>
      <c r="E31" s="311">
        <f t="shared" si="0"/>
        <v>290.80171691999999</v>
      </c>
      <c r="F31" s="40" t="s">
        <v>159</v>
      </c>
      <c r="G31" s="54"/>
      <c r="H31" s="54"/>
      <c r="I31" s="54"/>
      <c r="J31" s="54"/>
      <c r="K31" s="54"/>
      <c r="L31" s="54"/>
      <c r="M31" s="54"/>
      <c r="N31" s="54"/>
      <c r="O31" s="54"/>
      <c r="P31" s="54"/>
      <c r="Q31" s="54"/>
      <c r="R31" s="54"/>
      <c r="S31" s="54"/>
    </row>
    <row r="32" spans="2:19" ht="28.5" x14ac:dyDescent="0.45">
      <c r="B32" s="124" t="str">
        <v>Tally - AWC/CWC North American Laminated veneer Lumber 2013</v>
      </c>
      <c r="C32" s="311">
        <v>547.4</v>
      </c>
      <c r="D32" s="311">
        <v>468</v>
      </c>
      <c r="E32" s="311">
        <f t="shared" si="0"/>
        <v>290.80171691999999</v>
      </c>
      <c r="F32" s="40" t="s">
        <v>159</v>
      </c>
      <c r="G32" s="54"/>
      <c r="H32" s="54"/>
      <c r="I32" s="54"/>
      <c r="J32" s="54"/>
      <c r="K32" s="54"/>
      <c r="L32" s="54"/>
      <c r="M32" s="54"/>
      <c r="N32" s="54"/>
      <c r="O32" s="54"/>
      <c r="P32" s="54"/>
      <c r="Q32" s="54"/>
      <c r="R32" s="54"/>
      <c r="S32" s="54"/>
    </row>
    <row r="33" spans="2:19" x14ac:dyDescent="0.45">
      <c r="B33" s="124" t="str">
        <v>AWC/CWC Laminated Veneer Lumber 2020</v>
      </c>
      <c r="C33" s="311">
        <v>544.5</v>
      </c>
      <c r="D33" s="311">
        <v>468</v>
      </c>
      <c r="E33" s="311">
        <f t="shared" si="0"/>
        <v>290.80171691999999</v>
      </c>
      <c r="F33" s="40" t="s">
        <v>159</v>
      </c>
      <c r="G33" s="54"/>
      <c r="H33" s="54"/>
      <c r="I33" s="54"/>
      <c r="J33" s="54"/>
      <c r="K33" s="54"/>
      <c r="L33" s="54"/>
      <c r="M33" s="54"/>
      <c r="N33" s="54"/>
      <c r="O33" s="54"/>
      <c r="P33" s="54"/>
      <c r="Q33" s="54"/>
      <c r="R33" s="54"/>
      <c r="S33" s="54"/>
    </row>
    <row r="34" spans="2:19" ht="28.5" x14ac:dyDescent="0.45">
      <c r="B34" s="124" t="str">
        <v>Tally's LVL Proxy (AWC/CWC North American Laminated veneer Lumber 2013  )</v>
      </c>
      <c r="C34" s="311">
        <v>628.6</v>
      </c>
      <c r="D34" s="311">
        <v>468</v>
      </c>
      <c r="E34" s="311">
        <f t="shared" si="0"/>
        <v>290.80171691999999</v>
      </c>
      <c r="F34" s="40" t="s">
        <v>159</v>
      </c>
    </row>
    <row r="35" spans="2:19" ht="28.5" x14ac:dyDescent="0.45">
      <c r="B35" s="124" t="str">
        <v>Tally - US: Dry rough lumber, at kiln, PNW and SE USLCI/PE (2009)</v>
      </c>
      <c r="C35" s="311">
        <v>529.70000000000005</v>
      </c>
      <c r="D35" s="311">
        <v>383</v>
      </c>
      <c r="E35" s="311">
        <f t="shared" si="0"/>
        <v>237.98516576999998</v>
      </c>
      <c r="F35" s="40" t="s">
        <v>159</v>
      </c>
    </row>
    <row r="36" spans="2:19" x14ac:dyDescent="0.45">
      <c r="B36" s="124" t="str">
        <v>Tally - AWC/CWC North American Softwood lumber 2013</v>
      </c>
      <c r="C36" s="311">
        <v>434.4</v>
      </c>
      <c r="D36" s="311">
        <v>383</v>
      </c>
      <c r="E36" s="311">
        <f t="shared" si="0"/>
        <v>237.98516576999998</v>
      </c>
      <c r="F36" s="40" t="s">
        <v>159</v>
      </c>
    </row>
    <row r="37" spans="2:19" x14ac:dyDescent="0.45">
      <c r="B37" s="124" t="str">
        <v>AWC/CWC North American Softwood lumber 2020</v>
      </c>
      <c r="C37" s="311">
        <v>460.18</v>
      </c>
      <c r="D37" s="311">
        <v>383</v>
      </c>
      <c r="E37" s="311">
        <f t="shared" si="0"/>
        <v>237.98516576999998</v>
      </c>
      <c r="F37" s="40" t="s">
        <v>159</v>
      </c>
    </row>
    <row r="38" spans="2:19" ht="14.65" thickBot="1" x14ac:dyDescent="0.5">
      <c r="B38" s="34">
        <v>0</v>
      </c>
      <c r="C38" s="42"/>
      <c r="D38" s="42"/>
      <c r="E38" s="42"/>
      <c r="F38" s="43"/>
    </row>
  </sheetData>
  <conditionalFormatting sqref="N4 N7">
    <cfRule type="dataBar" priority="5">
      <dataBar>
        <cfvo type="min"/>
        <cfvo type="max"/>
        <color rgb="FF638EC6"/>
      </dataBar>
      <extLst>
        <ext xmlns:x14="http://schemas.microsoft.com/office/spreadsheetml/2009/9/main" uri="{B025F937-C7B1-47D3-B67F-A62EFF666E3E}">
          <x14:id>{4FA23BC0-862F-41F0-AA24-58038DF4927D}</x14:id>
        </ext>
      </extLst>
    </cfRule>
  </conditionalFormatting>
  <conditionalFormatting sqref="N5">
    <cfRule type="dataBar" priority="4">
      <dataBar>
        <cfvo type="min"/>
        <cfvo type="max"/>
        <color rgb="FF638EC6"/>
      </dataBar>
      <extLst>
        <ext xmlns:x14="http://schemas.microsoft.com/office/spreadsheetml/2009/9/main" uri="{B025F937-C7B1-47D3-B67F-A62EFF666E3E}">
          <x14:id>{9790B681-B7C0-4559-B1F2-5E034DA73942}</x14:id>
        </ext>
      </extLst>
    </cfRule>
  </conditionalFormatting>
  <conditionalFormatting sqref="N6">
    <cfRule type="dataBar" priority="3">
      <dataBar>
        <cfvo type="min"/>
        <cfvo type="max"/>
        <color rgb="FF638EC6"/>
      </dataBar>
      <extLst>
        <ext xmlns:x14="http://schemas.microsoft.com/office/spreadsheetml/2009/9/main" uri="{B025F937-C7B1-47D3-B67F-A62EFF666E3E}">
          <x14:id>{8B7E04D4-2B62-4C15-B8B6-630DFC5EADF9}</x14:id>
        </ext>
      </extLst>
    </cfRule>
  </conditionalFormatting>
  <conditionalFormatting sqref="O25">
    <cfRule type="dataBar" priority="2">
      <dataBar>
        <cfvo type="min"/>
        <cfvo type="max"/>
        <color rgb="FF638EC6"/>
      </dataBar>
      <extLst>
        <ext xmlns:x14="http://schemas.microsoft.com/office/spreadsheetml/2009/9/main" uri="{B025F937-C7B1-47D3-B67F-A62EFF666E3E}">
          <x14:id>{6792ACE8-CA8B-4801-93FD-C199C9B93EC5}</x14:id>
        </ext>
      </extLst>
    </cfRule>
  </conditionalFormatting>
  <conditionalFormatting sqref="B9:B13">
    <cfRule type="duplicateValues" dxfId="0"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FA23BC0-862F-41F0-AA24-58038DF4927D}">
            <x14:dataBar minLength="0" maxLength="100">
              <x14:cfvo type="min"/>
              <x14:cfvo type="max"/>
              <x14:negativeFillColor rgb="FFFF0000"/>
              <x14:axisColor rgb="FF000000"/>
            </x14:dataBar>
          </x14:cfRule>
          <xm:sqref>N4 N7</xm:sqref>
        </x14:conditionalFormatting>
        <x14:conditionalFormatting xmlns:xm="http://schemas.microsoft.com/office/excel/2006/main">
          <x14:cfRule type="dataBar" id="{9790B681-B7C0-4559-B1F2-5E034DA73942}">
            <x14:dataBar minLength="0" maxLength="100">
              <x14:cfvo type="min"/>
              <x14:cfvo type="max"/>
              <x14:negativeFillColor rgb="FFFF0000"/>
              <x14:axisColor rgb="FF000000"/>
            </x14:dataBar>
          </x14:cfRule>
          <xm:sqref>N5</xm:sqref>
        </x14:conditionalFormatting>
        <x14:conditionalFormatting xmlns:xm="http://schemas.microsoft.com/office/excel/2006/main">
          <x14:cfRule type="dataBar" id="{8B7E04D4-2B62-4C15-B8B6-630DFC5EADF9}">
            <x14:dataBar minLength="0" maxLength="100">
              <x14:cfvo type="min"/>
              <x14:cfvo type="max"/>
              <x14:negativeFillColor rgb="FFFF0000"/>
              <x14:axisColor rgb="FF000000"/>
            </x14:dataBar>
          </x14:cfRule>
          <xm:sqref>N6</xm:sqref>
        </x14:conditionalFormatting>
        <x14:conditionalFormatting xmlns:xm="http://schemas.microsoft.com/office/excel/2006/main">
          <x14:cfRule type="dataBar" id="{6792ACE8-CA8B-4801-93FD-C199C9B93EC5}">
            <x14:dataBar minLength="0" maxLength="100">
              <x14:cfvo type="min"/>
              <x14:cfvo type="max"/>
              <x14:negativeFillColor rgb="FFFF0000"/>
              <x14:axisColor rgb="FF000000"/>
            </x14:dataBar>
          </x14:cfRule>
          <xm:sqref>O25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3EFB-288E-42D8-8F1B-1221E5092114}">
  <dimension ref="B1:BI37"/>
  <sheetViews>
    <sheetView tabSelected="1" zoomScale="70" zoomScaleNormal="70" workbookViewId="0">
      <selection activeCell="P6" sqref="P6"/>
    </sheetView>
    <sheetView workbookViewId="1"/>
    <sheetView workbookViewId="2"/>
  </sheetViews>
  <sheetFormatPr defaultRowHeight="14.25" x14ac:dyDescent="0.45"/>
  <cols>
    <col min="2" max="2" width="11.3984375" customWidth="1"/>
    <col min="3" max="3" width="11.3984375" style="21" customWidth="1"/>
    <col min="4" max="4" width="19.59765625" customWidth="1"/>
    <col min="5" max="5" width="24.73046875" customWidth="1"/>
    <col min="6" max="6" width="20.3984375" customWidth="1"/>
    <col min="7" max="7" width="13.3984375" customWidth="1"/>
    <col min="9" max="12" width="9" style="54"/>
    <col min="13" max="13" width="14" customWidth="1"/>
    <col min="14" max="14" width="17.1328125" customWidth="1"/>
    <col min="16" max="16" width="11.265625" style="21" customWidth="1"/>
    <col min="17" max="17" width="9" style="21"/>
    <col min="18" max="18" width="12.86328125" style="21" customWidth="1"/>
    <col min="19" max="19" width="9" style="21"/>
    <col min="27" max="27" width="19.73046875" customWidth="1"/>
  </cols>
  <sheetData>
    <row r="1" spans="2:61" s="54" customFormat="1" ht="14.65" thickBot="1" x14ac:dyDescent="0.5">
      <c r="N1" s="54" t="s">
        <v>375</v>
      </c>
    </row>
    <row r="2" spans="2:61" x14ac:dyDescent="0.45">
      <c r="B2" s="54"/>
      <c r="C2" s="54"/>
      <c r="D2" s="54"/>
      <c r="E2" s="54"/>
      <c r="F2" s="54"/>
      <c r="G2" s="54"/>
      <c r="H2" s="54"/>
      <c r="M2" s="54"/>
      <c r="N2" s="227" t="s">
        <v>376</v>
      </c>
      <c r="O2" s="225" t="s">
        <v>377</v>
      </c>
      <c r="P2" s="225" t="s">
        <v>378</v>
      </c>
      <c r="Q2" s="225" t="s">
        <v>379</v>
      </c>
      <c r="R2" s="226" t="s">
        <v>380</v>
      </c>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row>
    <row r="3" spans="2:61" ht="14.65" thickBot="1" x14ac:dyDescent="0.5">
      <c r="B3" s="54"/>
      <c r="C3" s="54"/>
      <c r="D3" s="54"/>
      <c r="E3" s="54"/>
      <c r="F3" s="54"/>
      <c r="G3" s="54"/>
      <c r="H3" s="54"/>
      <c r="M3" s="54"/>
      <c r="N3" s="439" t="s">
        <v>387</v>
      </c>
      <c r="O3" s="440"/>
      <c r="P3" s="440"/>
      <c r="Q3" s="440"/>
      <c r="R3" s="441"/>
      <c r="S3" s="54"/>
      <c r="T3" s="54"/>
      <c r="U3" s="54"/>
      <c r="V3" s="54"/>
      <c r="W3" s="54"/>
      <c r="X3" s="54"/>
      <c r="Y3" s="54"/>
      <c r="Z3" s="54"/>
      <c r="AA3" s="54"/>
      <c r="AB3" s="54"/>
      <c r="AC3" s="54" t="s">
        <v>381</v>
      </c>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row>
    <row r="4" spans="2:61" ht="14.65" thickBot="1" x14ac:dyDescent="0.5">
      <c r="B4" s="54"/>
      <c r="C4" s="54"/>
      <c r="D4" s="54"/>
      <c r="E4" s="54"/>
      <c r="F4" s="54"/>
      <c r="G4" s="54"/>
      <c r="H4" s="54"/>
      <c r="M4" s="54"/>
      <c r="N4" s="54"/>
      <c r="O4" s="54"/>
      <c r="P4" s="54"/>
      <c r="Q4" s="54"/>
      <c r="R4" s="54"/>
      <c r="S4" s="54"/>
      <c r="T4" s="54"/>
      <c r="U4" s="54"/>
      <c r="V4" s="54"/>
      <c r="W4" s="54"/>
      <c r="X4" s="54"/>
      <c r="Y4" s="54"/>
      <c r="Z4" s="54"/>
      <c r="AA4" s="54"/>
      <c r="AB4" s="38"/>
      <c r="AC4" s="38"/>
      <c r="AD4" s="218"/>
      <c r="AE4" s="205"/>
      <c r="AF4" s="205"/>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row>
    <row r="5" spans="2:61" x14ac:dyDescent="0.45">
      <c r="B5" s="220" t="s">
        <v>69</v>
      </c>
      <c r="C5" s="221" t="s">
        <v>198</v>
      </c>
      <c r="D5" s="221" t="s">
        <v>382</v>
      </c>
      <c r="E5" s="221" t="s">
        <v>169</v>
      </c>
      <c r="F5" s="221" t="s">
        <v>383</v>
      </c>
      <c r="G5" s="222" t="s">
        <v>384</v>
      </c>
      <c r="H5" s="56"/>
      <c r="I5" s="56"/>
      <c r="J5" s="56"/>
      <c r="K5" s="56"/>
      <c r="L5" s="56"/>
      <c r="M5" s="54"/>
      <c r="N5" s="223" t="s">
        <v>385</v>
      </c>
      <c r="O5" s="224" t="s">
        <v>51</v>
      </c>
      <c r="P5" s="228" t="s">
        <v>386</v>
      </c>
      <c r="Q5" s="54"/>
      <c r="R5" s="54"/>
      <c r="S5" s="54"/>
      <c r="T5" s="54"/>
      <c r="U5" s="54"/>
      <c r="V5" s="54"/>
      <c r="W5" s="54"/>
      <c r="X5" s="54"/>
      <c r="Y5" s="54"/>
      <c r="Z5" s="54"/>
      <c r="AA5" s="54"/>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row>
    <row r="6" spans="2:61" ht="14.65" thickBot="1" x14ac:dyDescent="0.5">
      <c r="B6" s="437"/>
      <c r="C6" s="442" t="s">
        <v>387</v>
      </c>
      <c r="D6" s="442"/>
      <c r="E6" s="442"/>
      <c r="F6" s="442"/>
      <c r="G6" s="443"/>
      <c r="H6" s="56"/>
      <c r="I6" s="56"/>
      <c r="J6" s="56"/>
      <c r="K6" s="56"/>
      <c r="L6" s="56"/>
      <c r="M6" s="54"/>
      <c r="N6" s="41"/>
      <c r="O6" s="42">
        <f>'Scenario 1 - Calc Sheet'!B100</f>
        <v>0</v>
      </c>
      <c r="P6" s="43" t="e">
        <f>O6*'Calculation Factors m3 trans'!G3*'Scenario 1 - Calc Sheet'!B25</f>
        <v>#VALUE!</v>
      </c>
      <c r="Q6" s="54"/>
      <c r="R6" s="54"/>
      <c r="S6" s="54"/>
      <c r="T6" s="54"/>
      <c r="U6" s="54"/>
      <c r="V6" s="54"/>
      <c r="W6" s="54"/>
      <c r="X6" s="54"/>
      <c r="Y6" s="54"/>
      <c r="Z6" s="54"/>
      <c r="AA6" s="54"/>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row>
    <row r="7" spans="2:61" x14ac:dyDescent="0.45">
      <c r="B7" s="437"/>
      <c r="C7" s="442"/>
      <c r="D7" s="442"/>
      <c r="E7" s="442"/>
      <c r="F7" s="442"/>
      <c r="G7" s="443"/>
      <c r="H7" s="56"/>
      <c r="I7" s="56"/>
      <c r="J7" s="56"/>
      <c r="K7" s="56"/>
      <c r="L7" s="56"/>
      <c r="M7" s="54"/>
      <c r="N7" s="54"/>
      <c r="O7" s="54"/>
      <c r="P7" s="54"/>
      <c r="Q7" s="54"/>
      <c r="R7" s="54"/>
      <c r="S7" s="54"/>
      <c r="T7" s="54"/>
      <c r="U7" s="54"/>
      <c r="V7" s="54"/>
      <c r="W7" s="54"/>
      <c r="X7" s="54"/>
      <c r="Y7" s="54"/>
      <c r="Z7" s="54"/>
      <c r="AA7" s="54"/>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row>
    <row r="8" spans="2:61" s="21" customFormat="1" x14ac:dyDescent="0.45">
      <c r="B8" s="437"/>
      <c r="C8" s="442"/>
      <c r="D8" s="442"/>
      <c r="E8" s="442"/>
      <c r="F8" s="442"/>
      <c r="G8" s="443"/>
      <c r="H8" s="56"/>
      <c r="I8" s="56"/>
      <c r="J8" s="56"/>
      <c r="K8" s="56"/>
      <c r="L8" s="56"/>
      <c r="M8" s="54"/>
      <c r="N8" s="54"/>
      <c r="O8" s="54"/>
      <c r="P8" s="54"/>
      <c r="Q8" s="54"/>
      <c r="R8" s="54"/>
      <c r="S8" s="54"/>
      <c r="T8" s="54"/>
      <c r="U8" s="54"/>
      <c r="V8" s="54"/>
      <c r="W8" s="54"/>
      <c r="X8" s="54"/>
      <c r="Y8" s="54"/>
      <c r="Z8" s="54"/>
      <c r="AA8" s="54"/>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row>
    <row r="9" spans="2:61" x14ac:dyDescent="0.45">
      <c r="B9" s="437"/>
      <c r="C9" s="442"/>
      <c r="D9" s="442"/>
      <c r="E9" s="442"/>
      <c r="F9" s="442"/>
      <c r="G9" s="443"/>
      <c r="H9" s="56"/>
      <c r="I9" s="56"/>
      <c r="J9" s="56"/>
      <c r="K9" s="56"/>
      <c r="L9" s="56"/>
      <c r="M9" s="54"/>
      <c r="N9" s="54"/>
      <c r="O9" s="54"/>
      <c r="P9" s="54"/>
      <c r="Q9" s="54"/>
      <c r="R9" s="446"/>
      <c r="S9" s="446"/>
      <c r="T9" s="54"/>
      <c r="U9" s="54"/>
      <c r="V9" s="54"/>
      <c r="W9" s="54"/>
      <c r="X9" s="54"/>
      <c r="Y9" s="54"/>
      <c r="Z9" s="54"/>
      <c r="AA9" s="54"/>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row>
    <row r="10" spans="2:61" x14ac:dyDescent="0.45">
      <c r="B10" s="437"/>
      <c r="C10" s="442"/>
      <c r="D10" s="442"/>
      <c r="E10" s="442"/>
      <c r="F10" s="442"/>
      <c r="G10" s="443"/>
      <c r="H10" s="56"/>
      <c r="I10" s="56"/>
      <c r="J10" s="56"/>
      <c r="K10" s="56"/>
      <c r="L10" s="56"/>
      <c r="M10" s="54"/>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row>
    <row r="11" spans="2:61" s="21" customFormat="1" x14ac:dyDescent="0.45">
      <c r="B11" s="437"/>
      <c r="C11" s="442"/>
      <c r="D11" s="442"/>
      <c r="E11" s="442"/>
      <c r="F11" s="442"/>
      <c r="G11" s="443"/>
      <c r="H11" s="56"/>
      <c r="I11" s="56"/>
      <c r="J11" s="56"/>
      <c r="K11" s="56"/>
      <c r="L11" s="56"/>
      <c r="M11" s="54"/>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row>
    <row r="12" spans="2:61" s="21" customFormat="1" x14ac:dyDescent="0.45">
      <c r="B12" s="437"/>
      <c r="C12" s="442"/>
      <c r="D12" s="442"/>
      <c r="E12" s="442"/>
      <c r="F12" s="442"/>
      <c r="G12" s="443"/>
      <c r="H12" s="56"/>
      <c r="I12" s="56"/>
      <c r="J12" s="56"/>
      <c r="K12" s="56"/>
      <c r="L12" s="56"/>
      <c r="M12" s="54"/>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row>
    <row r="13" spans="2:61" s="21" customFormat="1" ht="14.65" thickBot="1" x14ac:dyDescent="0.5">
      <c r="B13" s="438"/>
      <c r="C13" s="444"/>
      <c r="D13" s="444"/>
      <c r="E13" s="444"/>
      <c r="F13" s="444"/>
      <c r="G13" s="445"/>
      <c r="H13" s="56"/>
      <c r="I13" s="56"/>
      <c r="J13" s="56"/>
      <c r="K13" s="56"/>
      <c r="L13" s="56"/>
      <c r="M13" s="54"/>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row>
    <row r="14" spans="2:61" s="21" customFormat="1" ht="14.65" thickBot="1" x14ac:dyDescent="0.5">
      <c r="B14" s="38"/>
      <c r="C14" s="38"/>
      <c r="D14" s="38"/>
      <c r="E14" s="38"/>
      <c r="F14" s="38"/>
      <c r="G14" s="38"/>
      <c r="H14" s="56"/>
      <c r="I14" s="56"/>
      <c r="J14" s="56"/>
      <c r="K14" s="56"/>
      <c r="L14" s="56"/>
      <c r="M14" s="54"/>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row>
    <row r="15" spans="2:61" x14ac:dyDescent="0.45">
      <c r="B15" s="223"/>
      <c r="C15" s="224"/>
      <c r="D15" s="221" t="s">
        <v>382</v>
      </c>
      <c r="E15" s="221" t="s">
        <v>388</v>
      </c>
      <c r="F15" s="221" t="s">
        <v>389</v>
      </c>
      <c r="G15" s="221" t="s">
        <v>390</v>
      </c>
      <c r="H15" s="225" t="s">
        <v>376</v>
      </c>
      <c r="I15" s="225" t="s">
        <v>377</v>
      </c>
      <c r="J15" s="225" t="s">
        <v>378</v>
      </c>
      <c r="K15" s="225" t="s">
        <v>379</v>
      </c>
      <c r="L15" s="226" t="s">
        <v>380</v>
      </c>
      <c r="M15" s="54"/>
      <c r="N15" s="38"/>
      <c r="O15" s="132"/>
      <c r="P15" s="132"/>
      <c r="Q15" s="132"/>
      <c r="R15" s="132"/>
      <c r="S15" s="132"/>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row>
    <row r="16" spans="2:61" x14ac:dyDescent="0.45">
      <c r="B16" s="437"/>
      <c r="C16" s="442" t="s">
        <v>387</v>
      </c>
      <c r="D16" s="442"/>
      <c r="E16" s="442"/>
      <c r="F16" s="442"/>
      <c r="G16" s="442"/>
      <c r="H16" s="442"/>
      <c r="I16" s="442"/>
      <c r="J16" s="442"/>
      <c r="K16" s="442"/>
      <c r="L16" s="443"/>
      <c r="M16" s="54"/>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row>
    <row r="17" spans="2:61" x14ac:dyDescent="0.45">
      <c r="B17" s="437"/>
      <c r="C17" s="442"/>
      <c r="D17" s="442"/>
      <c r="E17" s="442"/>
      <c r="F17" s="442"/>
      <c r="G17" s="442"/>
      <c r="H17" s="442"/>
      <c r="I17" s="442"/>
      <c r="J17" s="442"/>
      <c r="K17" s="442"/>
      <c r="L17" s="443"/>
      <c r="M17" s="54"/>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row>
    <row r="18" spans="2:61" x14ac:dyDescent="0.45">
      <c r="B18" s="437"/>
      <c r="C18" s="442"/>
      <c r="D18" s="442"/>
      <c r="E18" s="442"/>
      <c r="F18" s="442"/>
      <c r="G18" s="442"/>
      <c r="H18" s="442"/>
      <c r="I18" s="442"/>
      <c r="J18" s="442"/>
      <c r="K18" s="442"/>
      <c r="L18" s="443"/>
      <c r="M18" s="54"/>
      <c r="N18" s="38"/>
      <c r="O18" s="38"/>
      <c r="P18" s="38"/>
      <c r="Q18" s="38"/>
      <c r="R18" s="38"/>
      <c r="S18" s="38"/>
      <c r="T18" s="38"/>
      <c r="U18" s="38"/>
      <c r="V18" s="38"/>
      <c r="W18" s="38"/>
      <c r="X18" s="38"/>
      <c r="Y18" s="38"/>
      <c r="Z18" s="38"/>
      <c r="AA18" s="38"/>
      <c r="AB18" s="38"/>
      <c r="AC18" s="38"/>
      <c r="AD18" s="38"/>
      <c r="AE18" s="38"/>
      <c r="AF18" s="38"/>
      <c r="AG18" s="38"/>
      <c r="AH18" s="38"/>
      <c r="AI18" s="219"/>
      <c r="AJ18" s="38"/>
      <c r="AK18" s="38"/>
      <c r="AL18" s="38"/>
      <c r="AM18" s="38"/>
      <c r="AN18" s="38"/>
      <c r="AO18" s="38"/>
      <c r="AP18" s="38"/>
      <c r="AQ18" s="38"/>
      <c r="AR18" s="38"/>
      <c r="AS18" s="38"/>
      <c r="AT18" s="38"/>
      <c r="AU18" s="38"/>
      <c r="AV18" s="38"/>
      <c r="AW18" s="38"/>
      <c r="AX18" s="219"/>
      <c r="AY18" s="219"/>
      <c r="AZ18" s="38"/>
      <c r="BA18" s="38"/>
      <c r="BB18" s="38"/>
      <c r="BC18" s="38"/>
      <c r="BD18" s="38"/>
      <c r="BE18" s="38"/>
      <c r="BF18" s="38"/>
      <c r="BG18" s="38"/>
      <c r="BH18" s="38"/>
      <c r="BI18" s="38"/>
    </row>
    <row r="19" spans="2:61" x14ac:dyDescent="0.45">
      <c r="B19" s="437"/>
      <c r="C19" s="442"/>
      <c r="D19" s="442"/>
      <c r="E19" s="442"/>
      <c r="F19" s="442"/>
      <c r="G19" s="442"/>
      <c r="H19" s="442"/>
      <c r="I19" s="442"/>
      <c r="J19" s="442"/>
      <c r="K19" s="442"/>
      <c r="L19" s="443"/>
      <c r="M19" s="54"/>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219"/>
      <c r="AY19" s="219"/>
      <c r="AZ19" s="38"/>
      <c r="BA19" s="38"/>
      <c r="BB19" s="38"/>
      <c r="BC19" s="38"/>
      <c r="BD19" s="38"/>
      <c r="BE19" s="38"/>
      <c r="BF19" s="38"/>
      <c r="BG19" s="38"/>
      <c r="BH19" s="38"/>
      <c r="BI19" s="38"/>
    </row>
    <row r="20" spans="2:61" x14ac:dyDescent="0.45">
      <c r="B20" s="437"/>
      <c r="C20" s="442"/>
      <c r="D20" s="442"/>
      <c r="E20" s="442"/>
      <c r="F20" s="442"/>
      <c r="G20" s="442"/>
      <c r="H20" s="442"/>
      <c r="I20" s="442"/>
      <c r="J20" s="442"/>
      <c r="K20" s="442"/>
      <c r="L20" s="443"/>
      <c r="M20" s="54"/>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row>
    <row r="21" spans="2:61" x14ac:dyDescent="0.45">
      <c r="B21" s="437"/>
      <c r="C21" s="442"/>
      <c r="D21" s="442"/>
      <c r="E21" s="442"/>
      <c r="F21" s="442"/>
      <c r="G21" s="442"/>
      <c r="H21" s="442"/>
      <c r="I21" s="442"/>
      <c r="J21" s="442"/>
      <c r="K21" s="442"/>
      <c r="L21" s="443"/>
      <c r="M21" s="54"/>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row>
    <row r="22" spans="2:61" x14ac:dyDescent="0.45">
      <c r="B22" s="437"/>
      <c r="C22" s="442"/>
      <c r="D22" s="442"/>
      <c r="E22" s="442"/>
      <c r="F22" s="442"/>
      <c r="G22" s="442"/>
      <c r="H22" s="442"/>
      <c r="I22" s="442"/>
      <c r="J22" s="442"/>
      <c r="K22" s="442"/>
      <c r="L22" s="443"/>
      <c r="M22" s="54"/>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row>
    <row r="23" spans="2:61" ht="14.65" thickBot="1" x14ac:dyDescent="0.5">
      <c r="B23" s="438"/>
      <c r="C23" s="444"/>
      <c r="D23" s="444"/>
      <c r="E23" s="444"/>
      <c r="F23" s="444"/>
      <c r="G23" s="444"/>
      <c r="H23" s="444"/>
      <c r="I23" s="444"/>
      <c r="J23" s="444"/>
      <c r="K23" s="444"/>
      <c r="L23" s="445"/>
      <c r="M23" s="54"/>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row>
    <row r="24" spans="2:61" ht="14.65" thickBot="1" x14ac:dyDescent="0.5">
      <c r="B24" s="54"/>
      <c r="C24" s="54"/>
      <c r="D24" s="54"/>
      <c r="E24" s="54"/>
      <c r="F24" s="54"/>
      <c r="G24" s="54"/>
      <c r="H24" s="54"/>
      <c r="M24" s="54"/>
      <c r="N24" s="38"/>
      <c r="O24" s="38"/>
      <c r="P24" s="38"/>
      <c r="Q24" s="38"/>
      <c r="R24" s="349"/>
      <c r="S24" s="349"/>
      <c r="T24" s="349"/>
      <c r="U24" s="349"/>
      <c r="V24" s="349"/>
      <c r="W24" s="349"/>
      <c r="X24" s="349"/>
      <c r="Y24" s="349"/>
      <c r="Z24" s="349"/>
      <c r="AA24" s="349"/>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row>
    <row r="25" spans="2:61" x14ac:dyDescent="0.45">
      <c r="B25" s="223"/>
      <c r="C25" s="224"/>
      <c r="D25" s="221" t="s">
        <v>382</v>
      </c>
      <c r="E25" s="221" t="s">
        <v>169</v>
      </c>
      <c r="F25" s="221" t="s">
        <v>391</v>
      </c>
      <c r="G25" s="225" t="s">
        <v>392</v>
      </c>
      <c r="H25" s="225" t="s">
        <v>393</v>
      </c>
      <c r="I25" s="225" t="s">
        <v>378</v>
      </c>
      <c r="J25" s="225" t="s">
        <v>394</v>
      </c>
      <c r="K25" s="226" t="s">
        <v>395</v>
      </c>
      <c r="M25" s="54"/>
      <c r="N25" s="38"/>
      <c r="O25" s="38"/>
      <c r="P25" s="38"/>
      <c r="Q25" s="38"/>
      <c r="R25" s="132"/>
      <c r="S25" s="132"/>
      <c r="T25" s="132"/>
      <c r="U25" s="132"/>
      <c r="V25" s="132"/>
      <c r="W25" s="132"/>
      <c r="X25" s="132"/>
      <c r="Y25" s="132"/>
      <c r="Z25" s="132"/>
      <c r="AA25" s="132"/>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row>
    <row r="26" spans="2:61" x14ac:dyDescent="0.45">
      <c r="B26" s="437"/>
      <c r="C26" s="442" t="s">
        <v>387</v>
      </c>
      <c r="D26" s="442"/>
      <c r="E26" s="442"/>
      <c r="F26" s="442"/>
      <c r="G26" s="442"/>
      <c r="H26" s="442"/>
      <c r="I26" s="442"/>
      <c r="J26" s="442"/>
      <c r="K26" s="443"/>
      <c r="M26" s="54"/>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row>
    <row r="27" spans="2:61" x14ac:dyDescent="0.45">
      <c r="B27" s="437"/>
      <c r="C27" s="442"/>
      <c r="D27" s="442"/>
      <c r="E27" s="442"/>
      <c r="F27" s="442"/>
      <c r="G27" s="442"/>
      <c r="H27" s="442"/>
      <c r="I27" s="442"/>
      <c r="J27" s="442"/>
      <c r="K27" s="443"/>
      <c r="M27" s="54"/>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row>
    <row r="28" spans="2:61" x14ac:dyDescent="0.45">
      <c r="B28" s="437"/>
      <c r="C28" s="442"/>
      <c r="D28" s="442"/>
      <c r="E28" s="442"/>
      <c r="F28" s="442"/>
      <c r="G28" s="442"/>
      <c r="H28" s="442"/>
      <c r="I28" s="442"/>
      <c r="J28" s="442"/>
      <c r="K28" s="443"/>
      <c r="M28" s="54"/>
      <c r="N28" s="38"/>
      <c r="O28" s="38"/>
      <c r="P28" s="38"/>
      <c r="Q28" s="38"/>
      <c r="R28" s="38"/>
      <c r="S28" s="38"/>
      <c r="T28" s="38"/>
      <c r="U28" s="38"/>
      <c r="V28" s="38"/>
      <c r="W28" s="38"/>
      <c r="X28" s="38"/>
      <c r="Y28" s="38"/>
      <c r="Z28" s="38"/>
      <c r="AA28" s="38"/>
      <c r="AB28" s="38"/>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row>
    <row r="29" spans="2:61" x14ac:dyDescent="0.45">
      <c r="B29" s="437"/>
      <c r="C29" s="442"/>
      <c r="D29" s="442"/>
      <c r="E29" s="442"/>
      <c r="F29" s="442"/>
      <c r="G29" s="442"/>
      <c r="H29" s="442"/>
      <c r="I29" s="442"/>
      <c r="J29" s="442"/>
      <c r="K29" s="443"/>
      <c r="M29" s="54"/>
      <c r="N29" s="38"/>
      <c r="O29" s="38"/>
      <c r="P29" s="38"/>
      <c r="Q29" s="38"/>
      <c r="R29" s="38"/>
      <c r="S29" s="38"/>
      <c r="T29" s="38"/>
      <c r="U29" s="133"/>
      <c r="V29" s="38"/>
      <c r="W29" s="38"/>
      <c r="X29" s="38"/>
      <c r="Y29" s="38"/>
      <c r="Z29" s="38"/>
      <c r="AA29" s="38"/>
      <c r="AB29" s="38"/>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row>
    <row r="30" spans="2:61" x14ac:dyDescent="0.45">
      <c r="B30" s="437"/>
      <c r="C30" s="442"/>
      <c r="D30" s="442"/>
      <c r="E30" s="442"/>
      <c r="F30" s="442"/>
      <c r="G30" s="442"/>
      <c r="H30" s="442"/>
      <c r="I30" s="442"/>
      <c r="J30" s="442"/>
      <c r="K30" s="443"/>
      <c r="M30" s="54"/>
      <c r="N30" s="38"/>
      <c r="O30" s="38"/>
      <c r="P30" s="38"/>
      <c r="Q30" s="38"/>
      <c r="R30" s="38"/>
      <c r="S30" s="38"/>
      <c r="T30" s="38"/>
      <c r="U30" s="38"/>
      <c r="V30" s="38"/>
      <c r="W30" s="38"/>
      <c r="X30" s="38"/>
      <c r="Y30" s="38"/>
      <c r="Z30" s="38"/>
      <c r="AA30" s="38"/>
      <c r="AB30" s="38"/>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row>
    <row r="31" spans="2:61" x14ac:dyDescent="0.45">
      <c r="B31" s="437"/>
      <c r="C31" s="442"/>
      <c r="D31" s="442"/>
      <c r="E31" s="442"/>
      <c r="F31" s="442"/>
      <c r="G31" s="442"/>
      <c r="H31" s="442"/>
      <c r="I31" s="442"/>
      <c r="J31" s="442"/>
      <c r="K31" s="443"/>
      <c r="M31" s="54"/>
      <c r="N31" s="38"/>
      <c r="O31" s="38"/>
      <c r="P31" s="38"/>
      <c r="Q31" s="38"/>
      <c r="R31" s="38"/>
      <c r="S31" s="38"/>
      <c r="T31" s="38"/>
      <c r="U31" s="38"/>
      <c r="V31" s="38"/>
      <c r="W31" s="38"/>
      <c r="X31" s="38"/>
      <c r="Y31" s="38"/>
      <c r="Z31" s="38"/>
      <c r="AA31" s="38"/>
      <c r="AB31" s="38"/>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row>
    <row r="32" spans="2:61" x14ac:dyDescent="0.45">
      <c r="B32" s="437"/>
      <c r="C32" s="442"/>
      <c r="D32" s="442"/>
      <c r="E32" s="442"/>
      <c r="F32" s="442"/>
      <c r="G32" s="442"/>
      <c r="H32" s="442"/>
      <c r="I32" s="442"/>
      <c r="J32" s="442"/>
      <c r="K32" s="443"/>
      <c r="M32" s="54"/>
      <c r="N32" s="38"/>
      <c r="O32" s="38"/>
      <c r="P32" s="38"/>
      <c r="Q32" s="38"/>
      <c r="R32" s="38"/>
      <c r="S32" s="38"/>
      <c r="T32" s="38"/>
      <c r="U32" s="38"/>
      <c r="V32" s="38"/>
      <c r="W32" s="38"/>
      <c r="X32" s="38"/>
      <c r="Y32" s="38"/>
      <c r="Z32" s="38"/>
      <c r="AA32" s="38"/>
      <c r="AB32" s="38"/>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row>
    <row r="33" spans="2:28" x14ac:dyDescent="0.45">
      <c r="B33" s="437"/>
      <c r="C33" s="442"/>
      <c r="D33" s="442"/>
      <c r="E33" s="442"/>
      <c r="F33" s="442"/>
      <c r="G33" s="442"/>
      <c r="H33" s="442"/>
      <c r="I33" s="442"/>
      <c r="J33" s="442"/>
      <c r="K33" s="443"/>
      <c r="M33" s="54"/>
      <c r="N33" s="38"/>
      <c r="O33" s="38"/>
      <c r="P33" s="38"/>
      <c r="Q33" s="38"/>
      <c r="R33" s="38"/>
      <c r="S33" s="38"/>
      <c r="T33" s="38"/>
      <c r="U33" s="38"/>
      <c r="V33" s="38"/>
      <c r="W33" s="38"/>
      <c r="X33" s="38"/>
      <c r="Y33" s="38"/>
      <c r="Z33" s="38"/>
      <c r="AA33" s="38"/>
      <c r="AB33" s="38"/>
    </row>
    <row r="34" spans="2:28" x14ac:dyDescent="0.45">
      <c r="B34" s="437"/>
      <c r="C34" s="442"/>
      <c r="D34" s="442"/>
      <c r="E34" s="442"/>
      <c r="F34" s="442"/>
      <c r="G34" s="442"/>
      <c r="H34" s="442"/>
      <c r="I34" s="442"/>
      <c r="J34" s="442"/>
      <c r="K34" s="443"/>
      <c r="M34" s="54"/>
      <c r="N34" s="38"/>
      <c r="O34" s="38"/>
      <c r="P34" s="38"/>
      <c r="Q34" s="38"/>
      <c r="R34" s="38"/>
      <c r="S34" s="38"/>
      <c r="T34" s="38"/>
      <c r="U34" s="38"/>
      <c r="V34" s="38"/>
      <c r="W34" s="38"/>
      <c r="X34" s="38"/>
      <c r="Y34" s="38"/>
      <c r="Z34" s="38"/>
      <c r="AA34" s="38"/>
      <c r="AB34" s="38"/>
    </row>
    <row r="35" spans="2:28" ht="14.65" thickBot="1" x14ac:dyDescent="0.5">
      <c r="B35" s="438"/>
      <c r="C35" s="444"/>
      <c r="D35" s="444"/>
      <c r="E35" s="444"/>
      <c r="F35" s="444"/>
      <c r="G35" s="444"/>
      <c r="H35" s="444"/>
      <c r="I35" s="444"/>
      <c r="J35" s="444"/>
      <c r="K35" s="445"/>
      <c r="M35" s="54"/>
      <c r="N35" s="54"/>
      <c r="O35" s="54"/>
      <c r="P35" s="54"/>
      <c r="Q35" s="54"/>
      <c r="R35" s="54"/>
      <c r="S35" s="54"/>
      <c r="T35" s="54"/>
      <c r="U35" s="54"/>
      <c r="V35" s="54"/>
      <c r="W35" s="54"/>
      <c r="X35" s="54"/>
      <c r="Y35" s="54"/>
      <c r="Z35" s="54"/>
      <c r="AA35" s="54"/>
      <c r="AB35" s="54"/>
    </row>
    <row r="37" spans="2:28" x14ac:dyDescent="0.45">
      <c r="B37" s="54" t="s">
        <v>181</v>
      </c>
      <c r="C37" s="54"/>
      <c r="D37" s="54"/>
      <c r="E37" s="54"/>
      <c r="F37" s="54"/>
      <c r="G37" s="54"/>
      <c r="H37" s="54"/>
      <c r="M37" s="54"/>
      <c r="N37" s="54"/>
      <c r="O37" s="54"/>
      <c r="P37" s="54"/>
      <c r="Q37" s="54"/>
      <c r="R37" s="54"/>
      <c r="S37" s="54"/>
      <c r="T37" s="54"/>
      <c r="U37" s="54"/>
      <c r="V37" s="54"/>
      <c r="W37" s="54"/>
      <c r="X37" s="54"/>
      <c r="Y37" s="54"/>
      <c r="Z37" s="54"/>
      <c r="AA37" s="54"/>
      <c r="AB37" s="54"/>
    </row>
  </sheetData>
  <mergeCells count="10">
    <mergeCell ref="B6:B13"/>
    <mergeCell ref="B16:B23"/>
    <mergeCell ref="B26:B35"/>
    <mergeCell ref="N3:R3"/>
    <mergeCell ref="W24:AA24"/>
    <mergeCell ref="C6:G13"/>
    <mergeCell ref="C16:L23"/>
    <mergeCell ref="C26:K35"/>
    <mergeCell ref="R9:S9"/>
    <mergeCell ref="R24:V2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E9E4F06B100964BAD9FA16659C9817B" ma:contentTypeVersion="4" ma:contentTypeDescription="Create a new document." ma:contentTypeScope="" ma:versionID="a93a04fd6f6aa5781bb0dab4940a7a01">
  <xsd:schema xmlns:xsd="http://www.w3.org/2001/XMLSchema" xmlns:xs="http://www.w3.org/2001/XMLSchema" xmlns:p="http://schemas.microsoft.com/office/2006/metadata/properties" xmlns:ns2="d2eaed21-1ee8-4128-8207-2d29c5f8c7b7" targetNamespace="http://schemas.microsoft.com/office/2006/metadata/properties" ma:root="true" ma:fieldsID="e179c2bd9464ff6fcde07d0749f0e7b3" ns2:_="">
    <xsd:import namespace="d2eaed21-1ee8-4128-8207-2d29c5f8c7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aed21-1ee8-4128-8207-2d29c5f8c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AFCA26-5D03-4EC3-8B7B-DA1A11909807}">
  <ds:schemaRefs>
    <ds:schemaRef ds:uri="http://schemas.microsoft.com/office/2006/metadata/properties"/>
    <ds:schemaRef ds:uri="http://purl.org/dc/dcmitype/"/>
    <ds:schemaRef ds:uri="d2eaed21-1ee8-4128-8207-2d29c5f8c7b7"/>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081E4EAC-0287-48F5-B4BD-B7B877E5FF56}">
  <ds:schemaRefs>
    <ds:schemaRef ds:uri="http://schemas.microsoft.com/sharepoint/v3/contenttype/forms"/>
  </ds:schemaRefs>
</ds:datastoreItem>
</file>

<file path=customXml/itemProps3.xml><?xml version="1.0" encoding="utf-8"?>
<ds:datastoreItem xmlns:ds="http://schemas.openxmlformats.org/officeDocument/2006/customXml" ds:itemID="{FE0E1759-1D52-4036-999D-1D32254D7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aed21-1ee8-4128-8207-2d29c5f8c7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 NOT USE Carbon m3</vt:lpstr>
      <vt:lpstr>DO NOT USE Carbon</vt:lpstr>
      <vt:lpstr>Calculation Factors m3</vt:lpstr>
      <vt:lpstr>Disclaimers &amp; Credits</vt:lpstr>
      <vt:lpstr>Intro + Documentation</vt:lpstr>
      <vt:lpstr>Scenario 1 - Calc Sheet</vt:lpstr>
      <vt:lpstr>EPD Reference Library</vt:lpstr>
      <vt:lpstr>Sorting Tables</vt:lpstr>
      <vt:lpstr>Calculation Factors m3 trans</vt:lpstr>
      <vt:lpstr>Scope Diagram</vt:lpstr>
      <vt:lpstr>EOL Factors</vt:lpstr>
      <vt:lpstr>Tally C-D kg factors</vt:lpstr>
      <vt:lpstr>transportation factors</vt:lpstr>
      <vt:lpstr>A0 Factors</vt:lpstr>
    </vt:vector>
  </TitlesOfParts>
  <Manager/>
  <Company>ZGF Architects LLP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Dunn, Jacob</dc:creator>
  <cp:keywords/>
  <dc:description/>
  <cp:lastModifiedBy>Dunn, Jacob</cp:lastModifiedBy>
  <cp:revision/>
  <dcterms:created xsi:type="dcterms:W3CDTF">2020-11-09T19:06:14Z</dcterms:created>
  <dcterms:modified xsi:type="dcterms:W3CDTF">2021-08-09T20:51:47Z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0x010100AE9E4F06B100964BAD9FA16659C9817B</vt:lpwstr>
  </property>
</Properties>
</file>