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6815" windowHeight="7650"/>
  </bookViews>
  <sheets>
    <sheet name="Default" sheetId="26" r:id="rId1"/>
  </sheets>
  <definedNames>
    <definedName name="solver_adj" localSheetId="0" hidden="1">Default!$D$15:$D$16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Default!$D$15</definedName>
    <definedName name="solver_lhs2" localSheetId="0" hidden="1">Default!$D$16</definedName>
    <definedName name="solver_lhs3" localSheetId="0" hidden="1">Default!$D$16</definedName>
    <definedName name="solver_lhs4" localSheetId="0" hidden="1">Default!$D$16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Default!$P$11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26</definedName>
    <definedName name="solver_rhs2" localSheetId="0" hidden="1">1000</definedName>
    <definedName name="solver_rhs3" localSheetId="0" hidden="1">100</definedName>
    <definedName name="solver_rhs4" localSheetId="0" hidden="1">Default!$F$23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6" l="1"/>
  <c r="D32" i="26" s="1"/>
  <c r="E32" i="26" s="1"/>
  <c r="D5" i="26" s="1"/>
  <c r="D13" i="26"/>
  <c r="H7" i="26" s="1"/>
  <c r="O9" i="26"/>
  <c r="J8" i="26"/>
  <c r="D8" i="26"/>
  <c r="Q7" i="26"/>
  <c r="J7" i="26"/>
  <c r="Q6" i="26"/>
  <c r="J6" i="26"/>
  <c r="Q5" i="26"/>
  <c r="J5" i="26"/>
  <c r="H5" i="26"/>
  <c r="J4" i="26"/>
  <c r="H4" i="26"/>
  <c r="F4" i="26"/>
  <c r="L4" i="26" s="1"/>
  <c r="D4" i="26"/>
  <c r="D2" i="26"/>
  <c r="H6" i="26" l="1"/>
  <c r="Q8" i="26"/>
  <c r="Q4" i="26"/>
  <c r="D3" i="26"/>
  <c r="L5" i="26"/>
  <c r="L6" i="26"/>
  <c r="L7" i="26"/>
  <c r="H3" i="26"/>
  <c r="L8" i="26"/>
  <c r="Q9" i="26" l="1"/>
  <c r="H2" i="26"/>
  <c r="H8" i="26" s="1"/>
  <c r="K4" i="26" l="1"/>
  <c r="M4" i="26" s="1"/>
  <c r="N4" i="26" s="1"/>
  <c r="P4" i="26" s="1"/>
  <c r="K8" i="26"/>
  <c r="M8" i="26" s="1"/>
  <c r="N8" i="26" s="1"/>
  <c r="K7" i="26"/>
  <c r="M7" i="26" s="1"/>
  <c r="N7" i="26" s="1"/>
  <c r="P7" i="26" s="1"/>
  <c r="K6" i="26"/>
  <c r="M6" i="26" s="1"/>
  <c r="N6" i="26" s="1"/>
  <c r="P6" i="26" s="1"/>
  <c r="K5" i="26"/>
  <c r="M5" i="26" s="1"/>
  <c r="N5" i="26" s="1"/>
  <c r="P5" i="26" s="1"/>
  <c r="P8" i="26" l="1"/>
  <c r="P9" i="26"/>
  <c r="Q10" i="26" l="1"/>
  <c r="Q11" i="26" s="1"/>
  <c r="P10" i="26"/>
  <c r="P11" i="26" s="1"/>
</calcChain>
</file>

<file path=xl/sharedStrings.xml><?xml version="1.0" encoding="utf-8"?>
<sst xmlns="http://schemas.openxmlformats.org/spreadsheetml/2006/main" count="64" uniqueCount="61">
  <si>
    <t>wd</t>
  </si>
  <si>
    <t>wv</t>
  </si>
  <si>
    <t>rd</t>
  </si>
  <si>
    <t>RMSE</t>
  </si>
  <si>
    <t>rv</t>
  </si>
  <si>
    <t>Mass of single ball</t>
  </si>
  <si>
    <t>m (kg)</t>
  </si>
  <si>
    <t xml:space="preserve">Number of balls </t>
  </si>
  <si>
    <t>Nb</t>
  </si>
  <si>
    <t>K</t>
  </si>
  <si>
    <t>fs/fv</t>
  </si>
  <si>
    <t>Din (m)</t>
  </si>
  <si>
    <t>Burger vector</t>
  </si>
  <si>
    <t>b (m)</t>
  </si>
  <si>
    <t>Mass of powder material</t>
  </si>
  <si>
    <t>M (kg)</t>
  </si>
  <si>
    <t>Density of powder</t>
  </si>
  <si>
    <t>d kg/m3</t>
  </si>
  <si>
    <t xml:space="preserve">Shear Modulus </t>
  </si>
  <si>
    <t>G,Kj/m3</t>
  </si>
  <si>
    <t>poisson ratio</t>
  </si>
  <si>
    <t>v</t>
  </si>
  <si>
    <t>Material constant</t>
  </si>
  <si>
    <t>C</t>
  </si>
  <si>
    <t xml:space="preserve">Constant of proprotionality </t>
  </si>
  <si>
    <t>A (kJ-m/kg)</t>
  </si>
  <si>
    <t>B  (kJ-m/kg)</t>
  </si>
  <si>
    <t>Milling time, h</t>
  </si>
  <si>
    <t>Milling time t sec</t>
  </si>
  <si>
    <t>Milling speed</t>
  </si>
  <si>
    <t>Initial size</t>
  </si>
  <si>
    <t>Mill radius</t>
  </si>
  <si>
    <t>β</t>
  </si>
  <si>
    <t>Milling energy</t>
  </si>
  <si>
    <r>
      <t>E</t>
    </r>
    <r>
      <rPr>
        <vertAlign val="subscript"/>
        <sz val="10"/>
        <color theme="1"/>
        <rFont val="Calibri"/>
        <family val="2"/>
        <scheme val="minor"/>
      </rPr>
      <t xml:space="preserve">mill  </t>
    </r>
    <r>
      <rPr>
        <sz val="10"/>
        <color theme="1"/>
        <rFont val="Calibri"/>
        <family val="2"/>
        <scheme val="minor"/>
      </rPr>
      <t>(kJ)</t>
    </r>
  </si>
  <si>
    <t>maximum microstrain</t>
  </si>
  <si>
    <r>
      <rPr>
        <sz val="10"/>
        <color theme="1"/>
        <rFont val="Calibri"/>
        <family val="2"/>
      </rPr>
      <t>ε</t>
    </r>
    <r>
      <rPr>
        <vertAlign val="subscript"/>
        <sz val="10"/>
        <color theme="1"/>
        <rFont val="Calibri"/>
        <family val="2"/>
      </rPr>
      <t>max</t>
    </r>
  </si>
  <si>
    <t>ε(t)</t>
  </si>
  <si>
    <t>microstrain</t>
  </si>
  <si>
    <t>D(t) nm</t>
  </si>
  <si>
    <r>
      <t xml:space="preserve">Cos </t>
    </r>
    <r>
      <rPr>
        <sz val="10"/>
        <color theme="1"/>
        <rFont val="Calibri"/>
        <family val="2"/>
      </rPr>
      <t>ф</t>
    </r>
  </si>
  <si>
    <t>NSE</t>
  </si>
  <si>
    <t>(S-O)^2</t>
  </si>
  <si>
    <t>Constant</t>
  </si>
  <si>
    <r>
      <t>Impact frequency, v</t>
    </r>
    <r>
      <rPr>
        <vertAlign val="subscript"/>
        <sz val="10"/>
        <color theme="1"/>
        <rFont val="Calibri"/>
        <family val="2"/>
        <scheme val="minor"/>
      </rPr>
      <t xml:space="preserve">t </t>
    </r>
    <r>
      <rPr>
        <sz val="10"/>
        <color theme="1"/>
        <rFont val="Calibri"/>
        <family val="2"/>
        <scheme val="minor"/>
      </rPr>
      <t>(1/sec)</t>
    </r>
  </si>
  <si>
    <t>D(t) m</t>
  </si>
  <si>
    <t>Microstrain constant, c</t>
  </si>
  <si>
    <t>Interatomic bond and binding energy (qu) kJ</t>
  </si>
  <si>
    <r>
      <t>Avogardo's number N</t>
    </r>
    <r>
      <rPr>
        <vertAlign val="subscript"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>(1/mol)</t>
    </r>
  </si>
  <si>
    <t>Surface area of a face of a unit cell, sf (m2)</t>
  </si>
  <si>
    <r>
      <t>Velocity V</t>
    </r>
    <r>
      <rPr>
        <vertAlign val="super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m/s</t>
    </r>
  </si>
  <si>
    <t>Atomization energy</t>
  </si>
  <si>
    <r>
      <t>E</t>
    </r>
    <r>
      <rPr>
        <vertAlign val="subscript"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>, kJ/mol</t>
    </r>
  </si>
  <si>
    <t>Sample 1</t>
  </si>
  <si>
    <t>(S-A)^2</t>
  </si>
  <si>
    <t>Values</t>
  </si>
  <si>
    <t>Units</t>
  </si>
  <si>
    <t>Input Parameters</t>
  </si>
  <si>
    <t>Primary equations</t>
  </si>
  <si>
    <t>Simulated Particle size</t>
  </si>
  <si>
    <t>Observed Particle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</si>
</sst>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0"/>
    <numFmt numFmtId="166" formatCode="0.E+00"/>
    <numFmt numFmtId="167" formatCode="0.000"/>
    <numFmt numFmtId="168" formatCode="0.00000.E+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/>
    <xf numFmtId="165" fontId="0" fillId="0" borderId="0" xfId="0" applyNumberFormat="1" applyFill="1" applyBorder="1" applyAlignment="1">
      <alignment horizontal="center"/>
    </xf>
    <xf numFmtId="49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1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wrapText="1"/>
    </xf>
    <xf numFmtId="168" fontId="1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ill="1" applyBorder="1"/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1" fontId="1" fillId="0" borderId="0" xfId="0" applyNumberFormat="1" applyFont="1"/>
    <xf numFmtId="11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/>
    </xf>
    <xf numFmtId="164" fontId="0" fillId="0" borderId="0" xfId="0" applyNumberFormat="1" applyFill="1" applyBorder="1"/>
    <xf numFmtId="167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</a:t>
            </a:r>
          </a:p>
        </c:rich>
      </c:tx>
      <c:layout>
        <c:manualLayout>
          <c:xMode val="edge"/>
          <c:yMode val="edge"/>
          <c:x val="0.95335992719787421"/>
          <c:y val="1.7837235228539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02537182852144"/>
          <c:y val="5.0925925925925923E-2"/>
          <c:w val="0.82875240594925637"/>
          <c:h val="0.74966025080198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Default!$N$2</c:f>
              <c:strCache>
                <c:ptCount val="1"/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Default!$I$4:$I$8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Default!$N$4:$N$8</c:f>
              <c:numCache>
                <c:formatCode>0.000</c:formatCode>
                <c:ptCount val="5"/>
                <c:pt idx="0">
                  <c:v>5000</c:v>
                </c:pt>
                <c:pt idx="1">
                  <c:v>775.45177334721939</c:v>
                </c:pt>
                <c:pt idx="2">
                  <c:v>426.9272781514843</c:v>
                </c:pt>
                <c:pt idx="3">
                  <c:v>282.63790099735979</c:v>
                </c:pt>
                <c:pt idx="4">
                  <c:v>229.31037713727036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5-443B-9533-F4B28568D8C3}"/>
            </c:ext>
          </c:extLst>
        </c:ser>
        <c:ser>
          <c:idx val="1"/>
          <c:order val="1"/>
          <c:tx>
            <c:strRef>
              <c:f>Default!$O$2</c:f>
              <c:strCache>
                <c:ptCount val="1"/>
                <c:pt idx="0">
                  <c:v>Observed Particle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8000"/>
              </a:solidFill>
              <a:ln w="9525">
                <a:solidFill>
                  <a:srgbClr val="006600"/>
                </a:solidFill>
              </a:ln>
              <a:effectLst/>
            </c:spPr>
          </c:marker>
          <c:xVal>
            <c:numRef>
              <c:f>Default!$I$4:$I$8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Default!$O$4:$O$8</c:f>
              <c:numCache>
                <c:formatCode>0.00</c:formatCode>
                <c:ptCount val="5"/>
                <c:pt idx="0" formatCode="0.000">
                  <c:v>5000</c:v>
                </c:pt>
                <c:pt idx="1">
                  <c:v>788</c:v>
                </c:pt>
                <c:pt idx="2">
                  <c:v>407</c:v>
                </c:pt>
                <c:pt idx="3">
                  <c:v>281.5</c:v>
                </c:pt>
                <c:pt idx="4" formatCode="0.000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5-443B-9533-F4B28568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45696"/>
        <c:axId val="516747360"/>
      </c:scatterChart>
      <c:valAx>
        <c:axId val="51674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Milling time 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747360"/>
        <c:crosses val="autoZero"/>
        <c:crossBetween val="midCat"/>
      </c:valAx>
      <c:valAx>
        <c:axId val="51674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Particle size,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74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18022747156602"/>
          <c:y val="8.7441956876308083E-2"/>
          <c:w val="0.38137926836896324"/>
          <c:h val="0.17051870188467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648293963254"/>
          <c:y val="0.17246147796612155"/>
          <c:w val="0.8323079615048119"/>
          <c:h val="0.631324566304469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41754155730534"/>
                  <c:y val="-5.0682936366425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Default!$N$5:$N$8</c:f>
              <c:numCache>
                <c:formatCode>0.000</c:formatCode>
                <c:ptCount val="4"/>
                <c:pt idx="0">
                  <c:v>775.45177334721939</c:v>
                </c:pt>
                <c:pt idx="1">
                  <c:v>426.9272781514843</c:v>
                </c:pt>
                <c:pt idx="2">
                  <c:v>282.63790099735979</c:v>
                </c:pt>
                <c:pt idx="3">
                  <c:v>229.31037713727036</c:v>
                </c:pt>
              </c:numCache>
            </c:numRef>
          </c:xVal>
          <c:yVal>
            <c:numRef>
              <c:f>Default!$O$5:$O$8</c:f>
              <c:numCache>
                <c:formatCode>0.00</c:formatCode>
                <c:ptCount val="4"/>
                <c:pt idx="0">
                  <c:v>788</c:v>
                </c:pt>
                <c:pt idx="1">
                  <c:v>407</c:v>
                </c:pt>
                <c:pt idx="2">
                  <c:v>281.5</c:v>
                </c:pt>
                <c:pt idx="3" formatCode="0.000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5-455A-B2D7-6014FD03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53952"/>
        <c:axId val="1335551040"/>
      </c:scatterChart>
      <c:valAx>
        <c:axId val="133555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Simulated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5551040"/>
        <c:crosses val="autoZero"/>
        <c:crossBetween val="midCat"/>
      </c:valAx>
      <c:valAx>
        <c:axId val="1335551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Observed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55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11910</xdr:colOff>
      <xdr:row>2</xdr:row>
      <xdr:rowOff>178593</xdr:rowOff>
    </xdr:from>
    <xdr:to>
      <xdr:col>25</xdr:col>
      <xdr:colOff>59534</xdr:colOff>
      <xdr:row>15</xdr:row>
      <xdr:rowOff>14288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11906</xdr:colOff>
      <xdr:row>16</xdr:row>
      <xdr:rowOff>21430</xdr:rowOff>
    </xdr:from>
    <xdr:to>
      <xdr:col>25</xdr:col>
      <xdr:colOff>297656</xdr:colOff>
      <xdr:row>31</xdr:row>
      <xdr:rowOff>14287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0" zoomScaleNormal="80" workbookViewId="0">
      <selection activeCell="Q25" sqref="Q25"/>
    </sheetView>
  </sheetViews>
  <sheetFormatPr defaultRowHeight="12.75" x14ac:dyDescent="0.2"/>
  <cols>
    <col min="1" max="1" width="9.140625" style="12"/>
    <col min="2" max="2" width="25.140625" style="14" customWidth="1"/>
    <col min="3" max="3" width="9.140625" style="28"/>
    <col min="4" max="4" width="16.28515625" style="2" customWidth="1"/>
    <col min="5" max="5" width="26.28515625" style="2" bestFit="1" customWidth="1"/>
    <col min="6" max="6" width="12.7109375" style="12" bestFit="1" customWidth="1"/>
    <col min="7" max="7" width="38.7109375" style="12" bestFit="1" customWidth="1"/>
    <col min="8" max="8" width="9.85546875" style="12" customWidth="1"/>
    <col min="9" max="9" width="9.140625" style="12"/>
    <col min="10" max="10" width="12" style="12" bestFit="1" customWidth="1"/>
    <col min="11" max="13" width="10" style="12" customWidth="1"/>
    <col min="14" max="15" width="10.28515625" style="12" bestFit="1" customWidth="1"/>
    <col min="16" max="16" width="15.85546875" style="12" bestFit="1" customWidth="1"/>
    <col min="17" max="17" width="17" style="12" bestFit="1" customWidth="1"/>
    <col min="18" max="19" width="9.140625" style="12"/>
    <col min="20" max="20" width="12.5703125" style="12" customWidth="1"/>
    <col min="21" max="21" width="12.85546875" style="12" customWidth="1"/>
    <col min="22" max="22" width="11.5703125" style="12" bestFit="1" customWidth="1"/>
    <col min="23" max="16384" width="9.140625" style="12"/>
  </cols>
  <sheetData>
    <row r="1" spans="1:23" x14ac:dyDescent="0.2">
      <c r="A1" s="12" t="s">
        <v>53</v>
      </c>
      <c r="B1" s="14" t="s">
        <v>57</v>
      </c>
      <c r="C1" s="28" t="s">
        <v>56</v>
      </c>
      <c r="D1" s="2" t="s">
        <v>55</v>
      </c>
      <c r="E1" s="2" t="s">
        <v>43</v>
      </c>
      <c r="F1" s="2" t="s">
        <v>55</v>
      </c>
      <c r="G1" s="12" t="s">
        <v>58</v>
      </c>
      <c r="H1" s="2" t="s">
        <v>55</v>
      </c>
    </row>
    <row r="2" spans="1:23" ht="12.75" customHeight="1" x14ac:dyDescent="0.2">
      <c r="B2" s="38" t="s">
        <v>29</v>
      </c>
      <c r="C2" s="27" t="s">
        <v>0</v>
      </c>
      <c r="D2" s="4">
        <f>500*PI()/30</f>
        <v>52.359877559829883</v>
      </c>
      <c r="E2" s="27" t="s">
        <v>9</v>
      </c>
      <c r="F2" s="11">
        <v>1.5</v>
      </c>
      <c r="G2" s="27" t="s">
        <v>40</v>
      </c>
      <c r="H2" s="11">
        <f>(D5*(D2-D3)^2)/(D4*(D2^2))</f>
        <v>4.7319857607585334</v>
      </c>
      <c r="I2" s="39" t="s">
        <v>27</v>
      </c>
      <c r="J2" s="39" t="s">
        <v>28</v>
      </c>
      <c r="K2" s="18" t="s">
        <v>33</v>
      </c>
      <c r="L2" s="12" t="s">
        <v>38</v>
      </c>
      <c r="M2" s="40" t="s">
        <v>59</v>
      </c>
      <c r="N2" s="40"/>
      <c r="O2" s="12" t="s">
        <v>60</v>
      </c>
      <c r="P2" s="3"/>
    </row>
    <row r="3" spans="1:23" ht="15" customHeight="1" x14ac:dyDescent="0.25">
      <c r="B3" s="38"/>
      <c r="C3" s="27" t="s">
        <v>1</v>
      </c>
      <c r="D3" s="4">
        <f>-2*D2</f>
        <v>-104.71975511965977</v>
      </c>
      <c r="E3" s="27" t="s">
        <v>10</v>
      </c>
      <c r="F3" s="2">
        <v>6</v>
      </c>
      <c r="G3" s="2" t="s">
        <v>44</v>
      </c>
      <c r="H3" s="32">
        <f>D7*F2*(D2-D3)/(2*PI())</f>
        <v>42562.5</v>
      </c>
      <c r="I3" s="39"/>
      <c r="J3" s="39"/>
      <c r="K3" s="5" t="s">
        <v>34</v>
      </c>
      <c r="L3" s="20" t="s">
        <v>37</v>
      </c>
      <c r="M3" s="12" t="s">
        <v>45</v>
      </c>
      <c r="N3" s="12" t="s">
        <v>39</v>
      </c>
      <c r="O3" s="12" t="s">
        <v>39</v>
      </c>
      <c r="P3" s="12" t="s">
        <v>42</v>
      </c>
      <c r="Q3" s="12" t="s">
        <v>54</v>
      </c>
    </row>
    <row r="4" spans="1:23" ht="15" x14ac:dyDescent="0.25">
      <c r="B4" s="38" t="s">
        <v>31</v>
      </c>
      <c r="C4" s="27" t="s">
        <v>2</v>
      </c>
      <c r="D4" s="4">
        <f>141/(2*1000)</f>
        <v>7.0499999999999993E-2</v>
      </c>
      <c r="E4" s="28" t="s">
        <v>46</v>
      </c>
      <c r="F4" s="9">
        <f>-0.000192</f>
        <v>-1.92E-4</v>
      </c>
      <c r="G4" s="12" t="s">
        <v>47</v>
      </c>
      <c r="H4" s="30">
        <f>D9/(6*F5)</f>
        <v>1.5193932111419047E-21</v>
      </c>
      <c r="I4" s="8">
        <v>0</v>
      </c>
      <c r="J4" s="6">
        <f t="shared" ref="J4:J8" si="0">I4*3600</f>
        <v>0</v>
      </c>
      <c r="K4" s="2">
        <f t="shared" ref="K4:K8" si="1">(0.5*$D$6*$H$8*$H$3*J4)/1000</f>
        <v>0</v>
      </c>
      <c r="L4" s="2">
        <f t="shared" ref="L4:L8" si="2">$D$17*(1-EXP($F$4*J4))</f>
        <v>0</v>
      </c>
      <c r="M4" s="7">
        <f t="shared" ref="M4:M8" si="3">($D$10*($H$6+($H$7*(LN($D$8/(2*$D$11))*L4))))/(K4+(($D$10*($H$6+($H$7*(LN($D$8/(2*$D$11))*L4)))))/$D$8)</f>
        <v>4.9999999999999996E-6</v>
      </c>
      <c r="N4" s="22">
        <f>M4*10^9</f>
        <v>5000</v>
      </c>
      <c r="O4" s="22">
        <v>5000</v>
      </c>
      <c r="P4" s="22">
        <f>(N4-O4)^2</f>
        <v>0</v>
      </c>
      <c r="Q4" s="24">
        <f>(O4-$O$9)^2</f>
        <v>13569645.689999999</v>
      </c>
    </row>
    <row r="5" spans="1:23" ht="15" x14ac:dyDescent="0.25">
      <c r="B5" s="38"/>
      <c r="C5" s="27" t="s">
        <v>4</v>
      </c>
      <c r="D5" s="4">
        <f>E32</f>
        <v>3.7067221792608504E-2</v>
      </c>
      <c r="E5" s="12" t="s">
        <v>48</v>
      </c>
      <c r="F5" s="12">
        <v>6.0221409000000001E+23</v>
      </c>
      <c r="G5" s="12" t="s">
        <v>49</v>
      </c>
      <c r="H5" s="30">
        <f>D11^2</f>
        <v>1.2138256E-19</v>
      </c>
      <c r="I5" s="12">
        <v>2</v>
      </c>
      <c r="J5" s="6">
        <f t="shared" si="0"/>
        <v>7200</v>
      </c>
      <c r="K5" s="2">
        <f>(0.5*$D$6*$H$8*$H$3*J5)/1000</f>
        <v>3345.1374511806857</v>
      </c>
      <c r="L5" s="2">
        <f t="shared" si="2"/>
        <v>6.2918058966054055E-3</v>
      </c>
      <c r="M5" s="7">
        <f t="shared" si="3"/>
        <v>7.7545177334721934E-7</v>
      </c>
      <c r="N5" s="22">
        <f t="shared" ref="N5:N7" si="4">M5*10^9</f>
        <v>775.45177334721939</v>
      </c>
      <c r="O5" s="23">
        <v>788</v>
      </c>
      <c r="P5" s="22">
        <f t="shared" ref="P5:P7" si="5">(N5-O5)^2</f>
        <v>157.45799212955376</v>
      </c>
      <c r="Q5" s="24">
        <f t="shared" ref="Q5:Q8" si="6">(O5-$O$9)^2</f>
        <v>279100.88999999996</v>
      </c>
    </row>
    <row r="6" spans="1:23" ht="15" x14ac:dyDescent="0.25">
      <c r="B6" s="27" t="s">
        <v>5</v>
      </c>
      <c r="C6" s="27" t="s">
        <v>6</v>
      </c>
      <c r="D6" s="2">
        <v>8.7000000000000001E-5</v>
      </c>
      <c r="E6" s="4"/>
      <c r="G6" s="12" t="s">
        <v>25</v>
      </c>
      <c r="H6" s="32">
        <f>(F3*H4)/(H5*D12)</f>
        <v>2.2486334793819202E-2</v>
      </c>
      <c r="I6" s="12">
        <v>5</v>
      </c>
      <c r="J6" s="6">
        <f t="shared" si="0"/>
        <v>18000</v>
      </c>
      <c r="K6" s="2">
        <f t="shared" si="1"/>
        <v>8362.8436279517136</v>
      </c>
      <c r="L6" s="2">
        <f t="shared" si="2"/>
        <v>8.1349318441429602E-3</v>
      </c>
      <c r="M6" s="7">
        <f t="shared" si="3"/>
        <v>4.2692727815148432E-7</v>
      </c>
      <c r="N6" s="22">
        <f t="shared" si="4"/>
        <v>426.9272781514843</v>
      </c>
      <c r="O6" s="23">
        <v>407</v>
      </c>
      <c r="P6" s="22">
        <f t="shared" si="5"/>
        <v>397.09641452662362</v>
      </c>
      <c r="Q6" s="24">
        <f t="shared" si="6"/>
        <v>826826.48999999987</v>
      </c>
    </row>
    <row r="7" spans="1:23" ht="15" x14ac:dyDescent="0.25">
      <c r="B7" s="27" t="s">
        <v>7</v>
      </c>
      <c r="C7" s="27" t="s">
        <v>8</v>
      </c>
      <c r="D7" s="2">
        <v>1135</v>
      </c>
      <c r="G7" s="12" t="s">
        <v>26</v>
      </c>
      <c r="H7" s="32">
        <f>(F3*D16*D13*D11*(SQRT(3*D15)))/(12*PI()*(1-D14)*D12)</f>
        <v>5.0934537432905866</v>
      </c>
      <c r="I7" s="12">
        <v>8</v>
      </c>
      <c r="J7" s="6">
        <f t="shared" si="0"/>
        <v>28800</v>
      </c>
      <c r="K7" s="2">
        <f t="shared" si="1"/>
        <v>13380.549804722743</v>
      </c>
      <c r="L7" s="2">
        <f t="shared" si="2"/>
        <v>8.3666723632627952E-3</v>
      </c>
      <c r="M7" s="7">
        <f t="shared" si="3"/>
        <v>2.826379009973598E-7</v>
      </c>
      <c r="N7" s="22">
        <f t="shared" si="4"/>
        <v>282.63790099735979</v>
      </c>
      <c r="O7" s="23">
        <v>281.5</v>
      </c>
      <c r="P7" s="22">
        <f t="shared" si="5"/>
        <v>1.2948186797924119</v>
      </c>
      <c r="Q7" s="24">
        <f t="shared" si="6"/>
        <v>1070811.0399999998</v>
      </c>
    </row>
    <row r="8" spans="1:23" ht="15.75" x14ac:dyDescent="0.25">
      <c r="B8" s="36" t="s">
        <v>30</v>
      </c>
      <c r="C8" s="27" t="s">
        <v>11</v>
      </c>
      <c r="D8" s="7">
        <f>5*(10^(-6))</f>
        <v>4.9999999999999996E-6</v>
      </c>
      <c r="G8" s="2" t="s">
        <v>50</v>
      </c>
      <c r="H8" s="32">
        <f>((D2*D4)^2)+((D2-D3)^2)*(D5^2)+(2*D2*D4*D5*(D2-D3)*H2)</f>
        <v>250.9372214762443</v>
      </c>
      <c r="I8" s="37">
        <v>10</v>
      </c>
      <c r="J8" s="6">
        <f t="shared" si="0"/>
        <v>36000</v>
      </c>
      <c r="K8" s="6">
        <f t="shared" si="1"/>
        <v>16725.687255903427</v>
      </c>
      <c r="L8" s="2">
        <f t="shared" si="2"/>
        <v>8.3916355800893495E-3</v>
      </c>
      <c r="M8" s="7">
        <f t="shared" si="3"/>
        <v>2.2931037713727037E-7</v>
      </c>
      <c r="N8" s="22">
        <f>M8*10^9</f>
        <v>229.31037713727036</v>
      </c>
      <c r="O8" s="22">
        <v>105</v>
      </c>
      <c r="P8" s="22">
        <f>SUM(P5:P7)</f>
        <v>555.84922533596989</v>
      </c>
      <c r="Q8" s="24">
        <f t="shared" si="6"/>
        <v>1467247.69</v>
      </c>
    </row>
    <row r="9" spans="1:23" ht="15" customHeight="1" x14ac:dyDescent="0.25">
      <c r="B9" s="36" t="s">
        <v>51</v>
      </c>
      <c r="C9" s="12" t="s">
        <v>52</v>
      </c>
      <c r="D9" s="14">
        <v>5490</v>
      </c>
      <c r="E9" s="11"/>
      <c r="I9" s="1"/>
      <c r="J9" s="6"/>
      <c r="K9" s="6"/>
      <c r="L9" s="6"/>
      <c r="M9" s="6"/>
      <c r="N9" s="15"/>
      <c r="O9" s="13">
        <f>AVERAGE(O4:O8)</f>
        <v>1316.3</v>
      </c>
      <c r="P9" s="22">
        <f>SUM(P4:P8)</f>
        <v>1111.6984506719398</v>
      </c>
      <c r="Q9" s="23">
        <f>SUM(Q4:Q8)</f>
        <v>17213631.800000001</v>
      </c>
      <c r="R9" s="29"/>
    </row>
    <row r="10" spans="1:23" ht="15.75" customHeight="1" x14ac:dyDescent="0.2">
      <c r="B10" s="12" t="s">
        <v>14</v>
      </c>
      <c r="C10" s="12" t="s">
        <v>15</v>
      </c>
      <c r="D10" s="14">
        <v>0.01</v>
      </c>
      <c r="E10" s="14"/>
      <c r="I10" s="1"/>
      <c r="J10" s="6"/>
      <c r="K10" s="6"/>
      <c r="L10" s="6"/>
      <c r="M10" s="6"/>
      <c r="N10" s="15"/>
      <c r="P10" s="12">
        <f>P9/5</f>
        <v>222.33969013438795</v>
      </c>
      <c r="Q10" s="12">
        <f>P9/Q9</f>
        <v>6.4582446260523583E-5</v>
      </c>
    </row>
    <row r="11" spans="1:23" x14ac:dyDescent="0.2">
      <c r="B11" s="12" t="s">
        <v>12</v>
      </c>
      <c r="C11" s="12" t="s">
        <v>13</v>
      </c>
      <c r="D11" s="14">
        <v>3.4840000000000001E-10</v>
      </c>
      <c r="I11" s="1"/>
      <c r="J11" s="6"/>
      <c r="K11" s="6"/>
      <c r="L11" s="6"/>
      <c r="M11" s="6"/>
      <c r="N11" s="15"/>
      <c r="O11" s="12" t="s">
        <v>3</v>
      </c>
      <c r="P11" s="12">
        <f>SQRT(P10)</f>
        <v>14.911059323012163</v>
      </c>
      <c r="Q11" s="13">
        <f>1-Q10</f>
        <v>0.99993541755373949</v>
      </c>
      <c r="R11" s="12" t="s">
        <v>41</v>
      </c>
      <c r="S11" s="2"/>
      <c r="T11" s="21"/>
      <c r="U11" s="21"/>
      <c r="V11" s="22"/>
    </row>
    <row r="12" spans="1:23" ht="15" customHeight="1" x14ac:dyDescent="0.25">
      <c r="B12" s="12" t="s">
        <v>16</v>
      </c>
      <c r="C12" s="12" t="s">
        <v>17</v>
      </c>
      <c r="D12" s="14">
        <v>3.34</v>
      </c>
      <c r="E12" s="7"/>
      <c r="R12" s="26"/>
      <c r="S12" s="2"/>
      <c r="T12" s="21"/>
      <c r="U12" s="21"/>
      <c r="V12" s="22"/>
    </row>
    <row r="13" spans="1:23" x14ac:dyDescent="0.2">
      <c r="B13" s="12" t="s">
        <v>18</v>
      </c>
      <c r="C13" s="12" t="s">
        <v>19</v>
      </c>
      <c r="D13" s="14">
        <f>74*10^6</f>
        <v>74000000</v>
      </c>
      <c r="E13" s="12"/>
      <c r="S13" s="2"/>
      <c r="T13" s="21"/>
      <c r="U13" s="21"/>
      <c r="V13" s="22"/>
    </row>
    <row r="14" spans="1:23" ht="15" customHeight="1" x14ac:dyDescent="0.25">
      <c r="B14" s="12" t="s">
        <v>20</v>
      </c>
      <c r="C14" s="12" t="s">
        <v>21</v>
      </c>
      <c r="D14" s="14">
        <v>0.28000000000000003</v>
      </c>
      <c r="E14" s="12"/>
      <c r="J14" s="8"/>
      <c r="K14" s="22"/>
      <c r="M14" s="22"/>
      <c r="N14" s="22"/>
      <c r="O14" s="33"/>
      <c r="R14" s="13"/>
      <c r="S14" s="2"/>
      <c r="T14" s="21"/>
      <c r="U14" s="21"/>
      <c r="V14" s="22"/>
      <c r="W14" s="23"/>
    </row>
    <row r="15" spans="1:23" ht="15" customHeight="1" x14ac:dyDescent="0.25">
      <c r="B15" s="12" t="s">
        <v>22</v>
      </c>
      <c r="C15" s="12" t="s">
        <v>23</v>
      </c>
      <c r="D15" s="32">
        <v>7.3537884992298084</v>
      </c>
      <c r="E15" s="16"/>
      <c r="J15" s="8"/>
      <c r="K15" s="22"/>
      <c r="M15" s="22"/>
      <c r="N15" s="22"/>
      <c r="O15" s="33"/>
    </row>
    <row r="16" spans="1:23" ht="15" x14ac:dyDescent="0.25">
      <c r="B16" s="12" t="s">
        <v>24</v>
      </c>
      <c r="C16" s="17" t="s">
        <v>32</v>
      </c>
      <c r="D16" s="32">
        <v>635.54328886327789</v>
      </c>
      <c r="E16" s="12"/>
      <c r="J16" s="8"/>
      <c r="K16" s="22"/>
      <c r="M16" s="22"/>
      <c r="N16" s="22"/>
      <c r="O16" s="33"/>
    </row>
    <row r="17" spans="2:16" ht="15" x14ac:dyDescent="0.25">
      <c r="B17" s="14" t="s">
        <v>35</v>
      </c>
      <c r="C17" s="19" t="s">
        <v>36</v>
      </c>
      <c r="D17" s="2">
        <v>8.3999999999999995E-3</v>
      </c>
      <c r="J17" s="8"/>
      <c r="K17" s="22"/>
      <c r="M17" s="22"/>
      <c r="N17" s="22"/>
      <c r="O17" s="33"/>
    </row>
    <row r="18" spans="2:16" ht="15" x14ac:dyDescent="0.25">
      <c r="E18" s="12"/>
      <c r="J18" s="8"/>
      <c r="K18" s="22"/>
      <c r="M18" s="22"/>
      <c r="N18" s="22"/>
      <c r="O18" s="33"/>
    </row>
    <row r="19" spans="2:16" ht="15" x14ac:dyDescent="0.25">
      <c r="E19" s="12"/>
      <c r="J19" s="8"/>
      <c r="K19" s="22"/>
      <c r="M19" s="22"/>
      <c r="N19" s="23"/>
      <c r="O19" s="33"/>
      <c r="P19" s="29"/>
    </row>
    <row r="20" spans="2:16" ht="15" x14ac:dyDescent="0.25">
      <c r="E20" s="12"/>
      <c r="J20" s="8"/>
      <c r="K20" s="22"/>
      <c r="M20" s="22"/>
      <c r="N20" s="23"/>
      <c r="O20" s="33"/>
    </row>
    <row r="21" spans="2:16" x14ac:dyDescent="0.2">
      <c r="E21" s="12"/>
      <c r="L21" s="22"/>
      <c r="M21" s="31"/>
      <c r="N21" s="31"/>
      <c r="O21" s="35"/>
    </row>
    <row r="22" spans="2:16" ht="15" x14ac:dyDescent="0.25">
      <c r="B22" s="34"/>
      <c r="C22" s="10"/>
      <c r="E22" s="23"/>
      <c r="O22" s="13"/>
      <c r="P22" s="26"/>
    </row>
    <row r="23" spans="2:16" x14ac:dyDescent="0.2">
      <c r="B23" s="34"/>
      <c r="E23" s="23"/>
      <c r="O23" s="13"/>
    </row>
    <row r="24" spans="2:16" x14ac:dyDescent="0.2">
      <c r="B24" s="34"/>
      <c r="E24" s="12"/>
    </row>
    <row r="25" spans="2:16" x14ac:dyDescent="0.2">
      <c r="B25" s="34"/>
      <c r="E25" s="12"/>
    </row>
    <row r="26" spans="2:16" ht="15" x14ac:dyDescent="0.25">
      <c r="N26" s="25"/>
      <c r="O26" s="25"/>
      <c r="P26" s="25"/>
    </row>
    <row r="27" spans="2:16" ht="15" x14ac:dyDescent="0.25">
      <c r="E27" s="9"/>
      <c r="N27" s="25"/>
      <c r="O27" s="25"/>
      <c r="P27" s="25"/>
    </row>
    <row r="28" spans="2:16" ht="15" x14ac:dyDescent="0.25">
      <c r="N28" s="25"/>
      <c r="O28" s="25"/>
      <c r="P28" s="25"/>
    </row>
    <row r="29" spans="2:16" ht="15" x14ac:dyDescent="0.25">
      <c r="N29" s="25"/>
      <c r="O29" s="25"/>
      <c r="P29" s="25"/>
    </row>
    <row r="30" spans="2:16" ht="15" x14ac:dyDescent="0.25">
      <c r="D30" s="12">
        <v>80</v>
      </c>
      <c r="E30" s="12"/>
      <c r="N30" s="25"/>
      <c r="O30" s="25"/>
      <c r="P30" s="25"/>
    </row>
    <row r="31" spans="2:16" x14ac:dyDescent="0.2">
      <c r="D31" s="12">
        <f>PI()/2</f>
        <v>1.5707963267948966</v>
      </c>
      <c r="E31" s="12"/>
    </row>
    <row r="32" spans="2:16" x14ac:dyDescent="0.2">
      <c r="D32" s="12">
        <f>(D30/D31)^(1/3)</f>
        <v>3.7067221792608507</v>
      </c>
      <c r="E32" s="12">
        <f>D32/100</f>
        <v>3.7067221792608504E-2</v>
      </c>
    </row>
    <row r="33" spans="4:5" x14ac:dyDescent="0.2">
      <c r="D33" s="12"/>
      <c r="E33" s="12"/>
    </row>
  </sheetData>
  <mergeCells count="5">
    <mergeCell ref="B2:B3"/>
    <mergeCell ref="I2:I3"/>
    <mergeCell ref="J2:J3"/>
    <mergeCell ref="B4:B5"/>
    <mergeCell ref="M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Chwadaka J Pohshna</dc:creator>
  <cp:lastModifiedBy>Windows User</cp:lastModifiedBy>
  <dcterms:created xsi:type="dcterms:W3CDTF">2020-04-15T16:55:30Z</dcterms:created>
  <dcterms:modified xsi:type="dcterms:W3CDTF">2023-09-25T07:04:10Z</dcterms:modified>
</cp:coreProperties>
</file>