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BOOK\OneDrive\Desktop\Documents\AI ML Workspace\Adsorption__Rate\Data\"/>
    </mc:Choice>
  </mc:AlternateContent>
  <bookViews>
    <workbookView xWindow="0" yWindow="0" windowWidth="19368" windowHeight="9780" firstSheet="13" activeTab="14"/>
  </bookViews>
  <sheets>
    <sheet name="Co(THOMAS) (2)" sheetId="26" r:id="rId1"/>
    <sheet name="Co(Y-N) (2)" sheetId="25" r:id="rId2"/>
    <sheet name="Co(D-S)" sheetId="24" r:id="rId3"/>
    <sheet name="pH" sheetId="1" r:id="rId4"/>
    <sheet name="C0(II) ADS" sheetId="6" r:id="rId5"/>
    <sheet name="THOMAS MODEL-Co(II) ION" sheetId="7" r:id="rId6"/>
    <sheet name="Co(THOMAS)" sheetId="22" r:id="rId7"/>
    <sheet name="THOMAS-ERROR" sheetId="14" r:id="rId8"/>
    <sheet name="YOON-NELSON_Co(II) ION" sheetId="8" r:id="rId9"/>
    <sheet name="Co(Y-N)" sheetId="23" r:id="rId10"/>
    <sheet name="YOON-NELSON ERRORF" sheetId="17" r:id="rId11"/>
    <sheet name="WOLBORSKA-Co(II)" sheetId="9" r:id="rId12"/>
    <sheet name="WOLBORSKAEF" sheetId="18" r:id="rId13"/>
    <sheet name="BOHART-ADAMS  MODEL Co(II)" sheetId="10" r:id="rId14"/>
    <sheet name="BOHART-ADAMS ERRF" sheetId="19" r:id="rId15"/>
    <sheet name="DOSE-RESPONSE-Co(II)" sheetId="11" r:id="rId16"/>
    <sheet name="DOSERESPONSE ERROR" sheetId="21" r:id="rId17"/>
  </sheets>
  <definedNames>
    <definedName name="solver_adj" localSheetId="15" hidden="1">'DOSE-RESPONSE-Co(II)'!$K$226:$K$227</definedName>
    <definedName name="solver_adj" localSheetId="5" hidden="1">'THOMAS MODEL-Co(II) ION'!$K$123:$K$124</definedName>
    <definedName name="solver_cvg" localSheetId="13" hidden="1">0.0001</definedName>
    <definedName name="solver_cvg" localSheetId="14" hidden="1">0.0001</definedName>
    <definedName name="solver_cvg" localSheetId="16" hidden="1">0.0001</definedName>
    <definedName name="solver_cvg" localSheetId="15" hidden="1">0.0001</definedName>
    <definedName name="solver_cvg" localSheetId="5" hidden="1">0.0001</definedName>
    <definedName name="solver_cvg" localSheetId="7" hidden="1">0.0001</definedName>
    <definedName name="solver_cvg" localSheetId="11" hidden="1">0.0001</definedName>
    <definedName name="solver_cvg" localSheetId="12" hidden="1">0.0001</definedName>
    <definedName name="solver_cvg" localSheetId="10" hidden="1">0.0001</definedName>
    <definedName name="solver_cvg" localSheetId="8" hidden="1">0.0001</definedName>
    <definedName name="solver_drv" localSheetId="13" hidden="1">1</definedName>
    <definedName name="solver_drv" localSheetId="14" hidden="1">1</definedName>
    <definedName name="solver_drv" localSheetId="16" hidden="1">1</definedName>
    <definedName name="solver_drv" localSheetId="15" hidden="1">1</definedName>
    <definedName name="solver_drv" localSheetId="5" hidden="1">1</definedName>
    <definedName name="solver_drv" localSheetId="7" hidden="1">2</definedName>
    <definedName name="solver_drv" localSheetId="11" hidden="1">2</definedName>
    <definedName name="solver_drv" localSheetId="12" hidden="1">1</definedName>
    <definedName name="solver_drv" localSheetId="10" hidden="1">1</definedName>
    <definedName name="solver_drv" localSheetId="8" hidden="1">1</definedName>
    <definedName name="solver_eng" localSheetId="13" hidden="1">1</definedName>
    <definedName name="solver_eng" localSheetId="14" hidden="1">1</definedName>
    <definedName name="solver_eng" localSheetId="16" hidden="1">1</definedName>
    <definedName name="solver_eng" localSheetId="15" hidden="1">1</definedName>
    <definedName name="solver_eng" localSheetId="5" hidden="1">1</definedName>
    <definedName name="solver_eng" localSheetId="7" hidden="1">1</definedName>
    <definedName name="solver_eng" localSheetId="11" hidden="1">1</definedName>
    <definedName name="solver_eng" localSheetId="12" hidden="1">1</definedName>
    <definedName name="solver_eng" localSheetId="10" hidden="1">1</definedName>
    <definedName name="solver_eng" localSheetId="8" hidden="1">1</definedName>
    <definedName name="solver_est" localSheetId="13" hidden="1">1</definedName>
    <definedName name="solver_est" localSheetId="14" hidden="1">1</definedName>
    <definedName name="solver_est" localSheetId="16" hidden="1">1</definedName>
    <definedName name="solver_est" localSheetId="15" hidden="1">1</definedName>
    <definedName name="solver_est" localSheetId="5" hidden="1">1</definedName>
    <definedName name="solver_est" localSheetId="7" hidden="1">1</definedName>
    <definedName name="solver_est" localSheetId="11" hidden="1">1</definedName>
    <definedName name="solver_est" localSheetId="12" hidden="1">1</definedName>
    <definedName name="solver_est" localSheetId="10" hidden="1">1</definedName>
    <definedName name="solver_est" localSheetId="8" hidden="1">1</definedName>
    <definedName name="solver_itr" localSheetId="13" hidden="1">1000000</definedName>
    <definedName name="solver_itr" localSheetId="14" hidden="1">1000000</definedName>
    <definedName name="solver_itr" localSheetId="16" hidden="1">100000</definedName>
    <definedName name="solver_itr" localSheetId="15" hidden="1">1000000</definedName>
    <definedName name="solver_itr" localSheetId="5" hidden="1">1000000</definedName>
    <definedName name="solver_itr" localSheetId="7" hidden="1">1000</definedName>
    <definedName name="solver_itr" localSheetId="11" hidden="1">1000000</definedName>
    <definedName name="solver_itr" localSheetId="12" hidden="1">1000</definedName>
    <definedName name="solver_itr" localSheetId="10" hidden="1">100000</definedName>
    <definedName name="solver_itr" localSheetId="8" hidden="1">1000000</definedName>
    <definedName name="solver_lhs1" localSheetId="16" hidden="1">'DOSERESPONSE ERROR'!$K$182</definedName>
    <definedName name="solver_lhs1" localSheetId="7" hidden="1">'THOMAS-ERROR'!$K$7</definedName>
    <definedName name="solver_lhs2" localSheetId="16" hidden="1">'DOSERESPONSE ERROR'!$K$183</definedName>
    <definedName name="solver_lhs2" localSheetId="7" hidden="1">'THOMAS-ERROR'!$K$7</definedName>
    <definedName name="solver_lhs3" localSheetId="16" hidden="1">'DOSERESPONSE ERROR'!$K$183</definedName>
    <definedName name="solver_mip" localSheetId="13" hidden="1">2147483647</definedName>
    <definedName name="solver_mip" localSheetId="14" hidden="1">2147483647</definedName>
    <definedName name="solver_mip" localSheetId="16" hidden="1">2147483647</definedName>
    <definedName name="solver_mip" localSheetId="15" hidden="1">2147483647</definedName>
    <definedName name="solver_mip" localSheetId="5" hidden="1">2147483647</definedName>
    <definedName name="solver_mip" localSheetId="7" hidden="1">2147483647</definedName>
    <definedName name="solver_mip" localSheetId="11" hidden="1">2147483647</definedName>
    <definedName name="solver_mip" localSheetId="12" hidden="1">2147483647</definedName>
    <definedName name="solver_mip" localSheetId="10" hidden="1">2147483647</definedName>
    <definedName name="solver_mip" localSheetId="8" hidden="1">2147483647</definedName>
    <definedName name="solver_mni" localSheetId="13" hidden="1">30</definedName>
    <definedName name="solver_mni" localSheetId="14" hidden="1">30</definedName>
    <definedName name="solver_mni" localSheetId="16" hidden="1">30</definedName>
    <definedName name="solver_mni" localSheetId="15" hidden="1">30</definedName>
    <definedName name="solver_mni" localSheetId="5" hidden="1">30</definedName>
    <definedName name="solver_mni" localSheetId="7" hidden="1">30</definedName>
    <definedName name="solver_mni" localSheetId="11" hidden="1">30</definedName>
    <definedName name="solver_mni" localSheetId="12" hidden="1">30</definedName>
    <definedName name="solver_mni" localSheetId="10" hidden="1">30</definedName>
    <definedName name="solver_mni" localSheetId="8" hidden="1">30</definedName>
    <definedName name="solver_mrt" localSheetId="13" hidden="1">0.075</definedName>
    <definedName name="solver_mrt" localSheetId="14" hidden="1">0.075</definedName>
    <definedName name="solver_mrt" localSheetId="16" hidden="1">0.075</definedName>
    <definedName name="solver_mrt" localSheetId="15" hidden="1">0.075</definedName>
    <definedName name="solver_mrt" localSheetId="5" hidden="1">0.075</definedName>
    <definedName name="solver_mrt" localSheetId="7" hidden="1">0.075</definedName>
    <definedName name="solver_mrt" localSheetId="11" hidden="1">0.075</definedName>
    <definedName name="solver_mrt" localSheetId="12" hidden="1">0.075</definedName>
    <definedName name="solver_mrt" localSheetId="10" hidden="1">0.075</definedName>
    <definedName name="solver_mrt" localSheetId="8" hidden="1">0.075</definedName>
    <definedName name="solver_msl" localSheetId="13" hidden="1">2</definedName>
    <definedName name="solver_msl" localSheetId="14" hidden="1">2</definedName>
    <definedName name="solver_msl" localSheetId="16" hidden="1">2</definedName>
    <definedName name="solver_msl" localSheetId="15" hidden="1">2</definedName>
    <definedName name="solver_msl" localSheetId="5" hidden="1">2</definedName>
    <definedName name="solver_msl" localSheetId="7" hidden="1">2</definedName>
    <definedName name="solver_msl" localSheetId="11" hidden="1">2</definedName>
    <definedName name="solver_msl" localSheetId="12" hidden="1">2</definedName>
    <definedName name="solver_msl" localSheetId="10" hidden="1">2</definedName>
    <definedName name="solver_msl" localSheetId="8" hidden="1">2</definedName>
    <definedName name="solver_neg" localSheetId="13" hidden="1">1</definedName>
    <definedName name="solver_neg" localSheetId="14" hidden="1">1</definedName>
    <definedName name="solver_neg" localSheetId="16" hidden="1">1</definedName>
    <definedName name="solver_neg" localSheetId="15" hidden="1">1</definedName>
    <definedName name="solver_neg" localSheetId="5" hidden="1">1</definedName>
    <definedName name="solver_neg" localSheetId="7" hidden="1">1</definedName>
    <definedName name="solver_neg" localSheetId="11" hidden="1">1</definedName>
    <definedName name="solver_neg" localSheetId="12" hidden="1">1</definedName>
    <definedName name="solver_neg" localSheetId="10" hidden="1">1</definedName>
    <definedName name="solver_neg" localSheetId="8" hidden="1">1</definedName>
    <definedName name="solver_nod" localSheetId="13" hidden="1">2147483647</definedName>
    <definedName name="solver_nod" localSheetId="14" hidden="1">2147483647</definedName>
    <definedName name="solver_nod" localSheetId="16" hidden="1">2147483647</definedName>
    <definedName name="solver_nod" localSheetId="15" hidden="1">2147483647</definedName>
    <definedName name="solver_nod" localSheetId="5" hidden="1">2147483647</definedName>
    <definedName name="solver_nod" localSheetId="7" hidden="1">2147483647</definedName>
    <definedName name="solver_nod" localSheetId="11" hidden="1">2147483647</definedName>
    <definedName name="solver_nod" localSheetId="12" hidden="1">2147483647</definedName>
    <definedName name="solver_nod" localSheetId="10" hidden="1">2147483647</definedName>
    <definedName name="solver_nod" localSheetId="8" hidden="1">2147483647</definedName>
    <definedName name="solver_num" localSheetId="13" hidden="1">0</definedName>
    <definedName name="solver_num" localSheetId="14" hidden="1">0</definedName>
    <definedName name="solver_num" localSheetId="16" hidden="1">0</definedName>
    <definedName name="solver_num" localSheetId="15" hidden="1">0</definedName>
    <definedName name="solver_num" localSheetId="5" hidden="1">0</definedName>
    <definedName name="solver_num" localSheetId="7" hidden="1">0</definedName>
    <definedName name="solver_num" localSheetId="11" hidden="1">0</definedName>
    <definedName name="solver_num" localSheetId="12" hidden="1">0</definedName>
    <definedName name="solver_num" localSheetId="10" hidden="1">0</definedName>
    <definedName name="solver_num" localSheetId="8" hidden="1">0</definedName>
    <definedName name="solver_nwt" localSheetId="13" hidden="1">1</definedName>
    <definedName name="solver_nwt" localSheetId="14" hidden="1">1</definedName>
    <definedName name="solver_nwt" localSheetId="16" hidden="1">1</definedName>
    <definedName name="solver_nwt" localSheetId="15" hidden="1">1</definedName>
    <definedName name="solver_nwt" localSheetId="5" hidden="1">1</definedName>
    <definedName name="solver_nwt" localSheetId="7" hidden="1">1</definedName>
    <definedName name="solver_nwt" localSheetId="11" hidden="1">1</definedName>
    <definedName name="solver_nwt" localSheetId="12" hidden="1">1</definedName>
    <definedName name="solver_nwt" localSheetId="10" hidden="1">1</definedName>
    <definedName name="solver_nwt" localSheetId="8" hidden="1">1</definedName>
    <definedName name="solver_opt" localSheetId="15" hidden="1">'DOSE-RESPONSE-Co(II)'!$K$230</definedName>
    <definedName name="solver_opt" localSheetId="5" hidden="1">'THOMAS MODEL-Co(II) ION'!$K$126</definedName>
    <definedName name="solver_pre" localSheetId="13" hidden="1">0.000001</definedName>
    <definedName name="solver_pre" localSheetId="14" hidden="1">0.000001</definedName>
    <definedName name="solver_pre" localSheetId="16" hidden="1">0.000001</definedName>
    <definedName name="solver_pre" localSheetId="15" hidden="1">0.000001</definedName>
    <definedName name="solver_pre" localSheetId="5" hidden="1">0.000001</definedName>
    <definedName name="solver_pre" localSheetId="7" hidden="1">0.000001</definedName>
    <definedName name="solver_pre" localSheetId="11" hidden="1">0.000001</definedName>
    <definedName name="solver_pre" localSheetId="12" hidden="1">0.000001</definedName>
    <definedName name="solver_pre" localSheetId="10" hidden="1">0.000001</definedName>
    <definedName name="solver_pre" localSheetId="8" hidden="1">0.000001</definedName>
    <definedName name="solver_rbv" localSheetId="13" hidden="1">1</definedName>
    <definedName name="solver_rbv" localSheetId="14" hidden="1">1</definedName>
    <definedName name="solver_rbv" localSheetId="16" hidden="1">1</definedName>
    <definedName name="solver_rbv" localSheetId="15" hidden="1">1</definedName>
    <definedName name="solver_rbv" localSheetId="5" hidden="1">1</definedName>
    <definedName name="solver_rbv" localSheetId="7" hidden="1">2</definedName>
    <definedName name="solver_rbv" localSheetId="11" hidden="1">2</definedName>
    <definedName name="solver_rbv" localSheetId="12" hidden="1">1</definedName>
    <definedName name="solver_rbv" localSheetId="10" hidden="1">1</definedName>
    <definedName name="solver_rbv" localSheetId="8" hidden="1">1</definedName>
    <definedName name="solver_rel1" localSheetId="16" hidden="1">3</definedName>
    <definedName name="solver_rel1" localSheetId="7" hidden="1">3</definedName>
    <definedName name="solver_rel2" localSheetId="16" hidden="1">3</definedName>
    <definedName name="solver_rel2" localSheetId="7" hidden="1">3</definedName>
    <definedName name="solver_rel3" localSheetId="16" hidden="1">3</definedName>
    <definedName name="solver_rhs1" localSheetId="16" hidden="1">0</definedName>
    <definedName name="solver_rhs1" localSheetId="7" hidden="1">0</definedName>
    <definedName name="solver_rhs2" localSheetId="16" hidden="1">0</definedName>
    <definedName name="solver_rhs2" localSheetId="7" hidden="1">0</definedName>
    <definedName name="solver_rhs3" localSheetId="16" hidden="1">0</definedName>
    <definedName name="solver_rlx" localSheetId="13" hidden="1">2</definedName>
    <definedName name="solver_rlx" localSheetId="14" hidden="1">2</definedName>
    <definedName name="solver_rlx" localSheetId="16" hidden="1">2</definedName>
    <definedName name="solver_rlx" localSheetId="15" hidden="1">2</definedName>
    <definedName name="solver_rlx" localSheetId="5" hidden="1">2</definedName>
    <definedName name="solver_rlx" localSheetId="7" hidden="1">2</definedName>
    <definedName name="solver_rlx" localSheetId="11" hidden="1">2</definedName>
    <definedName name="solver_rlx" localSheetId="12" hidden="1">2</definedName>
    <definedName name="solver_rlx" localSheetId="10" hidden="1">2</definedName>
    <definedName name="solver_rlx" localSheetId="8" hidden="1">2</definedName>
    <definedName name="solver_rsd" localSheetId="13" hidden="1">0</definedName>
    <definedName name="solver_rsd" localSheetId="14" hidden="1">0</definedName>
    <definedName name="solver_rsd" localSheetId="16" hidden="1">0</definedName>
    <definedName name="solver_rsd" localSheetId="15" hidden="1">0</definedName>
    <definedName name="solver_rsd" localSheetId="5" hidden="1">0</definedName>
    <definedName name="solver_rsd" localSheetId="7" hidden="1">0</definedName>
    <definedName name="solver_rsd" localSheetId="11" hidden="1">0</definedName>
    <definedName name="solver_rsd" localSheetId="12" hidden="1">0</definedName>
    <definedName name="solver_rsd" localSheetId="10" hidden="1">0</definedName>
    <definedName name="solver_rsd" localSheetId="8" hidden="1">0</definedName>
    <definedName name="solver_scl" localSheetId="13" hidden="1">1</definedName>
    <definedName name="solver_scl" localSheetId="14" hidden="1">1</definedName>
    <definedName name="solver_scl" localSheetId="16" hidden="1">1</definedName>
    <definedName name="solver_scl" localSheetId="15" hidden="1">1</definedName>
    <definedName name="solver_scl" localSheetId="5" hidden="1">1</definedName>
    <definedName name="solver_scl" localSheetId="7" hidden="1">1</definedName>
    <definedName name="solver_scl" localSheetId="11" hidden="1">2</definedName>
    <definedName name="solver_scl" localSheetId="12" hidden="1">1</definedName>
    <definedName name="solver_scl" localSheetId="10" hidden="1">1</definedName>
    <definedName name="solver_scl" localSheetId="8" hidden="1">1</definedName>
    <definedName name="solver_sho" localSheetId="13" hidden="1">2</definedName>
    <definedName name="solver_sho" localSheetId="14" hidden="1">2</definedName>
    <definedName name="solver_sho" localSheetId="16" hidden="1">2</definedName>
    <definedName name="solver_sho" localSheetId="15" hidden="1">2</definedName>
    <definedName name="solver_sho" localSheetId="5" hidden="1">2</definedName>
    <definedName name="solver_sho" localSheetId="7" hidden="1">2</definedName>
    <definedName name="solver_sho" localSheetId="11" hidden="1">2</definedName>
    <definedName name="solver_sho" localSheetId="12" hidden="1">2</definedName>
    <definedName name="solver_sho" localSheetId="10" hidden="1">2</definedName>
    <definedName name="solver_sho" localSheetId="8" hidden="1">2</definedName>
    <definedName name="solver_ssz" localSheetId="13" hidden="1">100</definedName>
    <definedName name="solver_ssz" localSheetId="14" hidden="1">100</definedName>
    <definedName name="solver_ssz" localSheetId="16" hidden="1">100</definedName>
    <definedName name="solver_ssz" localSheetId="15" hidden="1">100</definedName>
    <definedName name="solver_ssz" localSheetId="5" hidden="1">100</definedName>
    <definedName name="solver_ssz" localSheetId="7" hidden="1">100</definedName>
    <definedName name="solver_ssz" localSheetId="11" hidden="1">100</definedName>
    <definedName name="solver_ssz" localSheetId="12" hidden="1">100</definedName>
    <definedName name="solver_ssz" localSheetId="10" hidden="1">100</definedName>
    <definedName name="solver_ssz" localSheetId="8" hidden="1">100</definedName>
    <definedName name="solver_tim" localSheetId="13" hidden="1">100</definedName>
    <definedName name="solver_tim" localSheetId="14" hidden="1">100</definedName>
    <definedName name="solver_tim" localSheetId="16" hidden="1">100</definedName>
    <definedName name="solver_tim" localSheetId="15" hidden="1">100</definedName>
    <definedName name="solver_tim" localSheetId="5" hidden="1">100</definedName>
    <definedName name="solver_tim" localSheetId="7" hidden="1">100</definedName>
    <definedName name="solver_tim" localSheetId="11" hidden="1">100</definedName>
    <definedName name="solver_tim" localSheetId="12" hidden="1">100</definedName>
    <definedName name="solver_tim" localSheetId="10" hidden="1">100</definedName>
    <definedName name="solver_tim" localSheetId="8" hidden="1">100</definedName>
    <definedName name="solver_tol" localSheetId="13" hidden="1">0.01</definedName>
    <definedName name="solver_tol" localSheetId="14" hidden="1">0.01</definedName>
    <definedName name="solver_tol" localSheetId="16" hidden="1">0.01</definedName>
    <definedName name="solver_tol" localSheetId="15" hidden="1">0.01</definedName>
    <definedName name="solver_tol" localSheetId="5" hidden="1">0.01</definedName>
    <definedName name="solver_tol" localSheetId="7" hidden="1">0.01</definedName>
    <definedName name="solver_tol" localSheetId="11" hidden="1">0.01</definedName>
    <definedName name="solver_tol" localSheetId="12" hidden="1">0.01</definedName>
    <definedName name="solver_tol" localSheetId="10" hidden="1">0.01</definedName>
    <definedName name="solver_tol" localSheetId="8" hidden="1">0.01</definedName>
    <definedName name="solver_typ" localSheetId="13" hidden="1">1</definedName>
    <definedName name="solver_typ" localSheetId="14" hidden="1">2</definedName>
    <definedName name="solver_typ" localSheetId="16" hidden="1">2</definedName>
    <definedName name="solver_typ" localSheetId="15" hidden="1">1</definedName>
    <definedName name="solver_typ" localSheetId="5" hidden="1">1</definedName>
    <definedName name="solver_typ" localSheetId="7" hidden="1">2</definedName>
    <definedName name="solver_typ" localSheetId="11" hidden="1">1</definedName>
    <definedName name="solver_typ" localSheetId="12" hidden="1">2</definedName>
    <definedName name="solver_typ" localSheetId="10" hidden="1">2</definedName>
    <definedName name="solver_typ" localSheetId="8" hidden="1">1</definedName>
    <definedName name="solver_val" localSheetId="13" hidden="1">0</definedName>
    <definedName name="solver_val" localSheetId="14" hidden="1">0</definedName>
    <definedName name="solver_val" localSheetId="16" hidden="1">0</definedName>
    <definedName name="solver_val" localSheetId="15" hidden="1">0</definedName>
    <definedName name="solver_val" localSheetId="5" hidden="1">0</definedName>
    <definedName name="solver_val" localSheetId="7" hidden="1">0</definedName>
    <definedName name="solver_val" localSheetId="11" hidden="1">0</definedName>
    <definedName name="solver_val" localSheetId="12" hidden="1">0</definedName>
    <definedName name="solver_val" localSheetId="10" hidden="1">0</definedName>
    <definedName name="solver_val" localSheetId="8" hidden="1">0</definedName>
    <definedName name="solver_ver" localSheetId="13" hidden="1">3</definedName>
    <definedName name="solver_ver" localSheetId="14" hidden="1">3</definedName>
    <definedName name="solver_ver" localSheetId="16" hidden="1">3</definedName>
    <definedName name="solver_ver" localSheetId="15" hidden="1">3</definedName>
    <definedName name="solver_ver" localSheetId="5" hidden="1">3</definedName>
    <definedName name="solver_ver" localSheetId="7" hidden="1">3</definedName>
    <definedName name="solver_ver" localSheetId="11" hidden="1">3</definedName>
    <definedName name="solver_ver" localSheetId="12" hidden="1">3</definedName>
    <definedName name="solver_ver" localSheetId="10" hidden="1">3</definedName>
    <definedName name="solver_ver" localSheetId="8" hidden="1">3</definedName>
  </definedNames>
  <calcPr calcId="162913" calcMode="manual"/>
</workbook>
</file>

<file path=xl/calcChain.xml><?xml version="1.0" encoding="utf-8"?>
<calcChain xmlns="http://schemas.openxmlformats.org/spreadsheetml/2006/main">
  <c r="H77" i="19" l="1"/>
  <c r="H55" i="19"/>
  <c r="M91" i="9"/>
  <c r="L116" i="9"/>
  <c r="H32" i="21"/>
  <c r="K10" i="10"/>
  <c r="L99" i="11"/>
  <c r="N63" i="9"/>
  <c r="M59" i="9"/>
  <c r="L26" i="6"/>
  <c r="E200" i="14"/>
  <c r="B771" i="14" l="1"/>
  <c r="D919" i="21"/>
  <c r="C919" i="21"/>
  <c r="E919" i="21" s="1"/>
  <c r="E918" i="21"/>
  <c r="D918" i="21"/>
  <c r="C918" i="21"/>
  <c r="E917" i="21"/>
  <c r="C917" i="21"/>
  <c r="D917" i="21" s="1"/>
  <c r="E916" i="21"/>
  <c r="D916" i="21"/>
  <c r="C916" i="21"/>
  <c r="C915" i="21"/>
  <c r="E915" i="21" s="1"/>
  <c r="C914" i="21"/>
  <c r="E914" i="21" s="1"/>
  <c r="E913" i="21"/>
  <c r="C913" i="21"/>
  <c r="D913" i="21" s="1"/>
  <c r="C912" i="21"/>
  <c r="E912" i="21" s="1"/>
  <c r="E920" i="21" s="1"/>
  <c r="H912" i="21" s="1"/>
  <c r="D911" i="21"/>
  <c r="C911" i="21"/>
  <c r="D910" i="21"/>
  <c r="C910" i="21"/>
  <c r="D909" i="21"/>
  <c r="C909" i="21"/>
  <c r="C908" i="21"/>
  <c r="D908" i="21" s="1"/>
  <c r="D907" i="21"/>
  <c r="C907" i="21"/>
  <c r="C906" i="21"/>
  <c r="D906" i="21" s="1"/>
  <c r="B896" i="21"/>
  <c r="C895" i="21"/>
  <c r="E895" i="21" s="1"/>
  <c r="C894" i="21"/>
  <c r="E894" i="21" s="1"/>
  <c r="C893" i="21"/>
  <c r="E893" i="21" s="1"/>
  <c r="E892" i="21"/>
  <c r="C892" i="21"/>
  <c r="D892" i="21" s="1"/>
  <c r="E891" i="21"/>
  <c r="C891" i="21"/>
  <c r="D891" i="21" s="1"/>
  <c r="D890" i="21"/>
  <c r="C890" i="21"/>
  <c r="E890" i="21" s="1"/>
  <c r="C889" i="21"/>
  <c r="E889" i="21" s="1"/>
  <c r="C888" i="21"/>
  <c r="E888" i="21" s="1"/>
  <c r="D887" i="21"/>
  <c r="C887" i="21"/>
  <c r="C886" i="21"/>
  <c r="D886" i="21" s="1"/>
  <c r="C885" i="21"/>
  <c r="D885" i="21" s="1"/>
  <c r="C884" i="21"/>
  <c r="D884" i="21" s="1"/>
  <c r="D883" i="21"/>
  <c r="C883" i="21"/>
  <c r="C882" i="21"/>
  <c r="D882" i="21" s="1"/>
  <c r="D870" i="21"/>
  <c r="C870" i="21"/>
  <c r="E870" i="21" s="1"/>
  <c r="C869" i="21"/>
  <c r="E869" i="21" s="1"/>
  <c r="D868" i="21"/>
  <c r="C868" i="21"/>
  <c r="E868" i="21" s="1"/>
  <c r="E867" i="21"/>
  <c r="D867" i="21"/>
  <c r="C867" i="21"/>
  <c r="E866" i="21"/>
  <c r="D866" i="21"/>
  <c r="C866" i="21"/>
  <c r="C865" i="21"/>
  <c r="E865" i="21" s="1"/>
  <c r="E864" i="21"/>
  <c r="C864" i="21"/>
  <c r="D864" i="21" s="1"/>
  <c r="C863" i="21"/>
  <c r="E863" i="21" s="1"/>
  <c r="E862" i="21"/>
  <c r="C862" i="21"/>
  <c r="D862" i="21" s="1"/>
  <c r="E861" i="21"/>
  <c r="C861" i="21"/>
  <c r="D861" i="21" s="1"/>
  <c r="C860" i="21"/>
  <c r="D859" i="21"/>
  <c r="C859" i="21"/>
  <c r="E859" i="21" s="1"/>
  <c r="D858" i="21"/>
  <c r="C858" i="21"/>
  <c r="E858" i="21" s="1"/>
  <c r="E857" i="21"/>
  <c r="D857" i="21"/>
  <c r="C857" i="21"/>
  <c r="D845" i="21"/>
  <c r="C845" i="21"/>
  <c r="D844" i="21"/>
  <c r="C844" i="21"/>
  <c r="C843" i="21"/>
  <c r="D843" i="21" s="1"/>
  <c r="C842" i="21"/>
  <c r="D842" i="21" s="1"/>
  <c r="D841" i="21"/>
  <c r="C841" i="21"/>
  <c r="D840" i="21"/>
  <c r="C840" i="21"/>
  <c r="C839" i="21"/>
  <c r="D839" i="21" s="1"/>
  <c r="C838" i="21"/>
  <c r="D838" i="21" s="1"/>
  <c r="D837" i="21"/>
  <c r="C837" i="21"/>
  <c r="C836" i="21"/>
  <c r="D836" i="21" s="1"/>
  <c r="D835" i="21"/>
  <c r="C835" i="21"/>
  <c r="D834" i="21"/>
  <c r="C834" i="21"/>
  <c r="C833" i="21"/>
  <c r="D833" i="21" s="1"/>
  <c r="C832" i="21"/>
  <c r="D832" i="21" s="1"/>
  <c r="E820" i="21"/>
  <c r="D820" i="21"/>
  <c r="C820" i="21"/>
  <c r="C819" i="21"/>
  <c r="E819" i="21" s="1"/>
  <c r="E818" i="21"/>
  <c r="D818" i="21"/>
  <c r="C818" i="21"/>
  <c r="E817" i="21"/>
  <c r="D817" i="21"/>
  <c r="C817" i="21"/>
  <c r="C816" i="21"/>
  <c r="E815" i="21"/>
  <c r="C815" i="21"/>
  <c r="D815" i="21" s="1"/>
  <c r="E814" i="21"/>
  <c r="C814" i="21"/>
  <c r="D814" i="21" s="1"/>
  <c r="E813" i="21"/>
  <c r="D813" i="21"/>
  <c r="C813" i="21"/>
  <c r="C812" i="21"/>
  <c r="C811" i="21"/>
  <c r="E811" i="21" s="1"/>
  <c r="C810" i="21"/>
  <c r="D810" i="21" s="1"/>
  <c r="D809" i="21"/>
  <c r="C809" i="21"/>
  <c r="C808" i="21"/>
  <c r="D808" i="21" s="1"/>
  <c r="D807" i="21"/>
  <c r="C807" i="21"/>
  <c r="B793" i="21"/>
  <c r="C792" i="21"/>
  <c r="E791" i="21"/>
  <c r="D791" i="21"/>
  <c r="C791" i="21"/>
  <c r="E790" i="21"/>
  <c r="D790" i="21"/>
  <c r="C790" i="21"/>
  <c r="E789" i="21"/>
  <c r="D789" i="21"/>
  <c r="C789" i="21"/>
  <c r="C788" i="21"/>
  <c r="C787" i="21"/>
  <c r="E786" i="21"/>
  <c r="D786" i="21"/>
  <c r="C786" i="21"/>
  <c r="E785" i="21"/>
  <c r="D785" i="21"/>
  <c r="C785" i="21"/>
  <c r="C784" i="21"/>
  <c r="E784" i="21" s="1"/>
  <c r="E783" i="21"/>
  <c r="C783" i="21"/>
  <c r="D783" i="21" s="1"/>
  <c r="C782" i="21"/>
  <c r="D782" i="21" s="1"/>
  <c r="D781" i="21"/>
  <c r="C781" i="21"/>
  <c r="D780" i="21"/>
  <c r="C780" i="21"/>
  <c r="C779" i="21"/>
  <c r="D779" i="21" s="1"/>
  <c r="E766" i="21"/>
  <c r="D766" i="21"/>
  <c r="C766" i="21"/>
  <c r="C765" i="21"/>
  <c r="C764" i="21"/>
  <c r="E763" i="21"/>
  <c r="D763" i="21"/>
  <c r="C763" i="21"/>
  <c r="E762" i="21"/>
  <c r="D762" i="21"/>
  <c r="C762" i="21"/>
  <c r="D761" i="21"/>
  <c r="C761" i="21"/>
  <c r="E761" i="21" s="1"/>
  <c r="E760" i="21"/>
  <c r="C760" i="21"/>
  <c r="D760" i="21" s="1"/>
  <c r="E759" i="21"/>
  <c r="C759" i="21"/>
  <c r="D759" i="21" s="1"/>
  <c r="E758" i="21"/>
  <c r="D758" i="21"/>
  <c r="C758" i="21"/>
  <c r="C757" i="21"/>
  <c r="E756" i="21"/>
  <c r="D756" i="21"/>
  <c r="C756" i="21"/>
  <c r="C755" i="21"/>
  <c r="C754" i="21"/>
  <c r="E753" i="21"/>
  <c r="D753" i="21"/>
  <c r="C753" i="21"/>
  <c r="D745" i="21"/>
  <c r="C745" i="21"/>
  <c r="C744" i="21"/>
  <c r="D744" i="21" s="1"/>
  <c r="D743" i="21"/>
  <c r="C743" i="21"/>
  <c r="C742" i="21"/>
  <c r="D742" i="21" s="1"/>
  <c r="D741" i="21"/>
  <c r="C741" i="21"/>
  <c r="C740" i="21"/>
  <c r="D740" i="21" s="1"/>
  <c r="D739" i="21"/>
  <c r="C739" i="21"/>
  <c r="C738" i="21"/>
  <c r="D738" i="21" s="1"/>
  <c r="D737" i="21"/>
  <c r="C737" i="21"/>
  <c r="C736" i="21"/>
  <c r="D736" i="21" s="1"/>
  <c r="D735" i="21"/>
  <c r="C735" i="21"/>
  <c r="C734" i="21"/>
  <c r="D734" i="21" s="1"/>
  <c r="C733" i="21"/>
  <c r="D733" i="21" s="1"/>
  <c r="C732" i="21"/>
  <c r="D732" i="21" s="1"/>
  <c r="D746" i="21" s="1"/>
  <c r="G735" i="21" s="1"/>
  <c r="E720" i="21"/>
  <c r="D720" i="21"/>
  <c r="C720" i="21"/>
  <c r="C719" i="21"/>
  <c r="E719" i="21" s="1"/>
  <c r="E718" i="21"/>
  <c r="C718" i="21"/>
  <c r="D718" i="21" s="1"/>
  <c r="E717" i="21"/>
  <c r="C717" i="21"/>
  <c r="D717" i="21" s="1"/>
  <c r="E716" i="21"/>
  <c r="D716" i="21"/>
  <c r="C716" i="21"/>
  <c r="C715" i="21"/>
  <c r="C714" i="21"/>
  <c r="E713" i="21"/>
  <c r="C713" i="21"/>
  <c r="D713" i="21" s="1"/>
  <c r="D712" i="21"/>
  <c r="C712" i="21"/>
  <c r="C711" i="21"/>
  <c r="D711" i="21" s="1"/>
  <c r="B696" i="21"/>
  <c r="E695" i="21"/>
  <c r="D695" i="21"/>
  <c r="C695" i="21"/>
  <c r="E694" i="21"/>
  <c r="D694" i="21"/>
  <c r="C694" i="21"/>
  <c r="C693" i="21"/>
  <c r="C692" i="21"/>
  <c r="E691" i="21"/>
  <c r="D691" i="21"/>
  <c r="C691" i="21"/>
  <c r="E690" i="21"/>
  <c r="D690" i="21"/>
  <c r="C690" i="21"/>
  <c r="D689" i="21"/>
  <c r="C689" i="21"/>
  <c r="E689" i="21" s="1"/>
  <c r="C688" i="21"/>
  <c r="C687" i="21"/>
  <c r="D687" i="21" s="1"/>
  <c r="D686" i="21"/>
  <c r="C686" i="21"/>
  <c r="E675" i="21"/>
  <c r="D675" i="21"/>
  <c r="C675" i="21"/>
  <c r="C674" i="21"/>
  <c r="E674" i="21" s="1"/>
  <c r="E673" i="21"/>
  <c r="C673" i="21"/>
  <c r="D673" i="21" s="1"/>
  <c r="E672" i="21"/>
  <c r="C672" i="21"/>
  <c r="D672" i="21" s="1"/>
  <c r="E671" i="21"/>
  <c r="D671" i="21"/>
  <c r="C671" i="21"/>
  <c r="C670" i="21"/>
  <c r="C669" i="21"/>
  <c r="E668" i="21"/>
  <c r="C668" i="21"/>
  <c r="D668" i="21" s="1"/>
  <c r="E667" i="21"/>
  <c r="C667" i="21"/>
  <c r="D667" i="21" s="1"/>
  <c r="E666" i="21"/>
  <c r="D666" i="21"/>
  <c r="C666" i="21"/>
  <c r="C653" i="21"/>
  <c r="D653" i="21" s="1"/>
  <c r="C652" i="21"/>
  <c r="D652" i="21" s="1"/>
  <c r="C651" i="21"/>
  <c r="D651" i="21" s="1"/>
  <c r="D650" i="21"/>
  <c r="C650" i="21"/>
  <c r="C649" i="21"/>
  <c r="D649" i="21" s="1"/>
  <c r="C648" i="21"/>
  <c r="D648" i="21" s="1"/>
  <c r="D647" i="21"/>
  <c r="C647" i="21"/>
  <c r="C646" i="21"/>
  <c r="D646" i="21" s="1"/>
  <c r="D645" i="21"/>
  <c r="C645" i="21"/>
  <c r="C644" i="21"/>
  <c r="D644" i="21" s="1"/>
  <c r="C631" i="21"/>
  <c r="C630" i="21"/>
  <c r="E629" i="21"/>
  <c r="D629" i="21"/>
  <c r="C629" i="21"/>
  <c r="E628" i="21"/>
  <c r="D628" i="21"/>
  <c r="C628" i="21"/>
  <c r="C627" i="21"/>
  <c r="E627" i="21" s="1"/>
  <c r="E626" i="21"/>
  <c r="C626" i="21"/>
  <c r="D626" i="21" s="1"/>
  <c r="E625" i="21"/>
  <c r="C625" i="21"/>
  <c r="D625" i="21" s="1"/>
  <c r="E624" i="21"/>
  <c r="D624" i="21"/>
  <c r="C624" i="21"/>
  <c r="C623" i="21"/>
  <c r="C622" i="21"/>
  <c r="D621" i="21"/>
  <c r="C621" i="21"/>
  <c r="C620" i="21"/>
  <c r="D620" i="21" s="1"/>
  <c r="C619" i="21"/>
  <c r="D619" i="21" s="1"/>
  <c r="C618" i="21"/>
  <c r="D618" i="21" s="1"/>
  <c r="D617" i="21"/>
  <c r="C617" i="21"/>
  <c r="C616" i="21"/>
  <c r="D616" i="21" s="1"/>
  <c r="C615" i="21"/>
  <c r="D615" i="21" s="1"/>
  <c r="B605" i="21"/>
  <c r="C604" i="21"/>
  <c r="C603" i="21"/>
  <c r="E602" i="21"/>
  <c r="D602" i="21"/>
  <c r="C602" i="21"/>
  <c r="D601" i="21"/>
  <c r="C601" i="21"/>
  <c r="E601" i="21" s="1"/>
  <c r="E600" i="21"/>
  <c r="D600" i="21"/>
  <c r="C600" i="21"/>
  <c r="C599" i="21"/>
  <c r="C598" i="21"/>
  <c r="E597" i="21"/>
  <c r="D597" i="21"/>
  <c r="C597" i="21"/>
  <c r="D596" i="21"/>
  <c r="C596" i="21"/>
  <c r="E596" i="21" s="1"/>
  <c r="D595" i="21"/>
  <c r="C595" i="21"/>
  <c r="E595" i="21" s="1"/>
  <c r="D594" i="21"/>
  <c r="C594" i="21"/>
  <c r="D593" i="21"/>
  <c r="C593" i="21"/>
  <c r="C592" i="21"/>
  <c r="D592" i="21" s="1"/>
  <c r="D591" i="21"/>
  <c r="C591" i="21"/>
  <c r="D590" i="21"/>
  <c r="C590" i="21"/>
  <c r="D589" i="21"/>
  <c r="C589" i="21"/>
  <c r="C588" i="21"/>
  <c r="D588" i="21" s="1"/>
  <c r="C576" i="21"/>
  <c r="C575" i="21"/>
  <c r="E574" i="21"/>
  <c r="D574" i="21"/>
  <c r="C574" i="21"/>
  <c r="D573" i="21"/>
  <c r="C573" i="21"/>
  <c r="E573" i="21" s="1"/>
  <c r="C572" i="21"/>
  <c r="E572" i="21" s="1"/>
  <c r="E571" i="21"/>
  <c r="D571" i="21"/>
  <c r="C571" i="21"/>
  <c r="E570" i="21"/>
  <c r="C570" i="21"/>
  <c r="D570" i="21" s="1"/>
  <c r="E569" i="21"/>
  <c r="D569" i="21"/>
  <c r="C569" i="21"/>
  <c r="C568" i="21"/>
  <c r="C567" i="21"/>
  <c r="E566" i="21"/>
  <c r="D566" i="21"/>
  <c r="C566" i="21"/>
  <c r="E565" i="21"/>
  <c r="C565" i="21"/>
  <c r="D565" i="21" s="1"/>
  <c r="E564" i="21"/>
  <c r="D564" i="21"/>
  <c r="C564" i="21"/>
  <c r="C563" i="21"/>
  <c r="C562" i="21"/>
  <c r="E561" i="21"/>
  <c r="D561" i="21"/>
  <c r="C561" i="21"/>
  <c r="D560" i="21"/>
  <c r="C560" i="21"/>
  <c r="E560" i="21" s="1"/>
  <c r="D552" i="21"/>
  <c r="C552" i="21"/>
  <c r="D551" i="21"/>
  <c r="C551" i="21"/>
  <c r="C550" i="21"/>
  <c r="D550" i="21" s="1"/>
  <c r="C549" i="21"/>
  <c r="D549" i="21" s="1"/>
  <c r="C548" i="21"/>
  <c r="D548" i="21" s="1"/>
  <c r="D547" i="21"/>
  <c r="C547" i="21"/>
  <c r="C546" i="21"/>
  <c r="D546" i="21" s="1"/>
  <c r="C545" i="21"/>
  <c r="D545" i="21" s="1"/>
  <c r="C544" i="21"/>
  <c r="D544" i="21" s="1"/>
  <c r="D543" i="21"/>
  <c r="C543" i="21"/>
  <c r="C542" i="21"/>
  <c r="D542" i="21" s="1"/>
  <c r="C541" i="21"/>
  <c r="D541" i="21" s="1"/>
  <c r="D540" i="21"/>
  <c r="C540" i="21"/>
  <c r="C539" i="21"/>
  <c r="D539" i="21" s="1"/>
  <c r="C538" i="21"/>
  <c r="D538" i="21" s="1"/>
  <c r="D537" i="21"/>
  <c r="C537" i="21"/>
  <c r="D536" i="21"/>
  <c r="C536" i="21"/>
  <c r="C526" i="21"/>
  <c r="E526" i="21" s="1"/>
  <c r="E525" i="21"/>
  <c r="D525" i="21"/>
  <c r="C525" i="21"/>
  <c r="D524" i="21"/>
  <c r="C524" i="21"/>
  <c r="E524" i="21" s="1"/>
  <c r="E523" i="21"/>
  <c r="C523" i="21"/>
  <c r="D523" i="21" s="1"/>
  <c r="C522" i="21"/>
  <c r="D521" i="21"/>
  <c r="C521" i="21"/>
  <c r="E521" i="21" s="1"/>
  <c r="E520" i="21"/>
  <c r="D520" i="21"/>
  <c r="C520" i="21"/>
  <c r="C519" i="21"/>
  <c r="D519" i="21" s="1"/>
  <c r="C518" i="21"/>
  <c r="D518" i="21" s="1"/>
  <c r="B505" i="21"/>
  <c r="D504" i="21"/>
  <c r="C504" i="21"/>
  <c r="E504" i="21" s="1"/>
  <c r="E503" i="21"/>
  <c r="C503" i="21"/>
  <c r="D503" i="21" s="1"/>
  <c r="E502" i="21"/>
  <c r="D502" i="21"/>
  <c r="C502" i="21"/>
  <c r="C501" i="21"/>
  <c r="D501" i="21" s="1"/>
  <c r="E500" i="21"/>
  <c r="D500" i="21"/>
  <c r="C500" i="21"/>
  <c r="D499" i="21"/>
  <c r="C499" i="21"/>
  <c r="E499" i="21" s="1"/>
  <c r="C498" i="21"/>
  <c r="E498" i="21" s="1"/>
  <c r="D497" i="21"/>
  <c r="C497" i="21"/>
  <c r="C496" i="21"/>
  <c r="D496" i="21" s="1"/>
  <c r="E482" i="21"/>
  <c r="D482" i="21"/>
  <c r="C482" i="21"/>
  <c r="C481" i="21"/>
  <c r="C480" i="21"/>
  <c r="E480" i="21" s="1"/>
  <c r="E479" i="21"/>
  <c r="D479" i="21"/>
  <c r="C479" i="21"/>
  <c r="D478" i="21"/>
  <c r="C478" i="21"/>
  <c r="E478" i="21" s="1"/>
  <c r="E477" i="21"/>
  <c r="C477" i="21"/>
  <c r="D477" i="21" s="1"/>
  <c r="C476" i="21"/>
  <c r="D475" i="21"/>
  <c r="C475" i="21"/>
  <c r="E475" i="21" s="1"/>
  <c r="E474" i="21"/>
  <c r="D474" i="21"/>
  <c r="C474" i="21"/>
  <c r="D459" i="21"/>
  <c r="C459" i="21"/>
  <c r="C458" i="21"/>
  <c r="D458" i="21" s="1"/>
  <c r="D457" i="21"/>
  <c r="C457" i="21"/>
  <c r="D456" i="21"/>
  <c r="C456" i="21"/>
  <c r="D455" i="21"/>
  <c r="C455" i="21"/>
  <c r="C454" i="21"/>
  <c r="D454" i="21" s="1"/>
  <c r="D453" i="21"/>
  <c r="C453" i="21"/>
  <c r="C452" i="21"/>
  <c r="D452" i="21" s="1"/>
  <c r="C451" i="21"/>
  <c r="D451" i="21" s="1"/>
  <c r="E440" i="21"/>
  <c r="D440" i="21"/>
  <c r="C440" i="21"/>
  <c r="C439" i="21"/>
  <c r="D439" i="21" s="1"/>
  <c r="E438" i="21"/>
  <c r="D438" i="21"/>
  <c r="C438" i="21"/>
  <c r="C437" i="21"/>
  <c r="C436" i="21"/>
  <c r="E436" i="21" s="1"/>
  <c r="E435" i="21"/>
  <c r="D435" i="21"/>
  <c r="C435" i="21"/>
  <c r="D434" i="21"/>
  <c r="C434" i="21"/>
  <c r="E434" i="21" s="1"/>
  <c r="E433" i="21"/>
  <c r="C433" i="21"/>
  <c r="D433" i="21" s="1"/>
  <c r="E432" i="21"/>
  <c r="D432" i="21"/>
  <c r="C432" i="21"/>
  <c r="C431" i="21"/>
  <c r="D431" i="21" s="1"/>
  <c r="E430" i="21"/>
  <c r="C430" i="21"/>
  <c r="D430" i="21" s="1"/>
  <c r="D429" i="21"/>
  <c r="C429" i="21"/>
  <c r="D428" i="21"/>
  <c r="C428" i="21"/>
  <c r="D427" i="21"/>
  <c r="C427" i="21"/>
  <c r="D426" i="21"/>
  <c r="C426" i="21"/>
  <c r="C425" i="21"/>
  <c r="D425" i="21" s="1"/>
  <c r="C424" i="21"/>
  <c r="D424" i="21" s="1"/>
  <c r="C423" i="21"/>
  <c r="D423" i="21" s="1"/>
  <c r="B413" i="21"/>
  <c r="C412" i="21"/>
  <c r="D412" i="21" s="1"/>
  <c r="E411" i="21"/>
  <c r="C411" i="21"/>
  <c r="D411" i="21" s="1"/>
  <c r="C410" i="21"/>
  <c r="E409" i="21"/>
  <c r="C409" i="21"/>
  <c r="D409" i="21" s="1"/>
  <c r="E408" i="21"/>
  <c r="D408" i="21"/>
  <c r="C408" i="21"/>
  <c r="C407" i="21"/>
  <c r="D407" i="21" s="1"/>
  <c r="E406" i="21"/>
  <c r="C406" i="21"/>
  <c r="D406" i="21" s="1"/>
  <c r="C405" i="21"/>
  <c r="D404" i="21"/>
  <c r="C404" i="21"/>
  <c r="E404" i="21" s="1"/>
  <c r="E403" i="21"/>
  <c r="D403" i="21"/>
  <c r="C403" i="21"/>
  <c r="D402" i="21"/>
  <c r="C402" i="21"/>
  <c r="E402" i="21" s="1"/>
  <c r="C401" i="21"/>
  <c r="D401" i="21" s="1"/>
  <c r="D400" i="21"/>
  <c r="C400" i="21"/>
  <c r="C399" i="21"/>
  <c r="D399" i="21" s="1"/>
  <c r="C398" i="21"/>
  <c r="D398" i="21" s="1"/>
  <c r="C397" i="21"/>
  <c r="D397" i="21" s="1"/>
  <c r="D396" i="21"/>
  <c r="C396" i="21"/>
  <c r="C395" i="21"/>
  <c r="D395" i="21" s="1"/>
  <c r="E385" i="21"/>
  <c r="C385" i="21"/>
  <c r="D385" i="21" s="1"/>
  <c r="C384" i="21"/>
  <c r="D383" i="21"/>
  <c r="C383" i="21"/>
  <c r="E383" i="21" s="1"/>
  <c r="E382" i="21"/>
  <c r="D382" i="21"/>
  <c r="C382" i="21"/>
  <c r="D381" i="21"/>
  <c r="C381" i="21"/>
  <c r="E381" i="21" s="1"/>
  <c r="E380" i="21"/>
  <c r="D380" i="21"/>
  <c r="C380" i="21"/>
  <c r="E379" i="21"/>
  <c r="D379" i="21"/>
  <c r="C379" i="21"/>
  <c r="C378" i="21"/>
  <c r="D378" i="21" s="1"/>
  <c r="E377" i="21"/>
  <c r="D377" i="21"/>
  <c r="C377" i="21"/>
  <c r="C376" i="21"/>
  <c r="C375" i="21"/>
  <c r="E375" i="21" s="1"/>
  <c r="E374" i="21"/>
  <c r="D374" i="21"/>
  <c r="C374" i="21"/>
  <c r="D373" i="21"/>
  <c r="C373" i="21"/>
  <c r="E373" i="21" s="1"/>
  <c r="E372" i="21"/>
  <c r="D372" i="21"/>
  <c r="C372" i="21"/>
  <c r="C371" i="21"/>
  <c r="C370" i="21"/>
  <c r="E370" i="21" s="1"/>
  <c r="E369" i="21"/>
  <c r="D369" i="21"/>
  <c r="C369" i="21"/>
  <c r="D368" i="21"/>
  <c r="C368" i="21"/>
  <c r="E368" i="21" s="1"/>
  <c r="C358" i="21"/>
  <c r="D358" i="21" s="1"/>
  <c r="D357" i="21"/>
  <c r="C357" i="21"/>
  <c r="C356" i="21"/>
  <c r="D356" i="21" s="1"/>
  <c r="C355" i="21"/>
  <c r="D355" i="21" s="1"/>
  <c r="C354" i="21"/>
  <c r="D354" i="21" s="1"/>
  <c r="D353" i="21"/>
  <c r="C353" i="21"/>
  <c r="C352" i="21"/>
  <c r="D352" i="21" s="1"/>
  <c r="C351" i="21"/>
  <c r="D351" i="21" s="1"/>
  <c r="C350" i="21"/>
  <c r="D350" i="21" s="1"/>
  <c r="D349" i="21"/>
  <c r="C349" i="21"/>
  <c r="C348" i="21"/>
  <c r="D348" i="21" s="1"/>
  <c r="C347" i="21"/>
  <c r="D347" i="21" s="1"/>
  <c r="C346" i="21"/>
  <c r="D346" i="21" s="1"/>
  <c r="D345" i="21"/>
  <c r="C345" i="21"/>
  <c r="D344" i="21"/>
  <c r="C344" i="21"/>
  <c r="D343" i="21"/>
  <c r="C343" i="21"/>
  <c r="C342" i="21"/>
  <c r="D342" i="21" s="1"/>
  <c r="D341" i="21"/>
  <c r="C341" i="21"/>
  <c r="B333" i="21"/>
  <c r="E332" i="21"/>
  <c r="C332" i="21"/>
  <c r="D332" i="21" s="1"/>
  <c r="C331" i="21"/>
  <c r="D330" i="21"/>
  <c r="C330" i="21"/>
  <c r="E330" i="21" s="1"/>
  <c r="E329" i="21"/>
  <c r="D329" i="21"/>
  <c r="C329" i="21"/>
  <c r="D328" i="21"/>
  <c r="C328" i="21"/>
  <c r="E328" i="21" s="1"/>
  <c r="E327" i="21"/>
  <c r="D327" i="21"/>
  <c r="C327" i="21"/>
  <c r="E326" i="21"/>
  <c r="D326" i="21"/>
  <c r="C326" i="21"/>
  <c r="C325" i="21"/>
  <c r="D325" i="21" s="1"/>
  <c r="E324" i="21"/>
  <c r="D324" i="21"/>
  <c r="C324" i="21"/>
  <c r="D323" i="21"/>
  <c r="C323" i="21"/>
  <c r="E323" i="21" s="1"/>
  <c r="E322" i="21"/>
  <c r="C322" i="21"/>
  <c r="D322" i="21" s="1"/>
  <c r="E321" i="21"/>
  <c r="D321" i="21"/>
  <c r="C321" i="21"/>
  <c r="D320" i="21"/>
  <c r="C320" i="21"/>
  <c r="D319" i="21"/>
  <c r="C319" i="21"/>
  <c r="C318" i="21"/>
  <c r="D318" i="21" s="1"/>
  <c r="D317" i="21"/>
  <c r="C317" i="21"/>
  <c r="C316" i="21"/>
  <c r="D316" i="21" s="1"/>
  <c r="D315" i="21"/>
  <c r="C315" i="21"/>
  <c r="D314" i="21"/>
  <c r="C314" i="21"/>
  <c r="C313" i="21"/>
  <c r="D313" i="21" s="1"/>
  <c r="C312" i="21"/>
  <c r="D312" i="21" s="1"/>
  <c r="C311" i="21"/>
  <c r="D311" i="21" s="1"/>
  <c r="D292" i="21"/>
  <c r="C292" i="21"/>
  <c r="E292" i="21" s="1"/>
  <c r="E291" i="21"/>
  <c r="D291" i="21"/>
  <c r="C291" i="21"/>
  <c r="E290" i="21"/>
  <c r="D290" i="21"/>
  <c r="C290" i="21"/>
  <c r="C289" i="21"/>
  <c r="D289" i="21" s="1"/>
  <c r="E288" i="21"/>
  <c r="D288" i="21"/>
  <c r="C288" i="21"/>
  <c r="C287" i="21"/>
  <c r="C286" i="21"/>
  <c r="E286" i="21" s="1"/>
  <c r="E285" i="21"/>
  <c r="D285" i="21"/>
  <c r="C285" i="21"/>
  <c r="D284" i="21"/>
  <c r="C284" i="21"/>
  <c r="E284" i="21" s="1"/>
  <c r="C283" i="21"/>
  <c r="E283" i="21" s="1"/>
  <c r="E282" i="21"/>
  <c r="D282" i="21"/>
  <c r="C282" i="21"/>
  <c r="E281" i="21"/>
  <c r="C281" i="21"/>
  <c r="D281" i="21" s="1"/>
  <c r="C280" i="21"/>
  <c r="D280" i="21" s="1"/>
  <c r="D279" i="21"/>
  <c r="C279" i="21"/>
  <c r="C278" i="21"/>
  <c r="D278" i="21" s="1"/>
  <c r="C277" i="21"/>
  <c r="D277" i="21" s="1"/>
  <c r="C276" i="21"/>
  <c r="D276" i="21" s="1"/>
  <c r="C275" i="21"/>
  <c r="D275" i="21" s="1"/>
  <c r="C274" i="21"/>
  <c r="D274" i="21" s="1"/>
  <c r="C273" i="21"/>
  <c r="D273" i="21" s="1"/>
  <c r="C272" i="21"/>
  <c r="D272" i="21" s="1"/>
  <c r="C271" i="21"/>
  <c r="D271" i="21" s="1"/>
  <c r="E262" i="21"/>
  <c r="D262" i="21"/>
  <c r="C262" i="21"/>
  <c r="C261" i="21"/>
  <c r="D261" i="21" s="1"/>
  <c r="D260" i="21"/>
  <c r="C260" i="21"/>
  <c r="E260" i="21" s="1"/>
  <c r="C259" i="21"/>
  <c r="E259" i="21" s="1"/>
  <c r="C258" i="21"/>
  <c r="E258" i="21" s="1"/>
  <c r="E257" i="21"/>
  <c r="D257" i="21"/>
  <c r="C257" i="21"/>
  <c r="E256" i="21"/>
  <c r="D256" i="21"/>
  <c r="C256" i="21"/>
  <c r="C255" i="21"/>
  <c r="E255" i="21" s="1"/>
  <c r="E254" i="21"/>
  <c r="D254" i="21"/>
  <c r="C254" i="21"/>
  <c r="E253" i="21"/>
  <c r="D253" i="21"/>
  <c r="C253" i="21"/>
  <c r="C252" i="21"/>
  <c r="E252" i="21" s="1"/>
  <c r="C251" i="21"/>
  <c r="E251" i="21" s="1"/>
  <c r="E250" i="21"/>
  <c r="C250" i="21"/>
  <c r="D250" i="21" s="1"/>
  <c r="E249" i="21"/>
  <c r="D249" i="21"/>
  <c r="C249" i="21"/>
  <c r="C248" i="21"/>
  <c r="E248" i="21" s="1"/>
  <c r="C247" i="21"/>
  <c r="E247" i="21" s="1"/>
  <c r="C246" i="21"/>
  <c r="E246" i="21" s="1"/>
  <c r="C245" i="21"/>
  <c r="E245" i="21" s="1"/>
  <c r="E244" i="21"/>
  <c r="D244" i="21"/>
  <c r="C244" i="21"/>
  <c r="E243" i="21"/>
  <c r="D243" i="21"/>
  <c r="C243" i="21"/>
  <c r="C242" i="21"/>
  <c r="E242" i="21" s="1"/>
  <c r="C241" i="21"/>
  <c r="E241" i="21" s="1"/>
  <c r="C232" i="21"/>
  <c r="D232" i="21" s="1"/>
  <c r="C231" i="21"/>
  <c r="D231" i="21" s="1"/>
  <c r="C230" i="21"/>
  <c r="D230" i="21" s="1"/>
  <c r="C229" i="21"/>
  <c r="D229" i="21" s="1"/>
  <c r="C228" i="21"/>
  <c r="D228" i="21" s="1"/>
  <c r="C227" i="21"/>
  <c r="D227" i="21" s="1"/>
  <c r="C226" i="21"/>
  <c r="D226" i="21" s="1"/>
  <c r="C225" i="21"/>
  <c r="D225" i="21" s="1"/>
  <c r="C224" i="21"/>
  <c r="D224" i="21" s="1"/>
  <c r="C223" i="21"/>
  <c r="D223" i="21" s="1"/>
  <c r="C222" i="21"/>
  <c r="D222" i="21" s="1"/>
  <c r="C221" i="21"/>
  <c r="D221" i="21" s="1"/>
  <c r="C220" i="21"/>
  <c r="D220" i="21" s="1"/>
  <c r="C219" i="21"/>
  <c r="D219" i="21" s="1"/>
  <c r="C218" i="21"/>
  <c r="D218" i="21" s="1"/>
  <c r="D217" i="21"/>
  <c r="C217" i="21"/>
  <c r="C216" i="21"/>
  <c r="D216" i="21" s="1"/>
  <c r="D215" i="21"/>
  <c r="C215" i="21"/>
  <c r="C214" i="21"/>
  <c r="D214" i="21" s="1"/>
  <c r="D213" i="21"/>
  <c r="C213" i="21"/>
  <c r="C212" i="21"/>
  <c r="D212" i="21" s="1"/>
  <c r="D233" i="21" s="1"/>
  <c r="H217" i="21" s="1"/>
  <c r="D211" i="21"/>
  <c r="C211" i="21"/>
  <c r="E198" i="21"/>
  <c r="C198" i="21"/>
  <c r="D198" i="21" s="1"/>
  <c r="E197" i="21"/>
  <c r="D197" i="21"/>
  <c r="C197" i="21"/>
  <c r="C196" i="21"/>
  <c r="E196" i="21" s="1"/>
  <c r="C195" i="21"/>
  <c r="E195" i="21" s="1"/>
  <c r="E194" i="21"/>
  <c r="C194" i="21"/>
  <c r="D194" i="21" s="1"/>
  <c r="E193" i="21"/>
  <c r="D193" i="21"/>
  <c r="C193" i="21"/>
  <c r="C192" i="21"/>
  <c r="E192" i="21" s="1"/>
  <c r="C191" i="21"/>
  <c r="E191" i="21" s="1"/>
  <c r="E190" i="21"/>
  <c r="C190" i="21"/>
  <c r="D190" i="21" s="1"/>
  <c r="E189" i="21"/>
  <c r="D189" i="21"/>
  <c r="C189" i="21"/>
  <c r="E188" i="21"/>
  <c r="C188" i="21"/>
  <c r="D188" i="21" s="1"/>
  <c r="E187" i="21"/>
  <c r="C187" i="21"/>
  <c r="D187" i="21" s="1"/>
  <c r="E186" i="21"/>
  <c r="C186" i="21"/>
  <c r="D186" i="21" s="1"/>
  <c r="E185" i="21"/>
  <c r="C185" i="21"/>
  <c r="D185" i="21" s="1"/>
  <c r="E184" i="21"/>
  <c r="D184" i="21"/>
  <c r="C184" i="21"/>
  <c r="E183" i="21"/>
  <c r="C183" i="21"/>
  <c r="D183" i="21" s="1"/>
  <c r="E182" i="21"/>
  <c r="C182" i="21"/>
  <c r="D182" i="21" s="1"/>
  <c r="E181" i="21"/>
  <c r="C181" i="21"/>
  <c r="D181" i="21" s="1"/>
  <c r="B170" i="21"/>
  <c r="C169" i="21"/>
  <c r="E169" i="21" s="1"/>
  <c r="C168" i="21"/>
  <c r="E168" i="21" s="1"/>
  <c r="E167" i="21"/>
  <c r="C167" i="21"/>
  <c r="D167" i="21" s="1"/>
  <c r="E166" i="21"/>
  <c r="D166" i="21"/>
  <c r="C166" i="21"/>
  <c r="E165" i="21"/>
  <c r="D165" i="21"/>
  <c r="C165" i="21"/>
  <c r="C164" i="21"/>
  <c r="E164" i="21" s="1"/>
  <c r="C163" i="21"/>
  <c r="E163" i="21" s="1"/>
  <c r="E162" i="21"/>
  <c r="C162" i="21"/>
  <c r="D162" i="21" s="1"/>
  <c r="E161" i="21"/>
  <c r="D161" i="21"/>
  <c r="C161" i="21"/>
  <c r="C160" i="21"/>
  <c r="E159" i="21"/>
  <c r="C159" i="21"/>
  <c r="D159" i="21" s="1"/>
  <c r="E158" i="21"/>
  <c r="D158" i="21"/>
  <c r="C158" i="21"/>
  <c r="E157" i="21"/>
  <c r="C157" i="21"/>
  <c r="D157" i="21" s="1"/>
  <c r="E156" i="21"/>
  <c r="C156" i="21"/>
  <c r="D156" i="21" s="1"/>
  <c r="E155" i="21"/>
  <c r="D155" i="21"/>
  <c r="C155" i="21"/>
  <c r="E154" i="21"/>
  <c r="C154" i="21"/>
  <c r="D154" i="21" s="1"/>
  <c r="E153" i="21"/>
  <c r="C153" i="21"/>
  <c r="D153" i="21" s="1"/>
  <c r="E152" i="21"/>
  <c r="C152" i="21"/>
  <c r="D152" i="21" s="1"/>
  <c r="C140" i="21"/>
  <c r="E140" i="21" s="1"/>
  <c r="E139" i="21"/>
  <c r="C139" i="21"/>
  <c r="D139" i="21" s="1"/>
  <c r="E138" i="21"/>
  <c r="D138" i="21"/>
  <c r="C138" i="21"/>
  <c r="C137" i="21"/>
  <c r="C136" i="21"/>
  <c r="E136" i="21" s="1"/>
  <c r="E135" i="21"/>
  <c r="D135" i="21"/>
  <c r="C135" i="21"/>
  <c r="E134" i="21"/>
  <c r="D134" i="21"/>
  <c r="C134" i="21"/>
  <c r="C133" i="21"/>
  <c r="E133" i="21" s="1"/>
  <c r="C132" i="21"/>
  <c r="E132" i="21" s="1"/>
  <c r="E131" i="21"/>
  <c r="C131" i="21"/>
  <c r="D131" i="21" s="1"/>
  <c r="E130" i="21"/>
  <c r="D130" i="21"/>
  <c r="C130" i="21"/>
  <c r="C129" i="21"/>
  <c r="C128" i="21"/>
  <c r="E128" i="21" s="1"/>
  <c r="C127" i="21"/>
  <c r="E127" i="21" s="1"/>
  <c r="E126" i="21"/>
  <c r="C126" i="21"/>
  <c r="D126" i="21" s="1"/>
  <c r="E125" i="21"/>
  <c r="D125" i="21"/>
  <c r="C125" i="21"/>
  <c r="C124" i="21"/>
  <c r="C123" i="21"/>
  <c r="E123" i="21" s="1"/>
  <c r="D114" i="21"/>
  <c r="C114" i="21"/>
  <c r="C113" i="21"/>
  <c r="D113" i="21" s="1"/>
  <c r="C112" i="21"/>
  <c r="D112" i="21" s="1"/>
  <c r="C111" i="21"/>
  <c r="D111" i="21" s="1"/>
  <c r="D110" i="21"/>
  <c r="C110" i="21"/>
  <c r="C109" i="21"/>
  <c r="D109" i="21" s="1"/>
  <c r="C108" i="21"/>
  <c r="D108" i="21" s="1"/>
  <c r="C107" i="21"/>
  <c r="D107" i="21" s="1"/>
  <c r="C106" i="21"/>
  <c r="D106" i="21" s="1"/>
  <c r="C105" i="21"/>
  <c r="D105" i="21" s="1"/>
  <c r="C104" i="21"/>
  <c r="D104" i="21" s="1"/>
  <c r="C103" i="21"/>
  <c r="D103" i="21" s="1"/>
  <c r="C102" i="21"/>
  <c r="D102" i="21" s="1"/>
  <c r="D101" i="21"/>
  <c r="C101" i="21"/>
  <c r="C100" i="21"/>
  <c r="D100" i="21" s="1"/>
  <c r="D99" i="21"/>
  <c r="C99" i="21"/>
  <c r="C98" i="21"/>
  <c r="D98" i="21" s="1"/>
  <c r="D97" i="21"/>
  <c r="C97" i="21"/>
  <c r="E87" i="21"/>
  <c r="C87" i="21"/>
  <c r="D87" i="21" s="1"/>
  <c r="E86" i="21"/>
  <c r="D86" i="21"/>
  <c r="C86" i="21"/>
  <c r="C85" i="21"/>
  <c r="E85" i="21" s="1"/>
  <c r="C84" i="21"/>
  <c r="E84" i="21" s="1"/>
  <c r="E83" i="21"/>
  <c r="C83" i="21"/>
  <c r="D83" i="21" s="1"/>
  <c r="E82" i="21"/>
  <c r="D82" i="21"/>
  <c r="C82" i="21"/>
  <c r="C81" i="21"/>
  <c r="C80" i="21"/>
  <c r="E80" i="21" s="1"/>
  <c r="E79" i="21"/>
  <c r="C79" i="21"/>
  <c r="D79" i="21" s="1"/>
  <c r="E78" i="21"/>
  <c r="C78" i="21"/>
  <c r="D78" i="21" s="1"/>
  <c r="E77" i="21"/>
  <c r="D77" i="21"/>
  <c r="C77" i="21"/>
  <c r="E76" i="21"/>
  <c r="C76" i="21"/>
  <c r="D76" i="21" s="1"/>
  <c r="E75" i="21"/>
  <c r="C75" i="21"/>
  <c r="D75" i="21" s="1"/>
  <c r="E74" i="21"/>
  <c r="D74" i="21"/>
  <c r="C74" i="21"/>
  <c r="B66" i="21"/>
  <c r="C65" i="21"/>
  <c r="E65" i="21" s="1"/>
  <c r="C64" i="21"/>
  <c r="E64" i="21" s="1"/>
  <c r="E63" i="21"/>
  <c r="C63" i="21"/>
  <c r="D63" i="21" s="1"/>
  <c r="E62" i="21"/>
  <c r="C62" i="21"/>
  <c r="D62" i="21" s="1"/>
  <c r="E61" i="21"/>
  <c r="D61" i="21"/>
  <c r="C61" i="21"/>
  <c r="C60" i="21"/>
  <c r="E60" i="21" s="1"/>
  <c r="C59" i="21"/>
  <c r="E59" i="21" s="1"/>
  <c r="E58" i="21"/>
  <c r="C58" i="21"/>
  <c r="D58" i="21" s="1"/>
  <c r="E57" i="21"/>
  <c r="D57" i="21"/>
  <c r="C57" i="21"/>
  <c r="E56" i="21"/>
  <c r="C56" i="21"/>
  <c r="D56" i="21" s="1"/>
  <c r="E55" i="21"/>
  <c r="C55" i="21"/>
  <c r="D55" i="21" s="1"/>
  <c r="E54" i="21"/>
  <c r="C54" i="21"/>
  <c r="D54" i="21" s="1"/>
  <c r="E53" i="21"/>
  <c r="E66" i="21" s="1"/>
  <c r="C53" i="21"/>
  <c r="D53" i="21" s="1"/>
  <c r="E52" i="21"/>
  <c r="D52" i="21"/>
  <c r="C52" i="21"/>
  <c r="E42" i="21"/>
  <c r="C42" i="21"/>
  <c r="D42" i="21" s="1"/>
  <c r="E41" i="21"/>
  <c r="D41" i="21"/>
  <c r="C41" i="21"/>
  <c r="C40" i="21"/>
  <c r="C39" i="21"/>
  <c r="E39" i="21" s="1"/>
  <c r="E38" i="21"/>
  <c r="D38" i="21"/>
  <c r="C38" i="21"/>
  <c r="E37" i="21"/>
  <c r="D37" i="21"/>
  <c r="C37" i="21"/>
  <c r="C36" i="21"/>
  <c r="E36" i="21" s="1"/>
  <c r="C35" i="21"/>
  <c r="E35" i="21" s="1"/>
  <c r="E34" i="21"/>
  <c r="C34" i="21"/>
  <c r="D34" i="21" s="1"/>
  <c r="E33" i="21"/>
  <c r="D33" i="21"/>
  <c r="C33" i="21"/>
  <c r="E32" i="21"/>
  <c r="D32" i="21"/>
  <c r="C32" i="21"/>
  <c r="C31" i="21"/>
  <c r="E31" i="21" s="1"/>
  <c r="C30" i="21"/>
  <c r="E30" i="21" s="1"/>
  <c r="E29" i="21"/>
  <c r="C29" i="21"/>
  <c r="D29" i="21" s="1"/>
  <c r="D19" i="21"/>
  <c r="C19" i="21"/>
  <c r="C18" i="21"/>
  <c r="D18" i="21" s="1"/>
  <c r="D17" i="21"/>
  <c r="C17" i="21"/>
  <c r="C16" i="21"/>
  <c r="D16" i="21" s="1"/>
  <c r="D15" i="21"/>
  <c r="C15" i="21"/>
  <c r="C14" i="21"/>
  <c r="D14" i="21" s="1"/>
  <c r="D13" i="21"/>
  <c r="C13" i="21"/>
  <c r="C12" i="21"/>
  <c r="D12" i="21" s="1"/>
  <c r="D11" i="21"/>
  <c r="C11" i="21"/>
  <c r="C10" i="21"/>
  <c r="D10" i="21" s="1"/>
  <c r="C9" i="21"/>
  <c r="D9" i="21" s="1"/>
  <c r="C8" i="21"/>
  <c r="D8" i="21" s="1"/>
  <c r="D7" i="21"/>
  <c r="C7" i="21"/>
  <c r="C6" i="21"/>
  <c r="D6" i="21" s="1"/>
  <c r="D240" i="11"/>
  <c r="C240" i="11"/>
  <c r="D239" i="11"/>
  <c r="C239" i="11"/>
  <c r="D238" i="11"/>
  <c r="C238" i="11"/>
  <c r="C237" i="11"/>
  <c r="D237" i="11" s="1"/>
  <c r="C236" i="11"/>
  <c r="D236" i="11" s="1"/>
  <c r="C235" i="11"/>
  <c r="D235" i="11" s="1"/>
  <c r="C234" i="11"/>
  <c r="D234" i="11" s="1"/>
  <c r="C233" i="11"/>
  <c r="D233" i="11" s="1"/>
  <c r="C232" i="11"/>
  <c r="D232" i="11" s="1"/>
  <c r="D231" i="11"/>
  <c r="C231" i="11"/>
  <c r="C230" i="11"/>
  <c r="D230" i="11" s="1"/>
  <c r="C229" i="11"/>
  <c r="D229" i="11" s="1"/>
  <c r="C228" i="11"/>
  <c r="D228" i="11" s="1"/>
  <c r="D227" i="11"/>
  <c r="C220" i="11"/>
  <c r="D220" i="11" s="1"/>
  <c r="C219" i="11"/>
  <c r="D219" i="11" s="1"/>
  <c r="D218" i="11"/>
  <c r="C218" i="11"/>
  <c r="D217" i="11"/>
  <c r="C217" i="11"/>
  <c r="C216" i="11"/>
  <c r="D216" i="11" s="1"/>
  <c r="C215" i="11"/>
  <c r="D215" i="11" s="1"/>
  <c r="C214" i="11"/>
  <c r="D214" i="11" s="1"/>
  <c r="C213" i="11"/>
  <c r="D213" i="11" s="1"/>
  <c r="C212" i="11"/>
  <c r="D212" i="11" s="1"/>
  <c r="C211" i="11"/>
  <c r="D211" i="11" s="1"/>
  <c r="C210" i="11"/>
  <c r="D210" i="11" s="1"/>
  <c r="C209" i="11"/>
  <c r="D209" i="11" s="1"/>
  <c r="C208" i="11"/>
  <c r="D208" i="11" s="1"/>
  <c r="C207" i="11"/>
  <c r="D207" i="11" s="1"/>
  <c r="D221" i="11" s="1"/>
  <c r="D196" i="11"/>
  <c r="C196" i="11"/>
  <c r="C195" i="11"/>
  <c r="D195" i="11" s="1"/>
  <c r="C194" i="11"/>
  <c r="D194" i="11" s="1"/>
  <c r="C193" i="11"/>
  <c r="D193" i="11" s="1"/>
  <c r="D192" i="11"/>
  <c r="C192" i="11"/>
  <c r="C191" i="11"/>
  <c r="D191" i="11" s="1"/>
  <c r="D190" i="11"/>
  <c r="C190" i="11"/>
  <c r="C189" i="11"/>
  <c r="D189" i="11" s="1"/>
  <c r="C188" i="11"/>
  <c r="D188" i="11" s="1"/>
  <c r="D187" i="11"/>
  <c r="C187" i="11"/>
  <c r="C186" i="11"/>
  <c r="D186" i="11" s="1"/>
  <c r="D185" i="11"/>
  <c r="C185" i="11"/>
  <c r="C184" i="11"/>
  <c r="D184" i="11" s="1"/>
  <c r="D183" i="11"/>
  <c r="C183" i="11"/>
  <c r="C197" i="11" s="1"/>
  <c r="D172" i="11"/>
  <c r="C172" i="11"/>
  <c r="C171" i="11"/>
  <c r="D171" i="11" s="1"/>
  <c r="D170" i="11"/>
  <c r="C170" i="11"/>
  <c r="C169" i="11"/>
  <c r="D169" i="11" s="1"/>
  <c r="D168" i="11"/>
  <c r="C168" i="11"/>
  <c r="C167" i="11"/>
  <c r="D167" i="11" s="1"/>
  <c r="D166" i="11"/>
  <c r="C166" i="11"/>
  <c r="D165" i="11"/>
  <c r="C165" i="11"/>
  <c r="C164" i="11"/>
  <c r="D164" i="11" s="1"/>
  <c r="C163" i="11"/>
  <c r="D163" i="11" s="1"/>
  <c r="D153" i="11"/>
  <c r="C153" i="11"/>
  <c r="C152" i="11"/>
  <c r="D152" i="11" s="1"/>
  <c r="D151" i="11"/>
  <c r="C151" i="11"/>
  <c r="C150" i="11"/>
  <c r="D150" i="11" s="1"/>
  <c r="D149" i="11"/>
  <c r="C149" i="11"/>
  <c r="C148" i="11"/>
  <c r="D148" i="11" s="1"/>
  <c r="C147" i="11"/>
  <c r="D147" i="11" s="1"/>
  <c r="C146" i="11"/>
  <c r="D146" i="11" s="1"/>
  <c r="D145" i="11"/>
  <c r="C145" i="11"/>
  <c r="C144" i="11"/>
  <c r="D144" i="11" s="1"/>
  <c r="D143" i="11"/>
  <c r="C143" i="11"/>
  <c r="C142" i="11"/>
  <c r="D142" i="11" s="1"/>
  <c r="C141" i="11"/>
  <c r="D141" i="11" s="1"/>
  <c r="D140" i="11"/>
  <c r="C140" i="11"/>
  <c r="C139" i="11"/>
  <c r="D139" i="11" s="1"/>
  <c r="D138" i="11"/>
  <c r="C138" i="11"/>
  <c r="C137" i="11"/>
  <c r="D137" i="11" s="1"/>
  <c r="C123" i="11"/>
  <c r="D123" i="11" s="1"/>
  <c r="C122" i="11"/>
  <c r="D122" i="11" s="1"/>
  <c r="C121" i="11"/>
  <c r="D121" i="11" s="1"/>
  <c r="D120" i="11"/>
  <c r="C120" i="11"/>
  <c r="D119" i="11"/>
  <c r="C119" i="11"/>
  <c r="C118" i="11"/>
  <c r="D118" i="11" s="1"/>
  <c r="C117" i="11"/>
  <c r="D117" i="11" s="1"/>
  <c r="D124" i="11" s="1"/>
  <c r="C116" i="11"/>
  <c r="D116" i="11" s="1"/>
  <c r="D115" i="11"/>
  <c r="C115" i="11"/>
  <c r="D105" i="11"/>
  <c r="C105" i="11"/>
  <c r="C104" i="11"/>
  <c r="D104" i="11" s="1"/>
  <c r="D103" i="11"/>
  <c r="C103" i="11"/>
  <c r="C102" i="11"/>
  <c r="D102" i="11" s="1"/>
  <c r="C101" i="11"/>
  <c r="D101" i="11" s="1"/>
  <c r="C100" i="11"/>
  <c r="D100" i="11" s="1"/>
  <c r="D99" i="11"/>
  <c r="C99" i="11"/>
  <c r="C98" i="11"/>
  <c r="D98" i="11" s="1"/>
  <c r="C97" i="11"/>
  <c r="D97" i="11" s="1"/>
  <c r="C96" i="11"/>
  <c r="D96" i="11" s="1"/>
  <c r="D95" i="11"/>
  <c r="C95" i="11"/>
  <c r="C94" i="11"/>
  <c r="D94" i="11" s="1"/>
  <c r="D93" i="11"/>
  <c r="C93" i="11"/>
  <c r="C92" i="11"/>
  <c r="D92" i="11" s="1"/>
  <c r="C91" i="11"/>
  <c r="D91" i="11" s="1"/>
  <c r="D90" i="11"/>
  <c r="C90" i="11"/>
  <c r="C89" i="11"/>
  <c r="D89" i="11" s="1"/>
  <c r="C88" i="11"/>
  <c r="C106" i="11" s="1"/>
  <c r="C77" i="11"/>
  <c r="D77" i="11" s="1"/>
  <c r="D76" i="11"/>
  <c r="C76" i="11"/>
  <c r="D75" i="11"/>
  <c r="C75" i="11"/>
  <c r="C74" i="11"/>
  <c r="D74" i="11" s="1"/>
  <c r="D73" i="11"/>
  <c r="C73" i="11"/>
  <c r="D72" i="11"/>
  <c r="C72" i="11"/>
  <c r="C71" i="11"/>
  <c r="D71" i="11" s="1"/>
  <c r="C70" i="11"/>
  <c r="D70" i="11" s="1"/>
  <c r="C69" i="11"/>
  <c r="D69" i="11" s="1"/>
  <c r="D68" i="11"/>
  <c r="C68" i="11"/>
  <c r="D67" i="11"/>
  <c r="C67" i="11"/>
  <c r="C66" i="11"/>
  <c r="D66" i="11" s="1"/>
  <c r="D65" i="11"/>
  <c r="C65" i="11"/>
  <c r="D64" i="11"/>
  <c r="C64" i="11"/>
  <c r="C63" i="11"/>
  <c r="D63" i="11" s="1"/>
  <c r="C62" i="11"/>
  <c r="D62" i="11" s="1"/>
  <c r="C61" i="11"/>
  <c r="D61" i="11" s="1"/>
  <c r="D60" i="11"/>
  <c r="C60" i="11"/>
  <c r="D59" i="11"/>
  <c r="C59" i="11"/>
  <c r="C58" i="11"/>
  <c r="D58" i="11" s="1"/>
  <c r="C57" i="11"/>
  <c r="D57" i="11" s="1"/>
  <c r="C56" i="11"/>
  <c r="C78" i="11" s="1"/>
  <c r="D45" i="11"/>
  <c r="C45" i="11"/>
  <c r="C44" i="11"/>
  <c r="D44" i="11" s="1"/>
  <c r="D43" i="11"/>
  <c r="C43" i="11"/>
  <c r="C42" i="11"/>
  <c r="D42" i="11" s="1"/>
  <c r="C41" i="11"/>
  <c r="D41" i="11" s="1"/>
  <c r="C40" i="11"/>
  <c r="D40" i="11" s="1"/>
  <c r="C39" i="11"/>
  <c r="D39" i="11" s="1"/>
  <c r="D38" i="11"/>
  <c r="C38" i="11"/>
  <c r="D37" i="11"/>
  <c r="C37" i="11"/>
  <c r="C36" i="11"/>
  <c r="D36" i="11" s="1"/>
  <c r="D35" i="11"/>
  <c r="C35" i="11"/>
  <c r="C34" i="11"/>
  <c r="D34" i="11" s="1"/>
  <c r="D33" i="11"/>
  <c r="C33" i="11"/>
  <c r="D32" i="11"/>
  <c r="C32" i="11"/>
  <c r="C31" i="11"/>
  <c r="D31" i="11" s="1"/>
  <c r="D30" i="11"/>
  <c r="C30" i="11"/>
  <c r="C29" i="11"/>
  <c r="D29" i="11" s="1"/>
  <c r="C28" i="11"/>
  <c r="D28" i="11" s="1"/>
  <c r="C19" i="11"/>
  <c r="D19" i="11" s="1"/>
  <c r="D18" i="11"/>
  <c r="C18" i="11"/>
  <c r="D17" i="11"/>
  <c r="C17" i="11"/>
  <c r="C16" i="11"/>
  <c r="D16" i="11" s="1"/>
  <c r="D15" i="11"/>
  <c r="C15" i="11"/>
  <c r="C14" i="11"/>
  <c r="D14" i="11" s="1"/>
  <c r="C13" i="11"/>
  <c r="D13" i="11" s="1"/>
  <c r="D12" i="11"/>
  <c r="C12" i="11"/>
  <c r="C11" i="11"/>
  <c r="D11" i="11" s="1"/>
  <c r="D10" i="11"/>
  <c r="C10" i="11"/>
  <c r="C9" i="11"/>
  <c r="D9" i="11" s="1"/>
  <c r="C8" i="11"/>
  <c r="D8" i="11" s="1"/>
  <c r="D7" i="11"/>
  <c r="C7" i="11"/>
  <c r="C6" i="11"/>
  <c r="C20" i="11" s="1"/>
  <c r="D861" i="19"/>
  <c r="C861" i="19"/>
  <c r="D860" i="19"/>
  <c r="C860" i="19"/>
  <c r="D859" i="19"/>
  <c r="C859" i="19"/>
  <c r="D858" i="19"/>
  <c r="C858" i="19"/>
  <c r="C857" i="19"/>
  <c r="D857" i="19" s="1"/>
  <c r="C856" i="19"/>
  <c r="D856" i="19" s="1"/>
  <c r="D855" i="19"/>
  <c r="C855" i="19"/>
  <c r="C854" i="19"/>
  <c r="D854" i="19" s="1"/>
  <c r="C853" i="19"/>
  <c r="D853" i="19" s="1"/>
  <c r="C852" i="19"/>
  <c r="D852" i="19" s="1"/>
  <c r="D851" i="19"/>
  <c r="C851" i="19"/>
  <c r="D850" i="19"/>
  <c r="C850" i="19"/>
  <c r="D849" i="19"/>
  <c r="C849" i="19"/>
  <c r="D848" i="19"/>
  <c r="C848" i="19"/>
  <c r="E838" i="19"/>
  <c r="C838" i="19"/>
  <c r="D838" i="19" s="1"/>
  <c r="E837" i="19"/>
  <c r="D837" i="19"/>
  <c r="C837" i="19"/>
  <c r="E836" i="19"/>
  <c r="C836" i="19"/>
  <c r="D836" i="19" s="1"/>
  <c r="C835" i="19"/>
  <c r="D835" i="19" s="1"/>
  <c r="C834" i="19"/>
  <c r="E834" i="19" s="1"/>
  <c r="E833" i="19"/>
  <c r="C833" i="19"/>
  <c r="D833" i="19" s="1"/>
  <c r="D832" i="19"/>
  <c r="C832" i="19"/>
  <c r="E832" i="19" s="1"/>
  <c r="C831" i="19"/>
  <c r="E831" i="19" s="1"/>
  <c r="C830" i="19"/>
  <c r="D830" i="19" s="1"/>
  <c r="D829" i="19"/>
  <c r="C829" i="19"/>
  <c r="C828" i="19"/>
  <c r="D828" i="19" s="1"/>
  <c r="D827" i="19"/>
  <c r="C827" i="19"/>
  <c r="C826" i="19"/>
  <c r="D826" i="19" s="1"/>
  <c r="D825" i="19"/>
  <c r="C825" i="19"/>
  <c r="E814" i="19"/>
  <c r="C814" i="19"/>
  <c r="D814" i="19" s="1"/>
  <c r="D813" i="19"/>
  <c r="C813" i="19"/>
  <c r="E813" i="19" s="1"/>
  <c r="C812" i="19"/>
  <c r="E812" i="19" s="1"/>
  <c r="C811" i="19"/>
  <c r="E811" i="19" s="1"/>
  <c r="E810" i="19"/>
  <c r="D810" i="19"/>
  <c r="C810" i="19"/>
  <c r="E809" i="19"/>
  <c r="D809" i="19"/>
  <c r="C809" i="19"/>
  <c r="C808" i="19"/>
  <c r="D808" i="19" s="1"/>
  <c r="C807" i="19"/>
  <c r="E807" i="19" s="1"/>
  <c r="E806" i="19"/>
  <c r="C806" i="19"/>
  <c r="D806" i="19" s="1"/>
  <c r="D805" i="19"/>
  <c r="C805" i="19"/>
  <c r="E805" i="19" s="1"/>
  <c r="E804" i="19"/>
  <c r="D804" i="19"/>
  <c r="C804" i="19"/>
  <c r="C803" i="19"/>
  <c r="D803" i="19" s="1"/>
  <c r="C802" i="19"/>
  <c r="E802" i="19" s="1"/>
  <c r="E801" i="19"/>
  <c r="C801" i="19"/>
  <c r="D801" i="19" s="1"/>
  <c r="D793" i="19"/>
  <c r="C793" i="19"/>
  <c r="C792" i="19"/>
  <c r="D792" i="19" s="1"/>
  <c r="D791" i="19"/>
  <c r="C791" i="19"/>
  <c r="C790" i="19"/>
  <c r="D790" i="19" s="1"/>
  <c r="D789" i="19"/>
  <c r="C789" i="19"/>
  <c r="C788" i="19"/>
  <c r="D788" i="19" s="1"/>
  <c r="D787" i="19"/>
  <c r="C787" i="19"/>
  <c r="C786" i="19"/>
  <c r="D786" i="19" s="1"/>
  <c r="D785" i="19"/>
  <c r="C785" i="19"/>
  <c r="C784" i="19"/>
  <c r="D784" i="19" s="1"/>
  <c r="C783" i="19"/>
  <c r="D783" i="19" s="1"/>
  <c r="C782" i="19"/>
  <c r="D782" i="19" s="1"/>
  <c r="D781" i="19"/>
  <c r="C781" i="19"/>
  <c r="C780" i="19"/>
  <c r="D780" i="19" s="1"/>
  <c r="D772" i="19"/>
  <c r="C772" i="19"/>
  <c r="E772" i="19" s="1"/>
  <c r="E771" i="19"/>
  <c r="C771" i="19"/>
  <c r="D771" i="19" s="1"/>
  <c r="C770" i="19"/>
  <c r="E770" i="19" s="1"/>
  <c r="C769" i="19"/>
  <c r="E769" i="19" s="1"/>
  <c r="E768" i="19"/>
  <c r="D768" i="19"/>
  <c r="C768" i="19"/>
  <c r="C767" i="19"/>
  <c r="D767" i="19" s="1"/>
  <c r="D766" i="19"/>
  <c r="C766" i="19"/>
  <c r="E766" i="19" s="1"/>
  <c r="E765" i="19"/>
  <c r="C765" i="19"/>
  <c r="D765" i="19" s="1"/>
  <c r="D764" i="19"/>
  <c r="C764" i="19"/>
  <c r="E764" i="19" s="1"/>
  <c r="E763" i="19"/>
  <c r="C763" i="19"/>
  <c r="D763" i="19" s="1"/>
  <c r="C762" i="19"/>
  <c r="D762" i="19" s="1"/>
  <c r="D761" i="19"/>
  <c r="C761" i="19"/>
  <c r="D760" i="19"/>
  <c r="C760" i="19"/>
  <c r="D759" i="19"/>
  <c r="C759" i="19"/>
  <c r="C751" i="19"/>
  <c r="E750" i="19"/>
  <c r="D750" i="19"/>
  <c r="C750" i="19"/>
  <c r="C749" i="19"/>
  <c r="D749" i="19" s="1"/>
  <c r="D748" i="19"/>
  <c r="C748" i="19"/>
  <c r="E748" i="19" s="1"/>
  <c r="E747" i="19"/>
  <c r="C747" i="19"/>
  <c r="D747" i="19" s="1"/>
  <c r="D746" i="19"/>
  <c r="C746" i="19"/>
  <c r="E746" i="19" s="1"/>
  <c r="E745" i="19"/>
  <c r="C745" i="19"/>
  <c r="D745" i="19" s="1"/>
  <c r="D744" i="19"/>
  <c r="C744" i="19"/>
  <c r="E744" i="19" s="1"/>
  <c r="C743" i="19"/>
  <c r="E742" i="19"/>
  <c r="D742" i="19"/>
  <c r="C742" i="19"/>
  <c r="C741" i="19"/>
  <c r="D741" i="19" s="1"/>
  <c r="C740" i="19"/>
  <c r="D740" i="19" s="1"/>
  <c r="C739" i="19"/>
  <c r="D739" i="19" s="1"/>
  <c r="C738" i="19"/>
  <c r="D738" i="19" s="1"/>
  <c r="D729" i="19"/>
  <c r="C729" i="19"/>
  <c r="E729" i="19" s="1"/>
  <c r="E728" i="19"/>
  <c r="C728" i="19"/>
  <c r="D728" i="19" s="1"/>
  <c r="D727" i="19"/>
  <c r="C727" i="19"/>
  <c r="E727" i="19" s="1"/>
  <c r="E726" i="19"/>
  <c r="C726" i="19"/>
  <c r="D726" i="19" s="1"/>
  <c r="D725" i="19"/>
  <c r="C725" i="19"/>
  <c r="E725" i="19" s="1"/>
  <c r="C724" i="19"/>
  <c r="E723" i="19"/>
  <c r="D723" i="19"/>
  <c r="C723" i="19"/>
  <c r="C722" i="19"/>
  <c r="D722" i="19" s="1"/>
  <c r="D721" i="19"/>
  <c r="C721" i="19"/>
  <c r="E721" i="19" s="1"/>
  <c r="E720" i="19"/>
  <c r="C720" i="19"/>
  <c r="D720" i="19" s="1"/>
  <c r="C719" i="19"/>
  <c r="E718" i="19"/>
  <c r="D718" i="19"/>
  <c r="C718" i="19"/>
  <c r="C717" i="19"/>
  <c r="D717" i="19" s="1"/>
  <c r="D716" i="19"/>
  <c r="C716" i="19"/>
  <c r="E716" i="19" s="1"/>
  <c r="C707" i="19"/>
  <c r="D707" i="19" s="1"/>
  <c r="C706" i="19"/>
  <c r="D706" i="19" s="1"/>
  <c r="C705" i="19"/>
  <c r="D705" i="19" s="1"/>
  <c r="C704" i="19"/>
  <c r="D704" i="19" s="1"/>
  <c r="C703" i="19"/>
  <c r="D703" i="19" s="1"/>
  <c r="C702" i="19"/>
  <c r="D702" i="19" s="1"/>
  <c r="C701" i="19"/>
  <c r="D701" i="19" s="1"/>
  <c r="C700" i="19"/>
  <c r="D700" i="19" s="1"/>
  <c r="C699" i="19"/>
  <c r="D699" i="19" s="1"/>
  <c r="C698" i="19"/>
  <c r="D698" i="19" s="1"/>
  <c r="D697" i="19"/>
  <c r="C697" i="19"/>
  <c r="D696" i="19"/>
  <c r="C696" i="19"/>
  <c r="D695" i="19"/>
  <c r="C695" i="19"/>
  <c r="D694" i="19"/>
  <c r="C694" i="19"/>
  <c r="E686" i="19"/>
  <c r="C686" i="19"/>
  <c r="D686" i="19" s="1"/>
  <c r="D685" i="19"/>
  <c r="C685" i="19"/>
  <c r="E685" i="19" s="1"/>
  <c r="E684" i="19"/>
  <c r="C684" i="19"/>
  <c r="D684" i="19" s="1"/>
  <c r="D683" i="19"/>
  <c r="C683" i="19"/>
  <c r="E683" i="19" s="1"/>
  <c r="C682" i="19"/>
  <c r="E681" i="19"/>
  <c r="D681" i="19"/>
  <c r="C681" i="19"/>
  <c r="C680" i="19"/>
  <c r="D680" i="19" s="1"/>
  <c r="E679" i="19"/>
  <c r="D679" i="19"/>
  <c r="C679" i="19"/>
  <c r="E678" i="19"/>
  <c r="C678" i="19"/>
  <c r="D678" i="19" s="1"/>
  <c r="E677" i="19"/>
  <c r="D677" i="19"/>
  <c r="C677" i="19"/>
  <c r="C668" i="19"/>
  <c r="D668" i="19" s="1"/>
  <c r="D667" i="19"/>
  <c r="C667" i="19"/>
  <c r="E667" i="19" s="1"/>
  <c r="E666" i="19"/>
  <c r="C666" i="19"/>
  <c r="D666" i="19" s="1"/>
  <c r="D665" i="19"/>
  <c r="C665" i="19"/>
  <c r="E665" i="19" s="1"/>
  <c r="E664" i="19"/>
  <c r="C664" i="19"/>
  <c r="D664" i="19" s="1"/>
  <c r="D663" i="19"/>
  <c r="C663" i="19"/>
  <c r="E663" i="19" s="1"/>
  <c r="C662" i="19"/>
  <c r="E661" i="19"/>
  <c r="C661" i="19"/>
  <c r="D661" i="19" s="1"/>
  <c r="E660" i="19"/>
  <c r="D660" i="19"/>
  <c r="C660" i="19"/>
  <c r="E659" i="19"/>
  <c r="C659" i="19"/>
  <c r="D659" i="19" s="1"/>
  <c r="D647" i="19"/>
  <c r="C647" i="19"/>
  <c r="E647" i="19" s="1"/>
  <c r="E646" i="19"/>
  <c r="C646" i="19"/>
  <c r="D646" i="19" s="1"/>
  <c r="D645" i="19"/>
  <c r="C645" i="19"/>
  <c r="E645" i="19" s="1"/>
  <c r="C644" i="19"/>
  <c r="E643" i="19"/>
  <c r="D643" i="19"/>
  <c r="C643" i="19"/>
  <c r="C642" i="19"/>
  <c r="D642" i="19" s="1"/>
  <c r="D641" i="19"/>
  <c r="C641" i="19"/>
  <c r="E641" i="19" s="1"/>
  <c r="D640" i="19"/>
  <c r="C640" i="19"/>
  <c r="E640" i="19" s="1"/>
  <c r="C639" i="19"/>
  <c r="E638" i="19"/>
  <c r="D638" i="19"/>
  <c r="C638" i="19"/>
  <c r="C629" i="19"/>
  <c r="D629" i="19" s="1"/>
  <c r="C628" i="19"/>
  <c r="D628" i="19" s="1"/>
  <c r="C627" i="19"/>
  <c r="D627" i="19" s="1"/>
  <c r="C626" i="19"/>
  <c r="D626" i="19" s="1"/>
  <c r="C625" i="19"/>
  <c r="D625" i="19" s="1"/>
  <c r="C624" i="19"/>
  <c r="D624" i="19" s="1"/>
  <c r="C623" i="19"/>
  <c r="D623" i="19" s="1"/>
  <c r="D622" i="19"/>
  <c r="C622" i="19"/>
  <c r="D621" i="19"/>
  <c r="C621" i="19"/>
  <c r="D620" i="19"/>
  <c r="D630" i="19" s="1"/>
  <c r="G623" i="19" s="1"/>
  <c r="C620" i="19"/>
  <c r="C601" i="19"/>
  <c r="D601" i="19" s="1"/>
  <c r="D600" i="19"/>
  <c r="C600" i="19"/>
  <c r="E600" i="19" s="1"/>
  <c r="E599" i="19"/>
  <c r="D599" i="19"/>
  <c r="C599" i="19"/>
  <c r="D598" i="19"/>
  <c r="C598" i="19"/>
  <c r="E598" i="19" s="1"/>
  <c r="E597" i="19"/>
  <c r="C597" i="19"/>
  <c r="D597" i="19" s="1"/>
  <c r="E596" i="19"/>
  <c r="D596" i="19"/>
  <c r="C596" i="19"/>
  <c r="C595" i="19"/>
  <c r="C594" i="19"/>
  <c r="E594" i="19" s="1"/>
  <c r="C593" i="19"/>
  <c r="D593" i="19" s="1"/>
  <c r="D592" i="19"/>
  <c r="C592" i="19"/>
  <c r="E592" i="19" s="1"/>
  <c r="C591" i="19"/>
  <c r="D591" i="19" s="1"/>
  <c r="D590" i="19"/>
  <c r="C590" i="19"/>
  <c r="D589" i="19"/>
  <c r="C589" i="19"/>
  <c r="C588" i="19"/>
  <c r="D588" i="19" s="1"/>
  <c r="D587" i="19"/>
  <c r="C587" i="19"/>
  <c r="C586" i="19"/>
  <c r="D586" i="19" s="1"/>
  <c r="C585" i="19"/>
  <c r="D585" i="19" s="1"/>
  <c r="E574" i="19"/>
  <c r="D574" i="19"/>
  <c r="C574" i="19"/>
  <c r="C573" i="19"/>
  <c r="C572" i="19"/>
  <c r="E572" i="19" s="1"/>
  <c r="C571" i="19"/>
  <c r="D571" i="19" s="1"/>
  <c r="D570" i="19"/>
  <c r="C570" i="19"/>
  <c r="E570" i="19" s="1"/>
  <c r="E569" i="19"/>
  <c r="D569" i="19"/>
  <c r="C569" i="19"/>
  <c r="D568" i="19"/>
  <c r="C568" i="19"/>
  <c r="E568" i="19" s="1"/>
  <c r="E567" i="19"/>
  <c r="C567" i="19"/>
  <c r="D567" i="19" s="1"/>
  <c r="E566" i="19"/>
  <c r="D566" i="19"/>
  <c r="C566" i="19"/>
  <c r="C565" i="19"/>
  <c r="C564" i="19"/>
  <c r="D564" i="19" s="1"/>
  <c r="D563" i="19"/>
  <c r="C563" i="19"/>
  <c r="C562" i="19"/>
  <c r="D562" i="19" s="1"/>
  <c r="D561" i="19"/>
  <c r="C561" i="19"/>
  <c r="C560" i="19"/>
  <c r="D560" i="19" s="1"/>
  <c r="D559" i="19"/>
  <c r="C559" i="19"/>
  <c r="D558" i="19"/>
  <c r="C558" i="19"/>
  <c r="E549" i="19"/>
  <c r="D549" i="19"/>
  <c r="C549" i="19"/>
  <c r="D548" i="19"/>
  <c r="C548" i="19"/>
  <c r="E548" i="19" s="1"/>
  <c r="E547" i="19"/>
  <c r="C547" i="19"/>
  <c r="D547" i="19" s="1"/>
  <c r="E546" i="19"/>
  <c r="D546" i="19"/>
  <c r="C546" i="19"/>
  <c r="C545" i="19"/>
  <c r="C544" i="19"/>
  <c r="C543" i="19"/>
  <c r="D543" i="19" s="1"/>
  <c r="E542" i="19"/>
  <c r="D542" i="19"/>
  <c r="C542" i="19"/>
  <c r="E541" i="19"/>
  <c r="D541" i="19"/>
  <c r="C541" i="19"/>
  <c r="D540" i="19"/>
  <c r="C540" i="19"/>
  <c r="E540" i="19" s="1"/>
  <c r="E539" i="19"/>
  <c r="C539" i="19"/>
  <c r="D539" i="19" s="1"/>
  <c r="E538" i="19"/>
  <c r="D538" i="19"/>
  <c r="C538" i="19"/>
  <c r="E537" i="19"/>
  <c r="D537" i="19"/>
  <c r="C537" i="19"/>
  <c r="E536" i="19"/>
  <c r="D536" i="19"/>
  <c r="C536" i="19"/>
  <c r="D535" i="19"/>
  <c r="C535" i="19"/>
  <c r="E535" i="19" s="1"/>
  <c r="E534" i="19"/>
  <c r="C534" i="19"/>
  <c r="D534" i="19" s="1"/>
  <c r="E533" i="19"/>
  <c r="D533" i="19"/>
  <c r="C533" i="19"/>
  <c r="C524" i="19"/>
  <c r="D524" i="19" s="1"/>
  <c r="C523" i="19"/>
  <c r="D523" i="19" s="1"/>
  <c r="D522" i="19"/>
  <c r="C522" i="19"/>
  <c r="C521" i="19"/>
  <c r="D521" i="19" s="1"/>
  <c r="C520" i="19"/>
  <c r="D520" i="19" s="1"/>
  <c r="C519" i="19"/>
  <c r="D519" i="19" s="1"/>
  <c r="D518" i="19"/>
  <c r="C518" i="19"/>
  <c r="C517" i="19"/>
  <c r="D517" i="19" s="1"/>
  <c r="C516" i="19"/>
  <c r="D516" i="19" s="1"/>
  <c r="C515" i="19"/>
  <c r="D515" i="19" s="1"/>
  <c r="D514" i="19"/>
  <c r="C514" i="19"/>
  <c r="C513" i="19"/>
  <c r="D513" i="19" s="1"/>
  <c r="C512" i="19"/>
  <c r="D512" i="19" s="1"/>
  <c r="D511" i="19"/>
  <c r="C511" i="19"/>
  <c r="C510" i="19"/>
  <c r="D510" i="19" s="1"/>
  <c r="C509" i="19"/>
  <c r="D509" i="19" s="1"/>
  <c r="C508" i="19"/>
  <c r="D508" i="19" s="1"/>
  <c r="D499" i="19"/>
  <c r="C499" i="19"/>
  <c r="C498" i="19"/>
  <c r="D498" i="19" s="1"/>
  <c r="E497" i="19"/>
  <c r="D497" i="19"/>
  <c r="C497" i="19"/>
  <c r="C496" i="19"/>
  <c r="D496" i="19" s="1"/>
  <c r="C495" i="19"/>
  <c r="D495" i="19" s="1"/>
  <c r="C494" i="19"/>
  <c r="D494" i="19" s="1"/>
  <c r="C493" i="19"/>
  <c r="D493" i="19" s="1"/>
  <c r="D492" i="19"/>
  <c r="C492" i="19"/>
  <c r="C491" i="19"/>
  <c r="D491" i="19" s="1"/>
  <c r="C478" i="19"/>
  <c r="E478" i="19" s="1"/>
  <c r="C477" i="19"/>
  <c r="E476" i="19"/>
  <c r="D476" i="19"/>
  <c r="C476" i="19"/>
  <c r="E475" i="19"/>
  <c r="D475" i="19"/>
  <c r="C475" i="19"/>
  <c r="D474" i="19"/>
  <c r="C474" i="19"/>
  <c r="E474" i="19" s="1"/>
  <c r="C473" i="19"/>
  <c r="D473" i="19" s="1"/>
  <c r="C472" i="19"/>
  <c r="C471" i="19"/>
  <c r="D471" i="19" s="1"/>
  <c r="C470" i="19"/>
  <c r="D470" i="19" s="1"/>
  <c r="D459" i="19"/>
  <c r="C459" i="19"/>
  <c r="E459" i="19" s="1"/>
  <c r="E458" i="19"/>
  <c r="C458" i="19"/>
  <c r="D458" i="19" s="1"/>
  <c r="E457" i="19"/>
  <c r="D457" i="19"/>
  <c r="C457" i="19"/>
  <c r="C456" i="19"/>
  <c r="D456" i="19" s="1"/>
  <c r="C455" i="19"/>
  <c r="E455" i="19" s="1"/>
  <c r="C454" i="19"/>
  <c r="D453" i="19"/>
  <c r="C453" i="19"/>
  <c r="E453" i="19" s="1"/>
  <c r="C452" i="19"/>
  <c r="D451" i="19"/>
  <c r="C451" i="19"/>
  <c r="E451" i="19" s="1"/>
  <c r="D440" i="19"/>
  <c r="C440" i="19"/>
  <c r="C439" i="19"/>
  <c r="D439" i="19" s="1"/>
  <c r="C438" i="19"/>
  <c r="D438" i="19" s="1"/>
  <c r="C437" i="19"/>
  <c r="D437" i="19" s="1"/>
  <c r="D436" i="19"/>
  <c r="C436" i="19"/>
  <c r="C435" i="19"/>
  <c r="D435" i="19" s="1"/>
  <c r="D434" i="19"/>
  <c r="C434" i="19"/>
  <c r="C433" i="19"/>
  <c r="D433" i="19" s="1"/>
  <c r="D441" i="19" s="1"/>
  <c r="H434" i="19" s="1"/>
  <c r="D432" i="19"/>
  <c r="C432" i="19"/>
  <c r="E422" i="19"/>
  <c r="C422" i="19"/>
  <c r="D422" i="19" s="1"/>
  <c r="D421" i="19"/>
  <c r="C421" i="19"/>
  <c r="C420" i="19"/>
  <c r="D420" i="19" s="1"/>
  <c r="C419" i="19"/>
  <c r="D419" i="19" s="1"/>
  <c r="C418" i="19"/>
  <c r="D418" i="19" s="1"/>
  <c r="D417" i="19"/>
  <c r="C417" i="19"/>
  <c r="D416" i="19"/>
  <c r="C416" i="19"/>
  <c r="D415" i="19"/>
  <c r="C415" i="19"/>
  <c r="C414" i="19"/>
  <c r="D414" i="19" s="1"/>
  <c r="D413" i="19"/>
  <c r="C413" i="19"/>
  <c r="C412" i="19"/>
  <c r="D412" i="19" s="1"/>
  <c r="C411" i="19"/>
  <c r="D411" i="19" s="1"/>
  <c r="D410" i="19"/>
  <c r="C410" i="19"/>
  <c r="C409" i="19"/>
  <c r="D409" i="19" s="1"/>
  <c r="D408" i="19"/>
  <c r="C408" i="19"/>
  <c r="D407" i="19"/>
  <c r="C407" i="19"/>
  <c r="D406" i="19"/>
  <c r="C406" i="19"/>
  <c r="D405" i="19"/>
  <c r="C405" i="19"/>
  <c r="D394" i="19"/>
  <c r="C394" i="19"/>
  <c r="D393" i="19"/>
  <c r="C393" i="19"/>
  <c r="C392" i="19"/>
  <c r="D392" i="19" s="1"/>
  <c r="D391" i="19"/>
  <c r="C391" i="19"/>
  <c r="C390" i="19"/>
  <c r="D390" i="19" s="1"/>
  <c r="D389" i="19"/>
  <c r="C389" i="19"/>
  <c r="C388" i="19"/>
  <c r="D388" i="19" s="1"/>
  <c r="D387" i="19"/>
  <c r="C387" i="19"/>
  <c r="D386" i="19"/>
  <c r="C386" i="19"/>
  <c r="D385" i="19"/>
  <c r="C385" i="19"/>
  <c r="C384" i="19"/>
  <c r="D384" i="19" s="1"/>
  <c r="D383" i="19"/>
  <c r="C383" i="19"/>
  <c r="C382" i="19"/>
  <c r="D382" i="19" s="1"/>
  <c r="D381" i="19"/>
  <c r="C381" i="19"/>
  <c r="C380" i="19"/>
  <c r="D380" i="19" s="1"/>
  <c r="D379" i="19"/>
  <c r="C379" i="19"/>
  <c r="C378" i="19"/>
  <c r="D378" i="19" s="1"/>
  <c r="C377" i="19"/>
  <c r="D377" i="19" s="1"/>
  <c r="E366" i="19"/>
  <c r="D366" i="19"/>
  <c r="C366" i="19"/>
  <c r="E365" i="19"/>
  <c r="C365" i="19"/>
  <c r="D365" i="19" s="1"/>
  <c r="D364" i="19"/>
  <c r="C364" i="19"/>
  <c r="E364" i="19" s="1"/>
  <c r="C363" i="19"/>
  <c r="E363" i="19" s="1"/>
  <c r="E362" i="19"/>
  <c r="D362" i="19"/>
  <c r="C362" i="19"/>
  <c r="C361" i="19"/>
  <c r="E361" i="19" s="1"/>
  <c r="D360" i="19"/>
  <c r="C360" i="19"/>
  <c r="E360" i="19" s="1"/>
  <c r="E359" i="19"/>
  <c r="C359" i="19"/>
  <c r="D359" i="19" s="1"/>
  <c r="E358" i="19"/>
  <c r="D358" i="19"/>
  <c r="C358" i="19"/>
  <c r="E357" i="19"/>
  <c r="C357" i="19"/>
  <c r="D357" i="19" s="1"/>
  <c r="E356" i="19"/>
  <c r="D356" i="19"/>
  <c r="C356" i="19"/>
  <c r="C355" i="19"/>
  <c r="E355" i="19" s="1"/>
  <c r="E354" i="19"/>
  <c r="D354" i="19"/>
  <c r="C354" i="19"/>
  <c r="C353" i="19"/>
  <c r="E353" i="19" s="1"/>
  <c r="E352" i="19"/>
  <c r="D352" i="19"/>
  <c r="C352" i="19"/>
  <c r="C351" i="19"/>
  <c r="E351" i="19" s="1"/>
  <c r="D350" i="19"/>
  <c r="C350" i="19"/>
  <c r="E350" i="19" s="1"/>
  <c r="E349" i="19"/>
  <c r="C349" i="19"/>
  <c r="D349" i="19" s="1"/>
  <c r="D339" i="19"/>
  <c r="C339" i="19"/>
  <c r="D338" i="19"/>
  <c r="C338" i="19"/>
  <c r="D337" i="19"/>
  <c r="C337" i="19"/>
  <c r="D336" i="19"/>
  <c r="C336" i="19"/>
  <c r="D335" i="19"/>
  <c r="C335" i="19"/>
  <c r="D334" i="19"/>
  <c r="C334" i="19"/>
  <c r="D333" i="19"/>
  <c r="C333" i="19"/>
  <c r="D332" i="19"/>
  <c r="C332" i="19"/>
  <c r="D331" i="19"/>
  <c r="C331" i="19"/>
  <c r="D330" i="19"/>
  <c r="C330" i="19"/>
  <c r="D329" i="19"/>
  <c r="C329" i="19"/>
  <c r="D328" i="19"/>
  <c r="C328" i="19"/>
  <c r="D327" i="19"/>
  <c r="C327" i="19"/>
  <c r="D326" i="19"/>
  <c r="C326" i="19"/>
  <c r="D325" i="19"/>
  <c r="C325" i="19"/>
  <c r="C324" i="19"/>
  <c r="D324" i="19" s="1"/>
  <c r="C323" i="19"/>
  <c r="D323" i="19" s="1"/>
  <c r="D322" i="19"/>
  <c r="C322" i="19"/>
  <c r="B315" i="19"/>
  <c r="H296" i="19" s="1"/>
  <c r="D314" i="19"/>
  <c r="C314" i="19"/>
  <c r="E314" i="19" s="1"/>
  <c r="E313" i="19"/>
  <c r="D313" i="19"/>
  <c r="C313" i="19"/>
  <c r="E312" i="19"/>
  <c r="D312" i="19"/>
  <c r="C312" i="19"/>
  <c r="E311" i="19"/>
  <c r="D311" i="19"/>
  <c r="C311" i="19"/>
  <c r="E310" i="19"/>
  <c r="D310" i="19"/>
  <c r="C310" i="19"/>
  <c r="C309" i="19"/>
  <c r="E309" i="19" s="1"/>
  <c r="E308" i="19"/>
  <c r="D308" i="19"/>
  <c r="C308" i="19"/>
  <c r="C307" i="19"/>
  <c r="E307" i="19" s="1"/>
  <c r="D306" i="19"/>
  <c r="C306" i="19"/>
  <c r="E306" i="19" s="1"/>
  <c r="E305" i="19"/>
  <c r="D305" i="19"/>
  <c r="C305" i="19"/>
  <c r="E304" i="19"/>
  <c r="D304" i="19"/>
  <c r="C304" i="19"/>
  <c r="E303" i="19"/>
  <c r="D303" i="19"/>
  <c r="C303" i="19"/>
  <c r="D302" i="19"/>
  <c r="C302" i="19"/>
  <c r="C301" i="19"/>
  <c r="D301" i="19" s="1"/>
  <c r="C300" i="19"/>
  <c r="D300" i="19" s="1"/>
  <c r="D299" i="19"/>
  <c r="C299" i="19"/>
  <c r="D298" i="19"/>
  <c r="C298" i="19"/>
  <c r="C297" i="19"/>
  <c r="D297" i="19" s="1"/>
  <c r="D296" i="19"/>
  <c r="C296" i="19"/>
  <c r="D295" i="19"/>
  <c r="C295" i="19"/>
  <c r="D294" i="19"/>
  <c r="C294" i="19"/>
  <c r="D293" i="19"/>
  <c r="C293" i="19"/>
  <c r="C315" i="19" s="1"/>
  <c r="B282" i="19"/>
  <c r="C281" i="19"/>
  <c r="E281" i="19" s="1"/>
  <c r="D280" i="19"/>
  <c r="C280" i="19"/>
  <c r="E280" i="19" s="1"/>
  <c r="E279" i="19"/>
  <c r="D279" i="19"/>
  <c r="C279" i="19"/>
  <c r="E278" i="19"/>
  <c r="D278" i="19"/>
  <c r="C278" i="19"/>
  <c r="E277" i="19"/>
  <c r="D277" i="19"/>
  <c r="C277" i="19"/>
  <c r="E276" i="19"/>
  <c r="D276" i="19"/>
  <c r="C276" i="19"/>
  <c r="C275" i="19"/>
  <c r="E274" i="19"/>
  <c r="D274" i="19"/>
  <c r="C274" i="19"/>
  <c r="C273" i="19"/>
  <c r="E273" i="19" s="1"/>
  <c r="D272" i="19"/>
  <c r="C272" i="19"/>
  <c r="E272" i="19" s="1"/>
  <c r="E271" i="19"/>
  <c r="D271" i="19"/>
  <c r="C271" i="19"/>
  <c r="E270" i="19"/>
  <c r="D270" i="19"/>
  <c r="C270" i="19"/>
  <c r="D269" i="19"/>
  <c r="C269" i="19"/>
  <c r="D268" i="19"/>
  <c r="C268" i="19"/>
  <c r="D267" i="19"/>
  <c r="C267" i="19"/>
  <c r="D266" i="19"/>
  <c r="C266" i="19"/>
  <c r="D265" i="19"/>
  <c r="C265" i="19"/>
  <c r="D264" i="19"/>
  <c r="C264" i="19"/>
  <c r="C263" i="19"/>
  <c r="D263" i="19" s="1"/>
  <c r="C262" i="19"/>
  <c r="D262" i="19" s="1"/>
  <c r="D261" i="19"/>
  <c r="C261" i="19"/>
  <c r="C282" i="19" s="1"/>
  <c r="H263" i="19" s="1"/>
  <c r="D260" i="19"/>
  <c r="C260" i="19"/>
  <c r="B249" i="19"/>
  <c r="E248" i="19"/>
  <c r="D248" i="19"/>
  <c r="C248" i="19"/>
  <c r="C247" i="19"/>
  <c r="E247" i="19" s="1"/>
  <c r="D246" i="19"/>
  <c r="C246" i="19"/>
  <c r="E246" i="19" s="1"/>
  <c r="E245" i="19"/>
  <c r="D245" i="19"/>
  <c r="C245" i="19"/>
  <c r="D244" i="19"/>
  <c r="C244" i="19"/>
  <c r="E244" i="19" s="1"/>
  <c r="E243" i="19"/>
  <c r="D243" i="19"/>
  <c r="C243" i="19"/>
  <c r="E242" i="19"/>
  <c r="D242" i="19"/>
  <c r="C242" i="19"/>
  <c r="C241" i="19"/>
  <c r="E240" i="19"/>
  <c r="D240" i="19"/>
  <c r="C240" i="19"/>
  <c r="C239" i="19"/>
  <c r="E239" i="19" s="1"/>
  <c r="D238" i="19"/>
  <c r="C238" i="19"/>
  <c r="E237" i="19"/>
  <c r="D237" i="19"/>
  <c r="C237" i="19"/>
  <c r="D236" i="19"/>
  <c r="C236" i="19"/>
  <c r="E236" i="19" s="1"/>
  <c r="E235" i="19"/>
  <c r="D235" i="19"/>
  <c r="C235" i="19"/>
  <c r="E234" i="19"/>
  <c r="D234" i="19"/>
  <c r="C234" i="19"/>
  <c r="C233" i="19"/>
  <c r="E232" i="19"/>
  <c r="D232" i="19"/>
  <c r="C232" i="19"/>
  <c r="C231" i="19"/>
  <c r="E231" i="19" s="1"/>
  <c r="E230" i="19"/>
  <c r="D230" i="19"/>
  <c r="C230" i="19"/>
  <c r="C229" i="19"/>
  <c r="E229" i="19" s="1"/>
  <c r="D228" i="19"/>
  <c r="C228" i="19"/>
  <c r="E228" i="19" s="1"/>
  <c r="E227" i="19"/>
  <c r="D227" i="19"/>
  <c r="C227" i="19"/>
  <c r="C249" i="19" s="1"/>
  <c r="H230" i="19" s="1"/>
  <c r="B220" i="19"/>
  <c r="D219" i="19"/>
  <c r="C219" i="19"/>
  <c r="D218" i="19"/>
  <c r="C218" i="19"/>
  <c r="D217" i="19"/>
  <c r="C217" i="19"/>
  <c r="D216" i="19"/>
  <c r="C216" i="19"/>
  <c r="D215" i="19"/>
  <c r="C215" i="19"/>
  <c r="D214" i="19"/>
  <c r="C214" i="19"/>
  <c r="D213" i="19"/>
  <c r="C213" i="19"/>
  <c r="D212" i="19"/>
  <c r="C212" i="19"/>
  <c r="D211" i="19"/>
  <c r="C211" i="19"/>
  <c r="D210" i="19"/>
  <c r="C210" i="19"/>
  <c r="D209" i="19"/>
  <c r="C209" i="19"/>
  <c r="D208" i="19"/>
  <c r="C208" i="19"/>
  <c r="D207" i="19"/>
  <c r="C207" i="19"/>
  <c r="D206" i="19"/>
  <c r="C206" i="19"/>
  <c r="D205" i="19"/>
  <c r="C205" i="19"/>
  <c r="D204" i="19"/>
  <c r="C204" i="19"/>
  <c r="D203" i="19"/>
  <c r="C203" i="19"/>
  <c r="D202" i="19"/>
  <c r="C202" i="19"/>
  <c r="C201" i="19"/>
  <c r="D201" i="19" s="1"/>
  <c r="C200" i="19"/>
  <c r="D199" i="19"/>
  <c r="C199" i="19"/>
  <c r="D198" i="19"/>
  <c r="C198" i="19"/>
  <c r="D191" i="19"/>
  <c r="C191" i="19"/>
  <c r="E191" i="19" s="1"/>
  <c r="E190" i="19"/>
  <c r="D190" i="19"/>
  <c r="C190" i="19"/>
  <c r="D189" i="19"/>
  <c r="C189" i="19"/>
  <c r="E189" i="19" s="1"/>
  <c r="E188" i="19"/>
  <c r="D188" i="19"/>
  <c r="C188" i="19"/>
  <c r="E187" i="19"/>
  <c r="D187" i="19"/>
  <c r="C187" i="19"/>
  <c r="C186" i="19"/>
  <c r="E185" i="19"/>
  <c r="D185" i="19"/>
  <c r="C185" i="19"/>
  <c r="C184" i="19"/>
  <c r="E184" i="19" s="1"/>
  <c r="D183" i="19"/>
  <c r="C183" i="19"/>
  <c r="E183" i="19" s="1"/>
  <c r="E182" i="19"/>
  <c r="D182" i="19"/>
  <c r="C182" i="19"/>
  <c r="C181" i="19"/>
  <c r="D181" i="19" s="1"/>
  <c r="C180" i="19"/>
  <c r="D180" i="19" s="1"/>
  <c r="D179" i="19"/>
  <c r="C179" i="19"/>
  <c r="D178" i="19"/>
  <c r="C178" i="19"/>
  <c r="D177" i="19"/>
  <c r="C177" i="19"/>
  <c r="D176" i="19"/>
  <c r="C176" i="19"/>
  <c r="D175" i="19"/>
  <c r="C175" i="19"/>
  <c r="D174" i="19"/>
  <c r="C174" i="19"/>
  <c r="C165" i="19"/>
  <c r="D165" i="19" s="1"/>
  <c r="D164" i="19"/>
  <c r="C164" i="19"/>
  <c r="D163" i="19"/>
  <c r="C163" i="19"/>
  <c r="C162" i="19"/>
  <c r="D162" i="19" s="1"/>
  <c r="C161" i="19"/>
  <c r="D161" i="19" s="1"/>
  <c r="D160" i="19"/>
  <c r="C160" i="19"/>
  <c r="D159" i="19"/>
  <c r="C159" i="19"/>
  <c r="C158" i="19"/>
  <c r="D158" i="19" s="1"/>
  <c r="C157" i="19"/>
  <c r="D157" i="19" s="1"/>
  <c r="D156" i="19"/>
  <c r="C156" i="19"/>
  <c r="D155" i="19"/>
  <c r="C155" i="19"/>
  <c r="C154" i="19"/>
  <c r="D154" i="19" s="1"/>
  <c r="C153" i="19"/>
  <c r="D153" i="19" s="1"/>
  <c r="D152" i="19"/>
  <c r="C152" i="19"/>
  <c r="D151" i="19"/>
  <c r="C151" i="19"/>
  <c r="D150" i="19"/>
  <c r="C150" i="19"/>
  <c r="D149" i="19"/>
  <c r="C149" i="19"/>
  <c r="D148" i="19"/>
  <c r="C148" i="19"/>
  <c r="C137" i="19"/>
  <c r="E136" i="19"/>
  <c r="D136" i="19"/>
  <c r="C136" i="19"/>
  <c r="C135" i="19"/>
  <c r="E135" i="19" s="1"/>
  <c r="D134" i="19"/>
  <c r="C134" i="19"/>
  <c r="E134" i="19" s="1"/>
  <c r="E133" i="19"/>
  <c r="D133" i="19"/>
  <c r="C133" i="19"/>
  <c r="E132" i="19"/>
  <c r="D132" i="19"/>
  <c r="C132" i="19"/>
  <c r="E131" i="19"/>
  <c r="D131" i="19"/>
  <c r="C131" i="19"/>
  <c r="E130" i="19"/>
  <c r="D130" i="19"/>
  <c r="C130" i="19"/>
  <c r="C129" i="19"/>
  <c r="E128" i="19"/>
  <c r="D128" i="19"/>
  <c r="C128" i="19"/>
  <c r="E127" i="19"/>
  <c r="C127" i="19"/>
  <c r="D127" i="19" s="1"/>
  <c r="E126" i="19"/>
  <c r="D126" i="19"/>
  <c r="C126" i="19"/>
  <c r="E125" i="19"/>
  <c r="D125" i="19"/>
  <c r="C125" i="19"/>
  <c r="E124" i="19"/>
  <c r="D124" i="19"/>
  <c r="C124" i="19"/>
  <c r="E123" i="19"/>
  <c r="D123" i="19"/>
  <c r="C123" i="19"/>
  <c r="E122" i="19"/>
  <c r="C122" i="19"/>
  <c r="D122" i="19" s="1"/>
  <c r="E121" i="19"/>
  <c r="D121" i="19"/>
  <c r="C121" i="19"/>
  <c r="E120" i="19"/>
  <c r="D120" i="19"/>
  <c r="C120" i="19"/>
  <c r="D111" i="19"/>
  <c r="C111" i="19"/>
  <c r="E111" i="19" s="1"/>
  <c r="E110" i="19"/>
  <c r="D110" i="19"/>
  <c r="C110" i="19"/>
  <c r="D109" i="19"/>
  <c r="C109" i="19"/>
  <c r="E109" i="19" s="1"/>
  <c r="E108" i="19"/>
  <c r="D108" i="19"/>
  <c r="C108" i="19"/>
  <c r="E107" i="19"/>
  <c r="D107" i="19"/>
  <c r="C107" i="19"/>
  <c r="C106" i="19"/>
  <c r="E105" i="19"/>
  <c r="D105" i="19"/>
  <c r="C105" i="19"/>
  <c r="C104" i="19"/>
  <c r="E104" i="19" s="1"/>
  <c r="D103" i="19"/>
  <c r="C103" i="19"/>
  <c r="E103" i="19" s="1"/>
  <c r="E102" i="19"/>
  <c r="D102" i="19"/>
  <c r="C102" i="19"/>
  <c r="E420" i="19" s="1"/>
  <c r="D101" i="19"/>
  <c r="C101" i="19"/>
  <c r="E101" i="19" s="1"/>
  <c r="E100" i="19"/>
  <c r="D100" i="19"/>
  <c r="C100" i="19"/>
  <c r="E99" i="19"/>
  <c r="D99" i="19"/>
  <c r="C99" i="19"/>
  <c r="C98" i="19"/>
  <c r="E97" i="19"/>
  <c r="C97" i="19"/>
  <c r="D97" i="19" s="1"/>
  <c r="D96" i="19"/>
  <c r="C96" i="19"/>
  <c r="E96" i="19" s="1"/>
  <c r="E95" i="19"/>
  <c r="D95" i="19"/>
  <c r="C95" i="19"/>
  <c r="E94" i="19"/>
  <c r="D94" i="19"/>
  <c r="C94" i="19"/>
  <c r="E87" i="19"/>
  <c r="D87" i="19"/>
  <c r="C87" i="19"/>
  <c r="E86" i="19"/>
  <c r="D86" i="19"/>
  <c r="C86" i="19"/>
  <c r="C85" i="19"/>
  <c r="E84" i="19"/>
  <c r="D84" i="19"/>
  <c r="C84" i="19"/>
  <c r="C83" i="19"/>
  <c r="E83" i="19" s="1"/>
  <c r="D82" i="19"/>
  <c r="C82" i="19"/>
  <c r="E82" i="19" s="1"/>
  <c r="E81" i="19"/>
  <c r="C81" i="19"/>
  <c r="D81" i="19" s="1"/>
  <c r="D80" i="19"/>
  <c r="C80" i="19"/>
  <c r="E80" i="19" s="1"/>
  <c r="E79" i="19"/>
  <c r="D79" i="19"/>
  <c r="C79" i="19"/>
  <c r="E78" i="19"/>
  <c r="D78" i="19"/>
  <c r="C78" i="19"/>
  <c r="E77" i="19"/>
  <c r="D77" i="19"/>
  <c r="C77" i="19"/>
  <c r="E76" i="19"/>
  <c r="C76" i="19"/>
  <c r="D76" i="19" s="1"/>
  <c r="E75" i="19"/>
  <c r="D75" i="19"/>
  <c r="C75" i="19"/>
  <c r="E74" i="19"/>
  <c r="D74" i="19"/>
  <c r="C74" i="19"/>
  <c r="D65" i="19"/>
  <c r="C65" i="19"/>
  <c r="E65" i="19" s="1"/>
  <c r="E64" i="19"/>
  <c r="D64" i="19"/>
  <c r="C64" i="19"/>
  <c r="E63" i="19"/>
  <c r="D63" i="19"/>
  <c r="C63" i="19"/>
  <c r="C62" i="19"/>
  <c r="E61" i="19"/>
  <c r="D61" i="19"/>
  <c r="C61" i="19"/>
  <c r="C60" i="19"/>
  <c r="E60" i="19" s="1"/>
  <c r="D59" i="19"/>
  <c r="C59" i="19"/>
  <c r="E59" i="19" s="1"/>
  <c r="E58" i="19"/>
  <c r="C58" i="19"/>
  <c r="D58" i="19" s="1"/>
  <c r="D57" i="19"/>
  <c r="C57" i="19"/>
  <c r="E57" i="19" s="1"/>
  <c r="D56" i="19"/>
  <c r="C56" i="19"/>
  <c r="C55" i="19"/>
  <c r="D55" i="19" s="1"/>
  <c r="C54" i="19"/>
  <c r="D54" i="19" s="1"/>
  <c r="C53" i="19"/>
  <c r="D53" i="19" s="1"/>
  <c r="D52" i="19"/>
  <c r="C52" i="19"/>
  <c r="D43" i="19"/>
  <c r="C43" i="19"/>
  <c r="E43" i="19" s="1"/>
  <c r="E42" i="19"/>
  <c r="D42" i="19"/>
  <c r="C42" i="19"/>
  <c r="E41" i="19"/>
  <c r="D41" i="19"/>
  <c r="C41" i="19"/>
  <c r="C40" i="19"/>
  <c r="E39" i="19"/>
  <c r="D39" i="19"/>
  <c r="C39" i="19"/>
  <c r="C38" i="19"/>
  <c r="E38" i="19" s="1"/>
  <c r="D37" i="19"/>
  <c r="C37" i="19"/>
  <c r="E37" i="19" s="1"/>
  <c r="E36" i="19"/>
  <c r="C36" i="19"/>
  <c r="D36" i="19" s="1"/>
  <c r="D35" i="19"/>
  <c r="C35" i="19"/>
  <c r="E35" i="19" s="1"/>
  <c r="E34" i="19"/>
  <c r="D34" i="19"/>
  <c r="C34" i="19"/>
  <c r="C33" i="19"/>
  <c r="E32" i="19"/>
  <c r="D32" i="19"/>
  <c r="C32" i="19"/>
  <c r="E31" i="19"/>
  <c r="D31" i="19"/>
  <c r="C31" i="19"/>
  <c r="C30" i="19"/>
  <c r="D30" i="19" s="1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C10" i="19"/>
  <c r="D10" i="19" s="1"/>
  <c r="D9" i="19"/>
  <c r="C9" i="19"/>
  <c r="C8" i="19"/>
  <c r="D8" i="19" s="1"/>
  <c r="C7" i="19"/>
  <c r="D7" i="19" s="1"/>
  <c r="D21" i="19" s="1"/>
  <c r="G10" i="19" s="1"/>
  <c r="C237" i="10"/>
  <c r="D237" i="10" s="1"/>
  <c r="C236" i="10"/>
  <c r="D236" i="10" s="1"/>
  <c r="C235" i="10"/>
  <c r="D235" i="10" s="1"/>
  <c r="D234" i="10"/>
  <c r="C234" i="10"/>
  <c r="D233" i="10"/>
  <c r="C233" i="10"/>
  <c r="D232" i="10"/>
  <c r="C232" i="10"/>
  <c r="C231" i="10"/>
  <c r="D231" i="10" s="1"/>
  <c r="D230" i="10"/>
  <c r="C230" i="10"/>
  <c r="C229" i="10"/>
  <c r="D229" i="10" s="1"/>
  <c r="C228" i="10"/>
  <c r="D228" i="10" s="1"/>
  <c r="C227" i="10"/>
  <c r="D227" i="10" s="1"/>
  <c r="C226" i="10"/>
  <c r="D226" i="10" s="1"/>
  <c r="D225" i="10"/>
  <c r="C225" i="10"/>
  <c r="C224" i="10"/>
  <c r="D224" i="10" s="1"/>
  <c r="D214" i="10"/>
  <c r="C214" i="10"/>
  <c r="D213" i="10"/>
  <c r="C213" i="10"/>
  <c r="C212" i="10"/>
  <c r="D212" i="10" s="1"/>
  <c r="C211" i="10"/>
  <c r="D211" i="10" s="1"/>
  <c r="C210" i="10"/>
  <c r="D210" i="10" s="1"/>
  <c r="D209" i="10"/>
  <c r="C209" i="10"/>
  <c r="C208" i="10"/>
  <c r="D208" i="10" s="1"/>
  <c r="C207" i="10"/>
  <c r="D207" i="10" s="1"/>
  <c r="D206" i="10"/>
  <c r="C206" i="10"/>
  <c r="C205" i="10"/>
  <c r="D205" i="10" s="1"/>
  <c r="D204" i="10"/>
  <c r="C204" i="10"/>
  <c r="C203" i="10"/>
  <c r="D203" i="10" s="1"/>
  <c r="D202" i="10"/>
  <c r="C202" i="10"/>
  <c r="C215" i="10" s="1"/>
  <c r="D201" i="10"/>
  <c r="C201" i="10"/>
  <c r="C191" i="10"/>
  <c r="D191" i="10" s="1"/>
  <c r="C190" i="10"/>
  <c r="D190" i="10" s="1"/>
  <c r="C189" i="10"/>
  <c r="D189" i="10" s="1"/>
  <c r="D188" i="10"/>
  <c r="C188" i="10"/>
  <c r="D187" i="10"/>
  <c r="C187" i="10"/>
  <c r="C186" i="10"/>
  <c r="D186" i="10" s="1"/>
  <c r="D185" i="10"/>
  <c r="C185" i="10"/>
  <c r="C184" i="10"/>
  <c r="D184" i="10" s="1"/>
  <c r="C183" i="10"/>
  <c r="D183" i="10" s="1"/>
  <c r="C182" i="10"/>
  <c r="D182" i="10" s="1"/>
  <c r="D181" i="10"/>
  <c r="C181" i="10"/>
  <c r="C180" i="10"/>
  <c r="D180" i="10" s="1"/>
  <c r="C179" i="10"/>
  <c r="D179" i="10" s="1"/>
  <c r="C178" i="10"/>
  <c r="C192" i="10" s="1"/>
  <c r="E185" i="10" s="1"/>
  <c r="C166" i="10"/>
  <c r="D166" i="10" s="1"/>
  <c r="D165" i="10"/>
  <c r="C165" i="10"/>
  <c r="D164" i="10"/>
  <c r="C164" i="10"/>
  <c r="C163" i="10"/>
  <c r="D163" i="10" s="1"/>
  <c r="D162" i="10"/>
  <c r="C162" i="10"/>
  <c r="C161" i="10"/>
  <c r="D161" i="10" s="1"/>
  <c r="C160" i="10"/>
  <c r="D160" i="10" s="1"/>
  <c r="D159" i="10"/>
  <c r="C159" i="10"/>
  <c r="C158" i="10"/>
  <c r="D158" i="10" s="1"/>
  <c r="C157" i="10"/>
  <c r="C147" i="10"/>
  <c r="D147" i="10" s="1"/>
  <c r="C146" i="10"/>
  <c r="D146" i="10" s="1"/>
  <c r="C145" i="10"/>
  <c r="D145" i="10" s="1"/>
  <c r="D144" i="10"/>
  <c r="C144" i="10"/>
  <c r="D143" i="10"/>
  <c r="C143" i="10"/>
  <c r="D142" i="10"/>
  <c r="C142" i="10"/>
  <c r="C141" i="10"/>
  <c r="D141" i="10" s="1"/>
  <c r="C140" i="10"/>
  <c r="D140" i="10" s="1"/>
  <c r="C139" i="10"/>
  <c r="D139" i="10" s="1"/>
  <c r="C138" i="10"/>
  <c r="D138" i="10" s="1"/>
  <c r="C137" i="10"/>
  <c r="D137" i="10" s="1"/>
  <c r="D136" i="10"/>
  <c r="C136" i="10"/>
  <c r="C135" i="10"/>
  <c r="D135" i="10" s="1"/>
  <c r="C134" i="10"/>
  <c r="D134" i="10" s="1"/>
  <c r="C133" i="10"/>
  <c r="D133" i="10" s="1"/>
  <c r="C132" i="10"/>
  <c r="D132" i="10" s="1"/>
  <c r="D131" i="10"/>
  <c r="C131" i="10"/>
  <c r="C120" i="10"/>
  <c r="D120" i="10" s="1"/>
  <c r="C119" i="10"/>
  <c r="D119" i="10" s="1"/>
  <c r="C118" i="10"/>
  <c r="D118" i="10" s="1"/>
  <c r="D117" i="10"/>
  <c r="C117" i="10"/>
  <c r="C116" i="10"/>
  <c r="D116" i="10" s="1"/>
  <c r="C115" i="10"/>
  <c r="D115" i="10" s="1"/>
  <c r="C114" i="10"/>
  <c r="D114" i="10" s="1"/>
  <c r="C113" i="10"/>
  <c r="D113" i="10" s="1"/>
  <c r="C112" i="10"/>
  <c r="C101" i="10"/>
  <c r="D101" i="10" s="1"/>
  <c r="D100" i="10"/>
  <c r="C100" i="10"/>
  <c r="D99" i="10"/>
  <c r="C99" i="10"/>
  <c r="C98" i="10"/>
  <c r="D98" i="10" s="1"/>
  <c r="D97" i="10"/>
  <c r="C97" i="10"/>
  <c r="D96" i="10"/>
  <c r="C96" i="10"/>
  <c r="C95" i="10"/>
  <c r="D95" i="10" s="1"/>
  <c r="C94" i="10"/>
  <c r="D94" i="10" s="1"/>
  <c r="C93" i="10"/>
  <c r="D93" i="10" s="1"/>
  <c r="D92" i="10"/>
  <c r="C92" i="10"/>
  <c r="C91" i="10"/>
  <c r="D91" i="10" s="1"/>
  <c r="C90" i="10"/>
  <c r="D90" i="10" s="1"/>
  <c r="D89" i="10"/>
  <c r="C89" i="10"/>
  <c r="D88" i="10"/>
  <c r="C88" i="10"/>
  <c r="D87" i="10"/>
  <c r="C87" i="10"/>
  <c r="C86" i="10"/>
  <c r="D86" i="10" s="1"/>
  <c r="C85" i="10"/>
  <c r="D85" i="10" s="1"/>
  <c r="D84" i="10"/>
  <c r="C84" i="10"/>
  <c r="C74" i="10"/>
  <c r="D74" i="10" s="1"/>
  <c r="D73" i="10"/>
  <c r="C73" i="10"/>
  <c r="C72" i="10"/>
  <c r="D72" i="10" s="1"/>
  <c r="D71" i="10"/>
  <c r="C71" i="10"/>
  <c r="C70" i="10"/>
  <c r="D70" i="10" s="1"/>
  <c r="C69" i="10"/>
  <c r="D69" i="10" s="1"/>
  <c r="D68" i="10"/>
  <c r="C68" i="10"/>
  <c r="D67" i="10"/>
  <c r="C67" i="10"/>
  <c r="C66" i="10"/>
  <c r="D66" i="10" s="1"/>
  <c r="D65" i="10"/>
  <c r="C65" i="10"/>
  <c r="C64" i="10"/>
  <c r="D64" i="10" s="1"/>
  <c r="D63" i="10"/>
  <c r="C63" i="10"/>
  <c r="C62" i="10"/>
  <c r="D62" i="10" s="1"/>
  <c r="C61" i="10"/>
  <c r="D61" i="10" s="1"/>
  <c r="D60" i="10"/>
  <c r="C60" i="10"/>
  <c r="D59" i="10"/>
  <c r="C59" i="10"/>
  <c r="C58" i="10"/>
  <c r="D58" i="10" s="1"/>
  <c r="D57" i="10"/>
  <c r="C57" i="10"/>
  <c r="C56" i="10"/>
  <c r="D56" i="10" s="1"/>
  <c r="D55" i="10"/>
  <c r="C55" i="10"/>
  <c r="D54" i="10"/>
  <c r="C54" i="10"/>
  <c r="C53" i="10"/>
  <c r="C75" i="10" s="1"/>
  <c r="C45" i="10"/>
  <c r="D45" i="10" s="1"/>
  <c r="D44" i="10"/>
  <c r="C44" i="10"/>
  <c r="C43" i="10"/>
  <c r="D43" i="10" s="1"/>
  <c r="C42" i="10"/>
  <c r="D42" i="10" s="1"/>
  <c r="D41" i="10"/>
  <c r="C41" i="10"/>
  <c r="D40" i="10"/>
  <c r="C40" i="10"/>
  <c r="C39" i="10"/>
  <c r="D39" i="10" s="1"/>
  <c r="D38" i="10"/>
  <c r="C38" i="10"/>
  <c r="C37" i="10"/>
  <c r="D37" i="10" s="1"/>
  <c r="D36" i="10"/>
  <c r="C36" i="10"/>
  <c r="C35" i="10"/>
  <c r="D35" i="10" s="1"/>
  <c r="C34" i="10"/>
  <c r="D34" i="10" s="1"/>
  <c r="D33" i="10"/>
  <c r="C33" i="10"/>
  <c r="D32" i="10"/>
  <c r="C32" i="10"/>
  <c r="D31" i="10"/>
  <c r="C31" i="10"/>
  <c r="C30" i="10"/>
  <c r="D30" i="10" s="1"/>
  <c r="C29" i="10"/>
  <c r="D29" i="10" s="1"/>
  <c r="D28" i="10"/>
  <c r="D46" i="10" s="1"/>
  <c r="C28" i="10"/>
  <c r="C46" i="10" s="1"/>
  <c r="C20" i="10"/>
  <c r="D20" i="10" s="1"/>
  <c r="D19" i="10"/>
  <c r="C19" i="10"/>
  <c r="C18" i="10"/>
  <c r="D18" i="10" s="1"/>
  <c r="D17" i="10"/>
  <c r="C17" i="10"/>
  <c r="C16" i="10"/>
  <c r="D16" i="10" s="1"/>
  <c r="C15" i="10"/>
  <c r="D15" i="10" s="1"/>
  <c r="D14" i="10"/>
  <c r="C14" i="10"/>
  <c r="D13" i="10"/>
  <c r="C13" i="10"/>
  <c r="C12" i="10"/>
  <c r="D12" i="10" s="1"/>
  <c r="D11" i="10"/>
  <c r="C11" i="10"/>
  <c r="C10" i="10"/>
  <c r="D10" i="10" s="1"/>
  <c r="D9" i="10"/>
  <c r="C9" i="10"/>
  <c r="D8" i="10"/>
  <c r="C8" i="10"/>
  <c r="C7" i="10"/>
  <c r="C21" i="10" s="1"/>
  <c r="D915" i="18"/>
  <c r="C915" i="18"/>
  <c r="C914" i="18"/>
  <c r="D914" i="18" s="1"/>
  <c r="D913" i="18"/>
  <c r="C913" i="18"/>
  <c r="D912" i="18"/>
  <c r="C912" i="18"/>
  <c r="D911" i="18"/>
  <c r="C911" i="18"/>
  <c r="C910" i="18"/>
  <c r="D910" i="18" s="1"/>
  <c r="D909" i="18"/>
  <c r="C909" i="18"/>
  <c r="D908" i="18"/>
  <c r="C908" i="18"/>
  <c r="D907" i="18"/>
  <c r="C907" i="18"/>
  <c r="D906" i="18"/>
  <c r="C906" i="18"/>
  <c r="D905" i="18"/>
  <c r="C905" i="18"/>
  <c r="C904" i="18"/>
  <c r="D904" i="18" s="1"/>
  <c r="C903" i="18"/>
  <c r="D903" i="18" s="1"/>
  <c r="C902" i="18"/>
  <c r="D902" i="18" s="1"/>
  <c r="D901" i="18"/>
  <c r="C901" i="18"/>
  <c r="D888" i="18"/>
  <c r="C888" i="18"/>
  <c r="E888" i="18" s="1"/>
  <c r="E887" i="18"/>
  <c r="D887" i="18"/>
  <c r="C887" i="18"/>
  <c r="E886" i="18"/>
  <c r="D886" i="18"/>
  <c r="C886" i="18"/>
  <c r="E885" i="18"/>
  <c r="C885" i="18"/>
  <c r="D885" i="18" s="1"/>
  <c r="E884" i="18"/>
  <c r="C884" i="18"/>
  <c r="D884" i="18" s="1"/>
  <c r="C883" i="18"/>
  <c r="D883" i="18" s="1"/>
  <c r="E882" i="18"/>
  <c r="D882" i="18"/>
  <c r="C882" i="18"/>
  <c r="C881" i="18"/>
  <c r="E881" i="18" s="1"/>
  <c r="D880" i="18"/>
  <c r="C880" i="18"/>
  <c r="E880" i="18" s="1"/>
  <c r="D879" i="18"/>
  <c r="C879" i="18"/>
  <c r="C878" i="18"/>
  <c r="D878" i="18" s="1"/>
  <c r="C877" i="18"/>
  <c r="D877" i="18" s="1"/>
  <c r="C876" i="18"/>
  <c r="D876" i="18" s="1"/>
  <c r="D875" i="18"/>
  <c r="C875" i="18"/>
  <c r="C874" i="18"/>
  <c r="D874" i="18" s="1"/>
  <c r="D863" i="18"/>
  <c r="C863" i="18"/>
  <c r="E863" i="18" s="1"/>
  <c r="C862" i="18"/>
  <c r="E862" i="18" s="1"/>
  <c r="D861" i="18"/>
  <c r="C861" i="18"/>
  <c r="E861" i="18" s="1"/>
  <c r="E860" i="18"/>
  <c r="D860" i="18"/>
  <c r="C860" i="18"/>
  <c r="E859" i="18"/>
  <c r="D859" i="18"/>
  <c r="C859" i="18"/>
  <c r="E858" i="18"/>
  <c r="C858" i="18"/>
  <c r="D858" i="18" s="1"/>
  <c r="E857" i="18"/>
  <c r="C857" i="18"/>
  <c r="D857" i="18" s="1"/>
  <c r="C856" i="18"/>
  <c r="D856" i="18" s="1"/>
  <c r="D855" i="18"/>
  <c r="C855" i="18"/>
  <c r="E855" i="18" s="1"/>
  <c r="C854" i="18"/>
  <c r="E854" i="18" s="1"/>
  <c r="D853" i="18"/>
  <c r="C853" i="18"/>
  <c r="E853" i="18" s="1"/>
  <c r="E852" i="18"/>
  <c r="C852" i="18"/>
  <c r="D852" i="18" s="1"/>
  <c r="C851" i="18"/>
  <c r="D851" i="18" s="1"/>
  <c r="D850" i="18"/>
  <c r="C850" i="18"/>
  <c r="E850" i="18" s="1"/>
  <c r="C849" i="18"/>
  <c r="E849" i="18" s="1"/>
  <c r="D836" i="18"/>
  <c r="C836" i="18"/>
  <c r="D835" i="18"/>
  <c r="C835" i="18"/>
  <c r="C834" i="18"/>
  <c r="D834" i="18" s="1"/>
  <c r="D833" i="18"/>
  <c r="C833" i="18"/>
  <c r="D832" i="18"/>
  <c r="C832" i="18"/>
  <c r="D831" i="18"/>
  <c r="C831" i="18"/>
  <c r="C830" i="18"/>
  <c r="D830" i="18" s="1"/>
  <c r="D829" i="18"/>
  <c r="C829" i="18"/>
  <c r="D828" i="18"/>
  <c r="C828" i="18"/>
  <c r="D827" i="18"/>
  <c r="C827" i="18"/>
  <c r="C826" i="18"/>
  <c r="D826" i="18" s="1"/>
  <c r="C825" i="18"/>
  <c r="D825" i="18" s="1"/>
  <c r="C824" i="18"/>
  <c r="D824" i="18" s="1"/>
  <c r="D823" i="18"/>
  <c r="C823" i="18"/>
  <c r="C822" i="18"/>
  <c r="D822" i="18" s="1"/>
  <c r="D813" i="18"/>
  <c r="C813" i="18"/>
  <c r="E813" i="18" s="1"/>
  <c r="C812" i="18"/>
  <c r="E812" i="18" s="1"/>
  <c r="D811" i="18"/>
  <c r="C811" i="18"/>
  <c r="E811" i="18" s="1"/>
  <c r="E810" i="18"/>
  <c r="D810" i="18"/>
  <c r="C810" i="18"/>
  <c r="E809" i="18"/>
  <c r="D809" i="18"/>
  <c r="C809" i="18"/>
  <c r="E808" i="18"/>
  <c r="C808" i="18"/>
  <c r="D808" i="18" s="1"/>
  <c r="E807" i="18"/>
  <c r="C807" i="18"/>
  <c r="D807" i="18" s="1"/>
  <c r="C806" i="18"/>
  <c r="D806" i="18" s="1"/>
  <c r="D805" i="18"/>
  <c r="C805" i="18"/>
  <c r="E805" i="18" s="1"/>
  <c r="C804" i="18"/>
  <c r="E804" i="18" s="1"/>
  <c r="C803" i="18"/>
  <c r="D803" i="18" s="1"/>
  <c r="D802" i="18"/>
  <c r="C802" i="18"/>
  <c r="C801" i="18"/>
  <c r="D801" i="18" s="1"/>
  <c r="C800" i="18"/>
  <c r="D800" i="18" s="1"/>
  <c r="E789" i="18"/>
  <c r="C789" i="18"/>
  <c r="D789" i="18" s="1"/>
  <c r="C788" i="18"/>
  <c r="D788" i="18" s="1"/>
  <c r="D787" i="18"/>
  <c r="C787" i="18"/>
  <c r="E787" i="18" s="1"/>
  <c r="C786" i="18"/>
  <c r="E786" i="18" s="1"/>
  <c r="D785" i="18"/>
  <c r="C785" i="18"/>
  <c r="E785" i="18" s="1"/>
  <c r="E784" i="18"/>
  <c r="D784" i="18"/>
  <c r="C784" i="18"/>
  <c r="E783" i="18"/>
  <c r="D783" i="18"/>
  <c r="C783" i="18"/>
  <c r="E782" i="18"/>
  <c r="C782" i="18"/>
  <c r="D782" i="18" s="1"/>
  <c r="E781" i="18"/>
  <c r="C781" i="18"/>
  <c r="D781" i="18" s="1"/>
  <c r="C780" i="18"/>
  <c r="D780" i="18" s="1"/>
  <c r="D779" i="18"/>
  <c r="C779" i="18"/>
  <c r="C778" i="18"/>
  <c r="D778" i="18" s="1"/>
  <c r="D777" i="18"/>
  <c r="C777" i="18"/>
  <c r="D776" i="18"/>
  <c r="C776" i="18"/>
  <c r="C764" i="18"/>
  <c r="E764" i="18" s="1"/>
  <c r="D763" i="18"/>
  <c r="C763" i="18"/>
  <c r="E763" i="18" s="1"/>
  <c r="E762" i="18"/>
  <c r="D762" i="18"/>
  <c r="C762" i="18"/>
  <c r="E761" i="18"/>
  <c r="D761" i="18"/>
  <c r="C761" i="18"/>
  <c r="E760" i="18"/>
  <c r="C760" i="18"/>
  <c r="D760" i="18" s="1"/>
  <c r="E759" i="18"/>
  <c r="C759" i="18"/>
  <c r="D759" i="18" s="1"/>
  <c r="C758" i="18"/>
  <c r="D758" i="18" s="1"/>
  <c r="D757" i="18"/>
  <c r="C757" i="18"/>
  <c r="E757" i="18" s="1"/>
  <c r="C756" i="18"/>
  <c r="E756" i="18" s="1"/>
  <c r="D755" i="18"/>
  <c r="C755" i="18"/>
  <c r="E755" i="18" s="1"/>
  <c r="E754" i="18"/>
  <c r="C754" i="18"/>
  <c r="D754" i="18" s="1"/>
  <c r="C753" i="18"/>
  <c r="D753" i="18" s="1"/>
  <c r="D752" i="18"/>
  <c r="C752" i="18"/>
  <c r="E752" i="18" s="1"/>
  <c r="C751" i="18"/>
  <c r="E751" i="18" s="1"/>
  <c r="D740" i="18"/>
  <c r="C740" i="18"/>
  <c r="D739" i="18"/>
  <c r="C739" i="18"/>
  <c r="C738" i="18"/>
  <c r="D738" i="18" s="1"/>
  <c r="D737" i="18"/>
  <c r="C737" i="18"/>
  <c r="D736" i="18"/>
  <c r="C736" i="18"/>
  <c r="D735" i="18"/>
  <c r="C735" i="18"/>
  <c r="C734" i="18"/>
  <c r="D734" i="18" s="1"/>
  <c r="D733" i="18"/>
  <c r="C733" i="18"/>
  <c r="D732" i="18"/>
  <c r="C732" i="18"/>
  <c r="D731" i="18"/>
  <c r="C731" i="18"/>
  <c r="C730" i="18"/>
  <c r="D730" i="18" s="1"/>
  <c r="C729" i="18"/>
  <c r="D729" i="18" s="1"/>
  <c r="C728" i="18"/>
  <c r="D728" i="18" s="1"/>
  <c r="D727" i="18"/>
  <c r="D741" i="18" s="1"/>
  <c r="G730" i="18" s="1"/>
  <c r="C727" i="18"/>
  <c r="D715" i="18"/>
  <c r="C715" i="18"/>
  <c r="D714" i="18"/>
  <c r="C714" i="18"/>
  <c r="D713" i="18"/>
  <c r="C713" i="18"/>
  <c r="C712" i="18"/>
  <c r="D712" i="18" s="1"/>
  <c r="C711" i="18"/>
  <c r="D711" i="18" s="1"/>
  <c r="C710" i="18"/>
  <c r="D710" i="18" s="1"/>
  <c r="D709" i="18"/>
  <c r="C709" i="18"/>
  <c r="D708" i="18"/>
  <c r="C708" i="18"/>
  <c r="D707" i="18"/>
  <c r="C707" i="18"/>
  <c r="D706" i="18"/>
  <c r="D716" i="18" s="1"/>
  <c r="C706" i="18"/>
  <c r="C694" i="18"/>
  <c r="D693" i="18"/>
  <c r="C693" i="18"/>
  <c r="E693" i="18" s="1"/>
  <c r="C692" i="18"/>
  <c r="E692" i="18" s="1"/>
  <c r="D691" i="18"/>
  <c r="C691" i="18"/>
  <c r="E691" i="18" s="1"/>
  <c r="E690" i="18"/>
  <c r="D690" i="18"/>
  <c r="C690" i="18"/>
  <c r="E689" i="18"/>
  <c r="D689" i="18"/>
  <c r="C689" i="18"/>
  <c r="D688" i="18"/>
  <c r="C688" i="18"/>
  <c r="E688" i="18" s="1"/>
  <c r="C687" i="18"/>
  <c r="E687" i="18" s="1"/>
  <c r="C686" i="18"/>
  <c r="D686" i="18" s="1"/>
  <c r="C685" i="18"/>
  <c r="D685" i="18" s="1"/>
  <c r="E675" i="18"/>
  <c r="D675" i="18"/>
  <c r="C675" i="18"/>
  <c r="E674" i="18"/>
  <c r="C674" i="18"/>
  <c r="D674" i="18" s="1"/>
  <c r="E673" i="18"/>
  <c r="C673" i="18"/>
  <c r="D673" i="18" s="1"/>
  <c r="C672" i="18"/>
  <c r="D671" i="18"/>
  <c r="C671" i="18"/>
  <c r="E671" i="18" s="1"/>
  <c r="C670" i="18"/>
  <c r="E670" i="18" s="1"/>
  <c r="E669" i="18"/>
  <c r="C669" i="18"/>
  <c r="D669" i="18" s="1"/>
  <c r="E668" i="18"/>
  <c r="C668" i="18"/>
  <c r="D668" i="18" s="1"/>
  <c r="C667" i="18"/>
  <c r="D666" i="18"/>
  <c r="C666" i="18"/>
  <c r="E666" i="18" s="1"/>
  <c r="C657" i="18"/>
  <c r="D657" i="18" s="1"/>
  <c r="C656" i="18"/>
  <c r="D656" i="18" s="1"/>
  <c r="C655" i="18"/>
  <c r="D655" i="18" s="1"/>
  <c r="D654" i="18"/>
  <c r="C654" i="18"/>
  <c r="C653" i="18"/>
  <c r="D653" i="18" s="1"/>
  <c r="C652" i="18"/>
  <c r="D652" i="18" s="1"/>
  <c r="C651" i="18"/>
  <c r="D651" i="18" s="1"/>
  <c r="C650" i="18"/>
  <c r="D650" i="18" s="1"/>
  <c r="D649" i="18"/>
  <c r="C649" i="18"/>
  <c r="D648" i="18"/>
  <c r="C648" i="18"/>
  <c r="C635" i="18"/>
  <c r="E635" i="18" s="1"/>
  <c r="D634" i="18"/>
  <c r="C634" i="18"/>
  <c r="E634" i="18" s="1"/>
  <c r="E633" i="18"/>
  <c r="D633" i="18"/>
  <c r="C633" i="18"/>
  <c r="E632" i="18"/>
  <c r="D632" i="18"/>
  <c r="C632" i="18"/>
  <c r="E631" i="18"/>
  <c r="C631" i="18"/>
  <c r="D631" i="18" s="1"/>
  <c r="E630" i="18"/>
  <c r="C630" i="18"/>
  <c r="D630" i="18" s="1"/>
  <c r="C629" i="18"/>
  <c r="D628" i="18"/>
  <c r="C628" i="18"/>
  <c r="E628" i="18" s="1"/>
  <c r="C627" i="18"/>
  <c r="E627" i="18" s="1"/>
  <c r="D626" i="18"/>
  <c r="C626" i="18"/>
  <c r="E626" i="18" s="1"/>
  <c r="E625" i="18"/>
  <c r="D625" i="18"/>
  <c r="C625" i="18"/>
  <c r="E624" i="18"/>
  <c r="D624" i="18"/>
  <c r="C624" i="18"/>
  <c r="E623" i="18"/>
  <c r="D623" i="18"/>
  <c r="C623" i="18"/>
  <c r="E622" i="18"/>
  <c r="C622" i="18"/>
  <c r="D622" i="18" s="1"/>
  <c r="E621" i="18"/>
  <c r="D621" i="18"/>
  <c r="C621" i="18"/>
  <c r="E620" i="18"/>
  <c r="D620" i="18"/>
  <c r="C620" i="18"/>
  <c r="E619" i="18"/>
  <c r="D619" i="18"/>
  <c r="C619" i="18"/>
  <c r="E609" i="18"/>
  <c r="D609" i="18"/>
  <c r="C609" i="18"/>
  <c r="E608" i="18"/>
  <c r="D608" i="18"/>
  <c r="C608" i="18"/>
  <c r="E607" i="18"/>
  <c r="C607" i="18"/>
  <c r="D607" i="18" s="1"/>
  <c r="E606" i="18"/>
  <c r="C606" i="18"/>
  <c r="D606" i="18" s="1"/>
  <c r="C605" i="18"/>
  <c r="D604" i="18"/>
  <c r="C604" i="18"/>
  <c r="E604" i="18" s="1"/>
  <c r="C603" i="18"/>
  <c r="E603" i="18" s="1"/>
  <c r="D602" i="18"/>
  <c r="C602" i="18"/>
  <c r="E602" i="18" s="1"/>
  <c r="E601" i="18"/>
  <c r="D601" i="18"/>
  <c r="C601" i="18"/>
  <c r="E600" i="18"/>
  <c r="D600" i="18"/>
  <c r="C600" i="18"/>
  <c r="E599" i="18"/>
  <c r="C599" i="18"/>
  <c r="D599" i="18" s="1"/>
  <c r="E598" i="18"/>
  <c r="C598" i="18"/>
  <c r="D598" i="18" s="1"/>
  <c r="E597" i="18"/>
  <c r="D597" i="18"/>
  <c r="C597" i="18"/>
  <c r="E596" i="18"/>
  <c r="D596" i="18"/>
  <c r="C596" i="18"/>
  <c r="E595" i="18"/>
  <c r="D595" i="18"/>
  <c r="C595" i="18"/>
  <c r="E594" i="18"/>
  <c r="C594" i="18"/>
  <c r="D594" i="18" s="1"/>
  <c r="E593" i="18"/>
  <c r="C593" i="18"/>
  <c r="D593" i="18" s="1"/>
  <c r="E584" i="18"/>
  <c r="C584" i="18"/>
  <c r="D584" i="18" s="1"/>
  <c r="E583" i="18"/>
  <c r="C583" i="18"/>
  <c r="D583" i="18" s="1"/>
  <c r="C582" i="18"/>
  <c r="D581" i="18"/>
  <c r="C581" i="18"/>
  <c r="E581" i="18" s="1"/>
  <c r="C580" i="18"/>
  <c r="E580" i="18" s="1"/>
  <c r="D579" i="18"/>
  <c r="C579" i="18"/>
  <c r="E579" i="18" s="1"/>
  <c r="E578" i="18"/>
  <c r="D578" i="18"/>
  <c r="C578" i="18"/>
  <c r="E577" i="18"/>
  <c r="D577" i="18"/>
  <c r="C577" i="18"/>
  <c r="E576" i="18"/>
  <c r="C576" i="18"/>
  <c r="D576" i="18" s="1"/>
  <c r="E575" i="18"/>
  <c r="C575" i="18"/>
  <c r="D575" i="18" s="1"/>
  <c r="C574" i="18"/>
  <c r="D573" i="18"/>
  <c r="C573" i="18"/>
  <c r="E573" i="18" s="1"/>
  <c r="E572" i="18"/>
  <c r="D572" i="18"/>
  <c r="C572" i="18"/>
  <c r="E571" i="18"/>
  <c r="C571" i="18"/>
  <c r="D571" i="18" s="1"/>
  <c r="E570" i="18"/>
  <c r="C570" i="18"/>
  <c r="D570" i="18" s="1"/>
  <c r="C569" i="18"/>
  <c r="D568" i="18"/>
  <c r="C568" i="18"/>
  <c r="E568" i="18" s="1"/>
  <c r="C559" i="18"/>
  <c r="D559" i="18" s="1"/>
  <c r="C558" i="18"/>
  <c r="D558" i="18" s="1"/>
  <c r="C557" i="18"/>
  <c r="D557" i="18" s="1"/>
  <c r="D556" i="18"/>
  <c r="C556" i="18"/>
  <c r="C555" i="18"/>
  <c r="D555" i="18" s="1"/>
  <c r="C554" i="18"/>
  <c r="D554" i="18" s="1"/>
  <c r="C553" i="18"/>
  <c r="D553" i="18" s="1"/>
  <c r="D552" i="18"/>
  <c r="C552" i="18"/>
  <c r="C551" i="18"/>
  <c r="D551" i="18" s="1"/>
  <c r="C550" i="18"/>
  <c r="D550" i="18" s="1"/>
  <c r="C549" i="18"/>
  <c r="D549" i="18" s="1"/>
  <c r="D548" i="18"/>
  <c r="C548" i="18"/>
  <c r="D547" i="18"/>
  <c r="C547" i="18"/>
  <c r="D546" i="18"/>
  <c r="C546" i="18"/>
  <c r="D545" i="18"/>
  <c r="C545" i="18"/>
  <c r="C544" i="18"/>
  <c r="D544" i="18" s="1"/>
  <c r="D543" i="18"/>
  <c r="C543" i="18"/>
  <c r="E532" i="18"/>
  <c r="D532" i="18"/>
  <c r="C532" i="18"/>
  <c r="E531" i="18"/>
  <c r="D531" i="18"/>
  <c r="C531" i="18"/>
  <c r="E530" i="18"/>
  <c r="C530" i="18"/>
  <c r="D530" i="18" s="1"/>
  <c r="E529" i="18"/>
  <c r="C529" i="18"/>
  <c r="D529" i="18" s="1"/>
  <c r="D528" i="18"/>
  <c r="C528" i="18"/>
  <c r="E528" i="18" s="1"/>
  <c r="E527" i="18"/>
  <c r="D527" i="18"/>
  <c r="C527" i="18"/>
  <c r="E526" i="18"/>
  <c r="D526" i="18"/>
  <c r="C526" i="18"/>
  <c r="E525" i="18"/>
  <c r="E533" i="18" s="1"/>
  <c r="H528" i="18" s="1"/>
  <c r="C525" i="18"/>
  <c r="D525" i="18" s="1"/>
  <c r="E524" i="18"/>
  <c r="C524" i="18"/>
  <c r="D524" i="18" s="1"/>
  <c r="E510" i="18"/>
  <c r="C510" i="18"/>
  <c r="D510" i="18" s="1"/>
  <c r="E509" i="18"/>
  <c r="C509" i="18"/>
  <c r="D509" i="18" s="1"/>
  <c r="C508" i="18"/>
  <c r="D507" i="18"/>
  <c r="C507" i="18"/>
  <c r="E507" i="18" s="1"/>
  <c r="E506" i="18"/>
  <c r="D506" i="18"/>
  <c r="C506" i="18"/>
  <c r="E505" i="18"/>
  <c r="C505" i="18"/>
  <c r="D505" i="18" s="1"/>
  <c r="E504" i="18"/>
  <c r="C504" i="18"/>
  <c r="D504" i="18" s="1"/>
  <c r="E503" i="18"/>
  <c r="C503" i="18"/>
  <c r="D503" i="18" s="1"/>
  <c r="E502" i="18"/>
  <c r="D502" i="18"/>
  <c r="C502" i="18"/>
  <c r="C488" i="18"/>
  <c r="D487" i="18"/>
  <c r="C487" i="18"/>
  <c r="E487" i="18" s="1"/>
  <c r="C486" i="18"/>
  <c r="E486" i="18" s="1"/>
  <c r="D485" i="18"/>
  <c r="C485" i="18"/>
  <c r="E485" i="18" s="1"/>
  <c r="E484" i="18"/>
  <c r="D484" i="18"/>
  <c r="C484" i="18"/>
  <c r="C483" i="18"/>
  <c r="D482" i="18"/>
  <c r="C482" i="18"/>
  <c r="E482" i="18" s="1"/>
  <c r="C481" i="18"/>
  <c r="E481" i="18" s="1"/>
  <c r="D480" i="18"/>
  <c r="C480" i="18"/>
  <c r="E480" i="18" s="1"/>
  <c r="D468" i="18"/>
  <c r="C468" i="18"/>
  <c r="C467" i="18"/>
  <c r="D467" i="18" s="1"/>
  <c r="C466" i="18"/>
  <c r="D466" i="18" s="1"/>
  <c r="C465" i="18"/>
  <c r="D465" i="18" s="1"/>
  <c r="D464" i="18"/>
  <c r="C464" i="18"/>
  <c r="D463" i="18"/>
  <c r="C463" i="18"/>
  <c r="D462" i="18"/>
  <c r="C462" i="18"/>
  <c r="D461" i="18"/>
  <c r="C461" i="18"/>
  <c r="C460" i="18"/>
  <c r="D460" i="18" s="1"/>
  <c r="E449" i="18"/>
  <c r="C449" i="18"/>
  <c r="D449" i="18" s="1"/>
  <c r="E448" i="18"/>
  <c r="C448" i="18"/>
  <c r="D448" i="18" s="1"/>
  <c r="C447" i="18"/>
  <c r="D446" i="18"/>
  <c r="C446" i="18"/>
  <c r="E446" i="18" s="1"/>
  <c r="C445" i="18"/>
  <c r="E445" i="18" s="1"/>
  <c r="D444" i="18"/>
  <c r="C444" i="18"/>
  <c r="E444" i="18" s="1"/>
  <c r="E443" i="18"/>
  <c r="D443" i="18"/>
  <c r="C443" i="18"/>
  <c r="D442" i="18"/>
  <c r="C442" i="18"/>
  <c r="E442" i="18" s="1"/>
  <c r="E441" i="18"/>
  <c r="C441" i="18"/>
  <c r="D441" i="18" s="1"/>
  <c r="E440" i="18"/>
  <c r="C440" i="18"/>
  <c r="D440" i="18" s="1"/>
  <c r="C439" i="18"/>
  <c r="C438" i="18"/>
  <c r="D438" i="18" s="1"/>
  <c r="D437" i="18"/>
  <c r="C437" i="18"/>
  <c r="D436" i="18"/>
  <c r="C436" i="18"/>
  <c r="C435" i="18"/>
  <c r="D435" i="18" s="1"/>
  <c r="D434" i="18"/>
  <c r="C434" i="18"/>
  <c r="C433" i="18"/>
  <c r="D433" i="18" s="1"/>
  <c r="C432" i="18"/>
  <c r="D432" i="18" s="1"/>
  <c r="C419" i="18"/>
  <c r="E419" i="18" s="1"/>
  <c r="C418" i="18"/>
  <c r="C417" i="18"/>
  <c r="E417" i="18" s="1"/>
  <c r="C416" i="18"/>
  <c r="E416" i="18" s="1"/>
  <c r="D415" i="18"/>
  <c r="C415" i="18"/>
  <c r="E415" i="18" s="1"/>
  <c r="D414" i="18"/>
  <c r="C414" i="18"/>
  <c r="E414" i="18" s="1"/>
  <c r="D413" i="18"/>
  <c r="C413" i="18"/>
  <c r="E413" i="18" s="1"/>
  <c r="E412" i="18"/>
  <c r="D412" i="18"/>
  <c r="C412" i="18"/>
  <c r="E411" i="18"/>
  <c r="D411" i="18"/>
  <c r="C411" i="18"/>
  <c r="C410" i="18"/>
  <c r="E410" i="18" s="1"/>
  <c r="C409" i="18"/>
  <c r="D409" i="18" s="1"/>
  <c r="D408" i="18"/>
  <c r="C408" i="18"/>
  <c r="D407" i="18"/>
  <c r="C407" i="18"/>
  <c r="C406" i="18"/>
  <c r="D406" i="18" s="1"/>
  <c r="C405" i="18"/>
  <c r="D405" i="18" s="1"/>
  <c r="C404" i="18"/>
  <c r="D404" i="18" s="1"/>
  <c r="D403" i="18"/>
  <c r="C403" i="18"/>
  <c r="D402" i="18"/>
  <c r="C402" i="18"/>
  <c r="D390" i="18"/>
  <c r="C390" i="18"/>
  <c r="E390" i="18" s="1"/>
  <c r="E389" i="18"/>
  <c r="D389" i="18"/>
  <c r="C389" i="18"/>
  <c r="E388" i="18"/>
  <c r="D388" i="18"/>
  <c r="C388" i="18"/>
  <c r="C387" i="18"/>
  <c r="E386" i="18"/>
  <c r="C386" i="18"/>
  <c r="D386" i="18" s="1"/>
  <c r="C385" i="18"/>
  <c r="D385" i="18" s="1"/>
  <c r="D384" i="18"/>
  <c r="C384" i="18"/>
  <c r="E384" i="18" s="1"/>
  <c r="D383" i="18"/>
  <c r="C383" i="18"/>
  <c r="E383" i="18" s="1"/>
  <c r="D382" i="18"/>
  <c r="C382" i="18"/>
  <c r="E382" i="18" s="1"/>
  <c r="E381" i="18"/>
  <c r="D381" i="18"/>
  <c r="C381" i="18"/>
  <c r="D380" i="18"/>
  <c r="C380" i="18"/>
  <c r="E380" i="18" s="1"/>
  <c r="C379" i="18"/>
  <c r="E379" i="18" s="1"/>
  <c r="D378" i="18"/>
  <c r="C378" i="18"/>
  <c r="E378" i="18" s="1"/>
  <c r="E377" i="18"/>
  <c r="D377" i="18"/>
  <c r="C377" i="18"/>
  <c r="D376" i="18"/>
  <c r="C376" i="18"/>
  <c r="E376" i="18" s="1"/>
  <c r="E375" i="18"/>
  <c r="D375" i="18"/>
  <c r="C375" i="18"/>
  <c r="C374" i="18"/>
  <c r="E374" i="18" s="1"/>
  <c r="C373" i="18"/>
  <c r="D361" i="18"/>
  <c r="C361" i="18"/>
  <c r="C360" i="18"/>
  <c r="D360" i="18" s="1"/>
  <c r="C359" i="18"/>
  <c r="D359" i="18" s="1"/>
  <c r="D358" i="18"/>
  <c r="C358" i="18"/>
  <c r="D357" i="18"/>
  <c r="C357" i="18"/>
  <c r="C356" i="18"/>
  <c r="D356" i="18" s="1"/>
  <c r="C355" i="18"/>
  <c r="D355" i="18" s="1"/>
  <c r="D354" i="18"/>
  <c r="C354" i="18"/>
  <c r="D353" i="18"/>
  <c r="C353" i="18"/>
  <c r="C352" i="18"/>
  <c r="D352" i="18" s="1"/>
  <c r="C351" i="18"/>
  <c r="D351" i="18" s="1"/>
  <c r="D350" i="18"/>
  <c r="C350" i="18"/>
  <c r="D349" i="18"/>
  <c r="C349" i="18"/>
  <c r="C348" i="18"/>
  <c r="D348" i="18" s="1"/>
  <c r="C347" i="18"/>
  <c r="D347" i="18" s="1"/>
  <c r="D346" i="18"/>
  <c r="C346" i="18"/>
  <c r="C345" i="18"/>
  <c r="D345" i="18" s="1"/>
  <c r="C344" i="18"/>
  <c r="D344" i="18" s="1"/>
  <c r="E331" i="18"/>
  <c r="D331" i="18"/>
  <c r="C331" i="18"/>
  <c r="C330" i="18"/>
  <c r="E330" i="18" s="1"/>
  <c r="D329" i="18"/>
  <c r="C329" i="18"/>
  <c r="E329" i="18" s="1"/>
  <c r="C328" i="18"/>
  <c r="E328" i="18" s="1"/>
  <c r="C327" i="18"/>
  <c r="E327" i="18" s="1"/>
  <c r="E326" i="18"/>
  <c r="D326" i="18"/>
  <c r="C326" i="18"/>
  <c r="C325" i="18"/>
  <c r="E325" i="18" s="1"/>
  <c r="C324" i="18"/>
  <c r="E323" i="18"/>
  <c r="D323" i="18"/>
  <c r="C323" i="18"/>
  <c r="C322" i="18"/>
  <c r="E322" i="18" s="1"/>
  <c r="D321" i="18"/>
  <c r="C321" i="18"/>
  <c r="E321" i="18" s="1"/>
  <c r="C320" i="18"/>
  <c r="E320" i="18" s="1"/>
  <c r="E319" i="18"/>
  <c r="C319" i="18"/>
  <c r="D319" i="18" s="1"/>
  <c r="E318" i="18"/>
  <c r="D318" i="18"/>
  <c r="C318" i="18"/>
  <c r="E317" i="18"/>
  <c r="C317" i="18"/>
  <c r="D317" i="18" s="1"/>
  <c r="E316" i="18"/>
  <c r="C316" i="18"/>
  <c r="D316" i="18" s="1"/>
  <c r="E315" i="18"/>
  <c r="C315" i="18"/>
  <c r="D315" i="18" s="1"/>
  <c r="E314" i="18"/>
  <c r="C314" i="18"/>
  <c r="D314" i="18" s="1"/>
  <c r="E313" i="18"/>
  <c r="C313" i="18"/>
  <c r="D313" i="18" s="1"/>
  <c r="E312" i="18"/>
  <c r="C312" i="18"/>
  <c r="D312" i="18" s="1"/>
  <c r="E311" i="18"/>
  <c r="D311" i="18"/>
  <c r="C311" i="18"/>
  <c r="E310" i="18"/>
  <c r="C310" i="18"/>
  <c r="D310" i="18" s="1"/>
  <c r="D297" i="18"/>
  <c r="C297" i="18"/>
  <c r="E297" i="18" s="1"/>
  <c r="C296" i="18"/>
  <c r="E296" i="18" s="1"/>
  <c r="C295" i="18"/>
  <c r="E295" i="18" s="1"/>
  <c r="E294" i="18"/>
  <c r="D294" i="18"/>
  <c r="C294" i="18"/>
  <c r="C293" i="18"/>
  <c r="E293" i="18" s="1"/>
  <c r="C292" i="18"/>
  <c r="E291" i="18"/>
  <c r="D291" i="18"/>
  <c r="C291" i="18"/>
  <c r="C290" i="18"/>
  <c r="E290" i="18" s="1"/>
  <c r="D289" i="18"/>
  <c r="C289" i="18"/>
  <c r="E289" i="18" s="1"/>
  <c r="C288" i="18"/>
  <c r="E288" i="18" s="1"/>
  <c r="C287" i="18"/>
  <c r="E287" i="18" s="1"/>
  <c r="E286" i="18"/>
  <c r="D286" i="18"/>
  <c r="C286" i="18"/>
  <c r="E285" i="18"/>
  <c r="C285" i="18"/>
  <c r="D285" i="18" s="1"/>
  <c r="E284" i="18"/>
  <c r="C284" i="18"/>
  <c r="D284" i="18" s="1"/>
  <c r="E283" i="18"/>
  <c r="D283" i="18"/>
  <c r="C283" i="18"/>
  <c r="E282" i="18"/>
  <c r="C282" i="18"/>
  <c r="D282" i="18" s="1"/>
  <c r="E281" i="18"/>
  <c r="D281" i="18"/>
  <c r="C281" i="18"/>
  <c r="E280" i="18"/>
  <c r="C280" i="18"/>
  <c r="D280" i="18" s="1"/>
  <c r="E279" i="18"/>
  <c r="C279" i="18"/>
  <c r="D279" i="18" s="1"/>
  <c r="E278" i="18"/>
  <c r="D278" i="18"/>
  <c r="C278" i="18"/>
  <c r="E277" i="18"/>
  <c r="C277" i="18"/>
  <c r="D277" i="18" s="1"/>
  <c r="E276" i="18"/>
  <c r="D276" i="18"/>
  <c r="C276" i="18"/>
  <c r="C264" i="18"/>
  <c r="E264" i="18" s="1"/>
  <c r="D263" i="18"/>
  <c r="C263" i="18"/>
  <c r="E263" i="18" s="1"/>
  <c r="C262" i="18"/>
  <c r="E262" i="18" s="1"/>
  <c r="C261" i="18"/>
  <c r="E261" i="18" s="1"/>
  <c r="E260" i="18"/>
  <c r="D260" i="18"/>
  <c r="C260" i="18"/>
  <c r="C259" i="18"/>
  <c r="E259" i="18" s="1"/>
  <c r="C258" i="18"/>
  <c r="E257" i="18"/>
  <c r="C257" i="18"/>
  <c r="D257" i="18" s="1"/>
  <c r="C256" i="18"/>
  <c r="E256" i="18" s="1"/>
  <c r="D255" i="18"/>
  <c r="C255" i="18"/>
  <c r="E255" i="18" s="1"/>
  <c r="D254" i="18"/>
  <c r="C254" i="18"/>
  <c r="E254" i="18" s="1"/>
  <c r="C253" i="18"/>
  <c r="E253" i="18" s="1"/>
  <c r="E252" i="18"/>
  <c r="D252" i="18"/>
  <c r="C252" i="18"/>
  <c r="C251" i="18"/>
  <c r="E251" i="18" s="1"/>
  <c r="C250" i="18"/>
  <c r="E249" i="18"/>
  <c r="C249" i="18"/>
  <c r="D249" i="18" s="1"/>
  <c r="C248" i="18"/>
  <c r="E248" i="18" s="1"/>
  <c r="E247" i="18"/>
  <c r="D247" i="18"/>
  <c r="C247" i="18"/>
  <c r="C246" i="18"/>
  <c r="E246" i="18" s="1"/>
  <c r="C245" i="18"/>
  <c r="E244" i="18"/>
  <c r="C244" i="18"/>
  <c r="D244" i="18" s="1"/>
  <c r="C243" i="18"/>
  <c r="E243" i="18" s="1"/>
  <c r="D230" i="18"/>
  <c r="C230" i="18"/>
  <c r="C229" i="18"/>
  <c r="D229" i="18" s="1"/>
  <c r="C228" i="18"/>
  <c r="D228" i="18" s="1"/>
  <c r="C227" i="18"/>
  <c r="D227" i="18" s="1"/>
  <c r="C226" i="18"/>
  <c r="D226" i="18" s="1"/>
  <c r="C225" i="18"/>
  <c r="D225" i="18" s="1"/>
  <c r="C224" i="18"/>
  <c r="D224" i="18" s="1"/>
  <c r="C223" i="18"/>
  <c r="D223" i="18" s="1"/>
  <c r="C222" i="18"/>
  <c r="D222" i="18" s="1"/>
  <c r="C221" i="18"/>
  <c r="D221" i="18" s="1"/>
  <c r="C220" i="18"/>
  <c r="D220" i="18" s="1"/>
  <c r="C219" i="18"/>
  <c r="D219" i="18" s="1"/>
  <c r="D218" i="18"/>
  <c r="C218" i="18"/>
  <c r="C217" i="18"/>
  <c r="D217" i="18" s="1"/>
  <c r="C216" i="18"/>
  <c r="D216" i="18" s="1"/>
  <c r="C215" i="18"/>
  <c r="D215" i="18" s="1"/>
  <c r="D214" i="18"/>
  <c r="C214" i="18"/>
  <c r="C213" i="18"/>
  <c r="D213" i="18" s="1"/>
  <c r="C212" i="18"/>
  <c r="D212" i="18" s="1"/>
  <c r="C211" i="18"/>
  <c r="D210" i="18"/>
  <c r="C210" i="18"/>
  <c r="D209" i="18"/>
  <c r="C209" i="18"/>
  <c r="C197" i="18"/>
  <c r="E197" i="18" s="1"/>
  <c r="D196" i="18"/>
  <c r="C196" i="18"/>
  <c r="E196" i="18" s="1"/>
  <c r="C195" i="18"/>
  <c r="E195" i="18" s="1"/>
  <c r="E194" i="18"/>
  <c r="D194" i="18"/>
  <c r="C194" i="18"/>
  <c r="C193" i="18"/>
  <c r="E193" i="18" s="1"/>
  <c r="C192" i="18"/>
  <c r="E191" i="18"/>
  <c r="C191" i="18"/>
  <c r="D191" i="18" s="1"/>
  <c r="C190" i="18"/>
  <c r="E190" i="18" s="1"/>
  <c r="C189" i="18"/>
  <c r="E189" i="18" s="1"/>
  <c r="D188" i="18"/>
  <c r="C188" i="18"/>
  <c r="E188" i="18" s="1"/>
  <c r="E187" i="18"/>
  <c r="C187" i="18"/>
  <c r="D187" i="18" s="1"/>
  <c r="E186" i="18"/>
  <c r="D186" i="18"/>
  <c r="C186" i="18"/>
  <c r="E185" i="18"/>
  <c r="C185" i="18"/>
  <c r="D185" i="18" s="1"/>
  <c r="E184" i="18"/>
  <c r="C184" i="18"/>
  <c r="D184" i="18" s="1"/>
  <c r="E183" i="18"/>
  <c r="C183" i="18"/>
  <c r="D183" i="18" s="1"/>
  <c r="E182" i="18"/>
  <c r="C182" i="18"/>
  <c r="D182" i="18" s="1"/>
  <c r="E181" i="18"/>
  <c r="C181" i="18"/>
  <c r="D181" i="18" s="1"/>
  <c r="E180" i="18"/>
  <c r="C180" i="18"/>
  <c r="D180" i="18" s="1"/>
  <c r="E170" i="18"/>
  <c r="C170" i="18"/>
  <c r="D170" i="18" s="1"/>
  <c r="C169" i="18"/>
  <c r="E169" i="18" s="1"/>
  <c r="D168" i="18"/>
  <c r="C168" i="18"/>
  <c r="E168" i="18" s="1"/>
  <c r="D167" i="18"/>
  <c r="C167" i="18"/>
  <c r="E167" i="18" s="1"/>
  <c r="C166" i="18"/>
  <c r="E165" i="18"/>
  <c r="D165" i="18"/>
  <c r="C165" i="18"/>
  <c r="C164" i="18"/>
  <c r="E164" i="18" s="1"/>
  <c r="C163" i="18"/>
  <c r="E162" i="18"/>
  <c r="C162" i="18"/>
  <c r="D162" i="18" s="1"/>
  <c r="C161" i="18"/>
  <c r="E161" i="18" s="1"/>
  <c r="E160" i="18"/>
  <c r="C160" i="18"/>
  <c r="D160" i="18" s="1"/>
  <c r="E159" i="18"/>
  <c r="D159" i="18"/>
  <c r="C159" i="18"/>
  <c r="E158" i="18"/>
  <c r="C158" i="18"/>
  <c r="D158" i="18" s="1"/>
  <c r="E157" i="18"/>
  <c r="D157" i="18"/>
  <c r="C157" i="18"/>
  <c r="E156" i="18"/>
  <c r="C156" i="18"/>
  <c r="D156" i="18" s="1"/>
  <c r="E155" i="18"/>
  <c r="D155" i="18"/>
  <c r="C155" i="18"/>
  <c r="E154" i="18"/>
  <c r="D154" i="18"/>
  <c r="C154" i="18"/>
  <c r="E153" i="18"/>
  <c r="C153" i="18"/>
  <c r="D153" i="18" s="1"/>
  <c r="D143" i="18"/>
  <c r="C143" i="18"/>
  <c r="E143" i="18" s="1"/>
  <c r="C142" i="18"/>
  <c r="E142" i="18" s="1"/>
  <c r="E141" i="18"/>
  <c r="D141" i="18"/>
  <c r="C141" i="18"/>
  <c r="C140" i="18"/>
  <c r="E140" i="18" s="1"/>
  <c r="C139" i="18"/>
  <c r="E138" i="18"/>
  <c r="C138" i="18"/>
  <c r="D138" i="18" s="1"/>
  <c r="C137" i="18"/>
  <c r="E137" i="18" s="1"/>
  <c r="D136" i="18"/>
  <c r="C136" i="18"/>
  <c r="E136" i="18" s="1"/>
  <c r="D135" i="18"/>
  <c r="C135" i="18"/>
  <c r="E135" i="18" s="1"/>
  <c r="C134" i="18"/>
  <c r="E134" i="18" s="1"/>
  <c r="E133" i="18"/>
  <c r="D133" i="18"/>
  <c r="C133" i="18"/>
  <c r="C132" i="18"/>
  <c r="E132" i="18" s="1"/>
  <c r="C131" i="18"/>
  <c r="E130" i="18"/>
  <c r="C130" i="18"/>
  <c r="D130" i="18" s="1"/>
  <c r="C129" i="18"/>
  <c r="E129" i="18" s="1"/>
  <c r="E128" i="18"/>
  <c r="D128" i="18"/>
  <c r="C128" i="18"/>
  <c r="C127" i="18"/>
  <c r="E127" i="18" s="1"/>
  <c r="C126" i="18"/>
  <c r="C116" i="18"/>
  <c r="D116" i="18" s="1"/>
  <c r="C115" i="18"/>
  <c r="D115" i="18" s="1"/>
  <c r="C114" i="18"/>
  <c r="D114" i="18" s="1"/>
  <c r="D113" i="18"/>
  <c r="C113" i="18"/>
  <c r="C112" i="18"/>
  <c r="D112" i="18" s="1"/>
  <c r="C111" i="18"/>
  <c r="D111" i="18" s="1"/>
  <c r="C110" i="18"/>
  <c r="D110" i="18" s="1"/>
  <c r="C109" i="18"/>
  <c r="D109" i="18" s="1"/>
  <c r="C108" i="18"/>
  <c r="D108" i="18" s="1"/>
  <c r="C107" i="18"/>
  <c r="D107" i="18" s="1"/>
  <c r="C106" i="18"/>
  <c r="D106" i="18" s="1"/>
  <c r="D105" i="18"/>
  <c r="C105" i="18"/>
  <c r="C104" i="18"/>
  <c r="D104" i="18" s="1"/>
  <c r="C103" i="18"/>
  <c r="D103" i="18" s="1"/>
  <c r="C102" i="18"/>
  <c r="D102" i="18" s="1"/>
  <c r="D101" i="18"/>
  <c r="C101" i="18"/>
  <c r="D100" i="18"/>
  <c r="C100" i="18"/>
  <c r="C99" i="18"/>
  <c r="D99" i="18" s="1"/>
  <c r="D117" i="18" s="1"/>
  <c r="H102" i="18" s="1"/>
  <c r="E90" i="18"/>
  <c r="C90" i="18"/>
  <c r="D90" i="18" s="1"/>
  <c r="C89" i="18"/>
  <c r="E89" i="18" s="1"/>
  <c r="D88" i="18"/>
  <c r="C88" i="18"/>
  <c r="E88" i="18" s="1"/>
  <c r="D87" i="18"/>
  <c r="C87" i="18"/>
  <c r="E87" i="18" s="1"/>
  <c r="C86" i="18"/>
  <c r="E85" i="18"/>
  <c r="D85" i="18"/>
  <c r="C85" i="18"/>
  <c r="C84" i="18"/>
  <c r="E84" i="18" s="1"/>
  <c r="D83" i="18"/>
  <c r="C83" i="18"/>
  <c r="E83" i="18" s="1"/>
  <c r="E82" i="18"/>
  <c r="C82" i="18"/>
  <c r="D82" i="18" s="1"/>
  <c r="C81" i="18"/>
  <c r="D81" i="18" s="1"/>
  <c r="D80" i="18"/>
  <c r="C80" i="18"/>
  <c r="D79" i="18"/>
  <c r="C79" i="18"/>
  <c r="D78" i="18"/>
  <c r="C78" i="18"/>
  <c r="C77" i="18"/>
  <c r="D77" i="18" s="1"/>
  <c r="E67" i="18"/>
  <c r="C67" i="18"/>
  <c r="D67" i="18" s="1"/>
  <c r="C66" i="18"/>
  <c r="E66" i="18" s="1"/>
  <c r="C65" i="18"/>
  <c r="E65" i="18" s="1"/>
  <c r="D64" i="18"/>
  <c r="C64" i="18"/>
  <c r="E64" i="18" s="1"/>
  <c r="C63" i="18"/>
  <c r="E62" i="18"/>
  <c r="D62" i="18"/>
  <c r="C62" i="18"/>
  <c r="C61" i="18"/>
  <c r="E61" i="18" s="1"/>
  <c r="D60" i="18"/>
  <c r="C60" i="18"/>
  <c r="E60" i="18" s="1"/>
  <c r="E59" i="18"/>
  <c r="C59" i="18"/>
  <c r="D59" i="18" s="1"/>
  <c r="C58" i="18"/>
  <c r="D58" i="18" s="1"/>
  <c r="D57" i="18"/>
  <c r="C57" i="18"/>
  <c r="D56" i="18"/>
  <c r="C56" i="18"/>
  <c r="D55" i="18"/>
  <c r="C55" i="18"/>
  <c r="C54" i="18"/>
  <c r="D54" i="18" s="1"/>
  <c r="E43" i="18"/>
  <c r="C43" i="18"/>
  <c r="D43" i="18" s="1"/>
  <c r="C42" i="18"/>
  <c r="E42" i="18" s="1"/>
  <c r="D41" i="18"/>
  <c r="C41" i="18"/>
  <c r="E41" i="18" s="1"/>
  <c r="D40" i="18"/>
  <c r="C40" i="18"/>
  <c r="E40" i="18" s="1"/>
  <c r="C39" i="18"/>
  <c r="E38" i="18"/>
  <c r="D38" i="18"/>
  <c r="C38" i="18"/>
  <c r="C37" i="18"/>
  <c r="E37" i="18" s="1"/>
  <c r="C36" i="18"/>
  <c r="E36" i="18" s="1"/>
  <c r="E35" i="18"/>
  <c r="C35" i="18"/>
  <c r="D35" i="18" s="1"/>
  <c r="C34" i="18"/>
  <c r="E34" i="18" s="1"/>
  <c r="E33" i="18"/>
  <c r="D33" i="18"/>
  <c r="C33" i="18"/>
  <c r="C32" i="18"/>
  <c r="E32" i="18" s="1"/>
  <c r="D31" i="18"/>
  <c r="C31" i="18"/>
  <c r="E31" i="18" s="1"/>
  <c r="E30" i="18"/>
  <c r="C30" i="18"/>
  <c r="D30" i="18" s="1"/>
  <c r="C19" i="18"/>
  <c r="D19" i="18" s="1"/>
  <c r="D18" i="18"/>
  <c r="C18" i="18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D10" i="18"/>
  <c r="C10" i="18"/>
  <c r="D9" i="18"/>
  <c r="C9" i="18"/>
  <c r="C8" i="18"/>
  <c r="D8" i="18" s="1"/>
  <c r="C7" i="18"/>
  <c r="D6" i="18"/>
  <c r="C6" i="18"/>
  <c r="D210" i="9"/>
  <c r="C210" i="9"/>
  <c r="C209" i="9"/>
  <c r="D209" i="9" s="1"/>
  <c r="C208" i="9"/>
  <c r="D208" i="9" s="1"/>
  <c r="C207" i="9"/>
  <c r="D207" i="9" s="1"/>
  <c r="D206" i="9"/>
  <c r="C206" i="9"/>
  <c r="C205" i="9"/>
  <c r="D205" i="9" s="1"/>
  <c r="D204" i="9"/>
  <c r="C204" i="9"/>
  <c r="C203" i="9"/>
  <c r="D203" i="9" s="1"/>
  <c r="C202" i="9"/>
  <c r="D202" i="9" s="1"/>
  <c r="C201" i="9"/>
  <c r="D201" i="9" s="1"/>
  <c r="C200" i="9"/>
  <c r="D200" i="9" s="1"/>
  <c r="D199" i="9"/>
  <c r="C199" i="9"/>
  <c r="C198" i="9"/>
  <c r="D198" i="9" s="1"/>
  <c r="C197" i="9"/>
  <c r="D197" i="9" s="1"/>
  <c r="C196" i="9"/>
  <c r="D196" i="9" s="1"/>
  <c r="C188" i="9"/>
  <c r="D188" i="9" s="1"/>
  <c r="D187" i="9"/>
  <c r="C187" i="9"/>
  <c r="C186" i="9"/>
  <c r="D186" i="9" s="1"/>
  <c r="D185" i="9"/>
  <c r="C185" i="9"/>
  <c r="C184" i="9"/>
  <c r="D184" i="9" s="1"/>
  <c r="D183" i="9"/>
  <c r="C183" i="9"/>
  <c r="C182" i="9"/>
  <c r="D182" i="9" s="1"/>
  <c r="C181" i="9"/>
  <c r="D181" i="9" s="1"/>
  <c r="D180" i="9"/>
  <c r="C180" i="9"/>
  <c r="D179" i="9"/>
  <c r="C179" i="9"/>
  <c r="D178" i="9"/>
  <c r="C178" i="9"/>
  <c r="C177" i="9"/>
  <c r="D177" i="9" s="1"/>
  <c r="C176" i="9"/>
  <c r="D176" i="9" s="1"/>
  <c r="C175" i="9"/>
  <c r="D175" i="9" s="1"/>
  <c r="D189" i="9" s="1"/>
  <c r="D165" i="9"/>
  <c r="C165" i="9"/>
  <c r="D164" i="9"/>
  <c r="C164" i="9"/>
  <c r="C163" i="9"/>
  <c r="D163" i="9" s="1"/>
  <c r="D162" i="9"/>
  <c r="C162" i="9"/>
  <c r="C161" i="9"/>
  <c r="D161" i="9" s="1"/>
  <c r="C160" i="9"/>
  <c r="D160" i="9" s="1"/>
  <c r="D159" i="9"/>
  <c r="C159" i="9"/>
  <c r="C158" i="9"/>
  <c r="D158" i="9" s="1"/>
  <c r="C157" i="9"/>
  <c r="D157" i="9" s="1"/>
  <c r="C156" i="9"/>
  <c r="D156" i="9" s="1"/>
  <c r="D147" i="9"/>
  <c r="C147" i="9"/>
  <c r="D146" i="9"/>
  <c r="C146" i="9"/>
  <c r="C145" i="9"/>
  <c r="D145" i="9" s="1"/>
  <c r="D144" i="9"/>
  <c r="C144" i="9"/>
  <c r="C143" i="9"/>
  <c r="D143" i="9" s="1"/>
  <c r="D142" i="9"/>
  <c r="C142" i="9"/>
  <c r="C141" i="9"/>
  <c r="D141" i="9" s="1"/>
  <c r="C140" i="9"/>
  <c r="D140" i="9" s="1"/>
  <c r="C139" i="9"/>
  <c r="D139" i="9" s="1"/>
  <c r="D138" i="9"/>
  <c r="C138" i="9"/>
  <c r="D137" i="9"/>
  <c r="C137" i="9"/>
  <c r="D136" i="9"/>
  <c r="C136" i="9"/>
  <c r="C135" i="9"/>
  <c r="D135" i="9" s="1"/>
  <c r="C134" i="9"/>
  <c r="D134" i="9" s="1"/>
  <c r="D133" i="9"/>
  <c r="C133" i="9"/>
  <c r="C132" i="9"/>
  <c r="C148" i="9" s="1"/>
  <c r="D131" i="9"/>
  <c r="C131" i="9"/>
  <c r="C118" i="9"/>
  <c r="D118" i="9" s="1"/>
  <c r="C117" i="9"/>
  <c r="D117" i="9" s="1"/>
  <c r="D116" i="9"/>
  <c r="C116" i="9"/>
  <c r="D115" i="9"/>
  <c r="C115" i="9"/>
  <c r="C114" i="9"/>
  <c r="D114" i="9" s="1"/>
  <c r="D113" i="9"/>
  <c r="C113" i="9"/>
  <c r="C112" i="9"/>
  <c r="D112" i="9" s="1"/>
  <c r="C111" i="9"/>
  <c r="C119" i="9" s="1"/>
  <c r="C110" i="9"/>
  <c r="D110" i="9" s="1"/>
  <c r="D101" i="9"/>
  <c r="C101" i="9"/>
  <c r="D100" i="9"/>
  <c r="C100" i="9"/>
  <c r="C99" i="9"/>
  <c r="D99" i="9" s="1"/>
  <c r="D98" i="9"/>
  <c r="C98" i="9"/>
  <c r="D97" i="9"/>
  <c r="C97" i="9"/>
  <c r="C96" i="9"/>
  <c r="D96" i="9" s="1"/>
  <c r="C95" i="9"/>
  <c r="D95" i="9" s="1"/>
  <c r="C94" i="9"/>
  <c r="D94" i="9" s="1"/>
  <c r="D93" i="9"/>
  <c r="C93" i="9"/>
  <c r="C92" i="9"/>
  <c r="D92" i="9" s="1"/>
  <c r="D91" i="9"/>
  <c r="C91" i="9"/>
  <c r="D90" i="9"/>
  <c r="C90" i="9"/>
  <c r="D89" i="9"/>
  <c r="C89" i="9"/>
  <c r="C88" i="9"/>
  <c r="D88" i="9" s="1"/>
  <c r="C87" i="9"/>
  <c r="D87" i="9" s="1"/>
  <c r="D86" i="9"/>
  <c r="C86" i="9"/>
  <c r="D85" i="9"/>
  <c r="C85" i="9"/>
  <c r="D84" i="9"/>
  <c r="D102" i="9" s="1"/>
  <c r="C84" i="9"/>
  <c r="C73" i="9"/>
  <c r="D73" i="9" s="1"/>
  <c r="C72" i="9"/>
  <c r="D72" i="9" s="1"/>
  <c r="C71" i="9"/>
  <c r="D71" i="9" s="1"/>
  <c r="C70" i="9"/>
  <c r="D70" i="9" s="1"/>
  <c r="C69" i="9"/>
  <c r="D69" i="9" s="1"/>
  <c r="D68" i="9"/>
  <c r="C68" i="9"/>
  <c r="D67" i="9"/>
  <c r="C67" i="9"/>
  <c r="D66" i="9"/>
  <c r="C66" i="9"/>
  <c r="C65" i="9"/>
  <c r="D65" i="9" s="1"/>
  <c r="C64" i="9"/>
  <c r="D64" i="9" s="1"/>
  <c r="C63" i="9"/>
  <c r="D63" i="9" s="1"/>
  <c r="C62" i="9"/>
  <c r="D62" i="9" s="1"/>
  <c r="C61" i="9"/>
  <c r="D61" i="9" s="1"/>
  <c r="D60" i="9"/>
  <c r="C60" i="9"/>
  <c r="C59" i="9"/>
  <c r="D59" i="9" s="1"/>
  <c r="D58" i="9"/>
  <c r="C58" i="9"/>
  <c r="C57" i="9"/>
  <c r="D57" i="9" s="1"/>
  <c r="C56" i="9"/>
  <c r="D56" i="9" s="1"/>
  <c r="D55" i="9"/>
  <c r="C55" i="9"/>
  <c r="C54" i="9"/>
  <c r="D54" i="9" s="1"/>
  <c r="D53" i="9"/>
  <c r="C53" i="9"/>
  <c r="C52" i="9"/>
  <c r="C74" i="9" s="1"/>
  <c r="C44" i="9"/>
  <c r="D44" i="9" s="1"/>
  <c r="C43" i="9"/>
  <c r="D43" i="9" s="1"/>
  <c r="C42" i="9"/>
  <c r="D42" i="9" s="1"/>
  <c r="D41" i="9"/>
  <c r="C41" i="9"/>
  <c r="D40" i="9"/>
  <c r="C40" i="9"/>
  <c r="D39" i="9"/>
  <c r="C39" i="9"/>
  <c r="C38" i="9"/>
  <c r="D38" i="9" s="1"/>
  <c r="D37" i="9"/>
  <c r="C37" i="9"/>
  <c r="C36" i="9"/>
  <c r="D36" i="9" s="1"/>
  <c r="C35" i="9"/>
  <c r="D35" i="9" s="1"/>
  <c r="C34" i="9"/>
  <c r="D34" i="9" s="1"/>
  <c r="D33" i="9"/>
  <c r="C33" i="9"/>
  <c r="D32" i="9"/>
  <c r="C32" i="9"/>
  <c r="D31" i="9"/>
  <c r="C31" i="9"/>
  <c r="C30" i="9"/>
  <c r="D30" i="9" s="1"/>
  <c r="C29" i="9"/>
  <c r="D29" i="9" s="1"/>
  <c r="C28" i="9"/>
  <c r="D28" i="9" s="1"/>
  <c r="D27" i="9"/>
  <c r="C27" i="9"/>
  <c r="C45" i="9" s="1"/>
  <c r="D19" i="9"/>
  <c r="C19" i="9"/>
  <c r="D18" i="9"/>
  <c r="C18" i="9"/>
  <c r="C17" i="9"/>
  <c r="D17" i="9" s="1"/>
  <c r="C16" i="9"/>
  <c r="D16" i="9" s="1"/>
  <c r="C15" i="9"/>
  <c r="D15" i="9" s="1"/>
  <c r="C14" i="9"/>
  <c r="D14" i="9" s="1"/>
  <c r="D13" i="9"/>
  <c r="C13" i="9"/>
  <c r="D12" i="9"/>
  <c r="C12" i="9"/>
  <c r="D11" i="9"/>
  <c r="C11" i="9"/>
  <c r="D10" i="9"/>
  <c r="C10" i="9"/>
  <c r="C9" i="9"/>
  <c r="D9" i="9" s="1"/>
  <c r="D8" i="9"/>
  <c r="C8" i="9"/>
  <c r="D7" i="9"/>
  <c r="C7" i="9"/>
  <c r="D6" i="9"/>
  <c r="C6" i="9"/>
  <c r="C20" i="9" s="1"/>
  <c r="C900" i="17"/>
  <c r="E900" i="17" s="1"/>
  <c r="C899" i="17"/>
  <c r="E899" i="17" s="1"/>
  <c r="D898" i="17"/>
  <c r="C898" i="17"/>
  <c r="E898" i="17" s="1"/>
  <c r="C897" i="17"/>
  <c r="E897" i="17" s="1"/>
  <c r="D896" i="17"/>
  <c r="C896" i="17"/>
  <c r="E896" i="17" s="1"/>
  <c r="E895" i="17"/>
  <c r="D895" i="17"/>
  <c r="C895" i="17"/>
  <c r="C894" i="17"/>
  <c r="E894" i="17" s="1"/>
  <c r="D893" i="17"/>
  <c r="C893" i="17"/>
  <c r="E893" i="17" s="1"/>
  <c r="C892" i="17"/>
  <c r="E892" i="17" s="1"/>
  <c r="C891" i="17"/>
  <c r="D891" i="17" s="1"/>
  <c r="C890" i="17"/>
  <c r="D890" i="17" s="1"/>
  <c r="D889" i="17"/>
  <c r="C889" i="17"/>
  <c r="D888" i="17"/>
  <c r="C888" i="17"/>
  <c r="D887" i="17"/>
  <c r="C887" i="17"/>
  <c r="D886" i="17"/>
  <c r="C886" i="17"/>
  <c r="C901" i="17" s="1"/>
  <c r="B880" i="17"/>
  <c r="D879" i="17"/>
  <c r="C879" i="17"/>
  <c r="E879" i="17" s="1"/>
  <c r="E878" i="17"/>
  <c r="D878" i="17"/>
  <c r="C878" i="17"/>
  <c r="D877" i="17"/>
  <c r="C877" i="17"/>
  <c r="E877" i="17" s="1"/>
  <c r="C876" i="17"/>
  <c r="D876" i="17" s="1"/>
  <c r="E875" i="17"/>
  <c r="D875" i="17"/>
  <c r="C875" i="17"/>
  <c r="C874" i="17"/>
  <c r="E874" i="17" s="1"/>
  <c r="D873" i="17"/>
  <c r="C873" i="17"/>
  <c r="E873" i="17" s="1"/>
  <c r="C872" i="17"/>
  <c r="E872" i="17" s="1"/>
  <c r="C871" i="17"/>
  <c r="D871" i="17" s="1"/>
  <c r="D870" i="17"/>
  <c r="C870" i="17"/>
  <c r="C869" i="17"/>
  <c r="D869" i="17" s="1"/>
  <c r="C868" i="17"/>
  <c r="D868" i="17" s="1"/>
  <c r="D867" i="17"/>
  <c r="C867" i="17"/>
  <c r="D866" i="17"/>
  <c r="C866" i="17"/>
  <c r="D865" i="17"/>
  <c r="C865" i="17"/>
  <c r="E853" i="17"/>
  <c r="D853" i="17"/>
  <c r="C853" i="17"/>
  <c r="D852" i="17"/>
  <c r="C852" i="17"/>
  <c r="E852" i="17" s="1"/>
  <c r="C851" i="17"/>
  <c r="D851" i="17" s="1"/>
  <c r="E850" i="17"/>
  <c r="D850" i="17"/>
  <c r="C850" i="17"/>
  <c r="C849" i="17"/>
  <c r="E849" i="17" s="1"/>
  <c r="D848" i="17"/>
  <c r="C848" i="17"/>
  <c r="E848" i="17" s="1"/>
  <c r="C847" i="17"/>
  <c r="E847" i="17" s="1"/>
  <c r="E846" i="17"/>
  <c r="D846" i="17"/>
  <c r="C846" i="17"/>
  <c r="E845" i="17"/>
  <c r="D845" i="17"/>
  <c r="C845" i="17"/>
  <c r="D844" i="17"/>
  <c r="C844" i="17"/>
  <c r="E844" i="17" s="1"/>
  <c r="C843" i="17"/>
  <c r="D843" i="17" s="1"/>
  <c r="C842" i="17"/>
  <c r="E842" i="17" s="1"/>
  <c r="E841" i="17"/>
  <c r="D841" i="17"/>
  <c r="C841" i="17"/>
  <c r="E840" i="17"/>
  <c r="D840" i="17"/>
  <c r="C840" i="17"/>
  <c r="D839" i="17"/>
  <c r="C839" i="17"/>
  <c r="E839" i="17" s="1"/>
  <c r="D824" i="17"/>
  <c r="C824" i="17"/>
  <c r="E824" i="17" s="1"/>
  <c r="C823" i="17"/>
  <c r="E823" i="17" s="1"/>
  <c r="C822" i="17"/>
  <c r="E822" i="17" s="1"/>
  <c r="E821" i="17"/>
  <c r="D821" i="17"/>
  <c r="C821" i="17"/>
  <c r="D820" i="17"/>
  <c r="C820" i="17"/>
  <c r="E820" i="17" s="1"/>
  <c r="C819" i="17"/>
  <c r="D819" i="17" s="1"/>
  <c r="E818" i="17"/>
  <c r="C818" i="17"/>
  <c r="D818" i="17" s="1"/>
  <c r="C817" i="17"/>
  <c r="E817" i="17" s="1"/>
  <c r="D816" i="17"/>
  <c r="C816" i="17"/>
  <c r="E816" i="17" s="1"/>
  <c r="C815" i="17"/>
  <c r="H813" i="17" s="1"/>
  <c r="C814" i="17"/>
  <c r="D814" i="17" s="1"/>
  <c r="D813" i="17"/>
  <c r="C813" i="17"/>
  <c r="C812" i="17"/>
  <c r="D812" i="17" s="1"/>
  <c r="D811" i="17"/>
  <c r="C811" i="17"/>
  <c r="E805" i="17"/>
  <c r="D805" i="17"/>
  <c r="C805" i="17"/>
  <c r="C804" i="17"/>
  <c r="E804" i="17" s="1"/>
  <c r="C803" i="17"/>
  <c r="D803" i="17" s="1"/>
  <c r="E802" i="17"/>
  <c r="C802" i="17"/>
  <c r="D802" i="17" s="1"/>
  <c r="C801" i="17"/>
  <c r="E801" i="17" s="1"/>
  <c r="D800" i="17"/>
  <c r="C800" i="17"/>
  <c r="E800" i="17" s="1"/>
  <c r="D799" i="17"/>
  <c r="C799" i="17"/>
  <c r="E799" i="17" s="1"/>
  <c r="D798" i="17"/>
  <c r="C798" i="17"/>
  <c r="E798" i="17" s="1"/>
  <c r="E797" i="17"/>
  <c r="D797" i="17"/>
  <c r="C797" i="17"/>
  <c r="C796" i="17"/>
  <c r="E796" i="17" s="1"/>
  <c r="C795" i="17"/>
  <c r="D795" i="17" s="1"/>
  <c r="D794" i="17"/>
  <c r="C794" i="17"/>
  <c r="C793" i="17"/>
  <c r="D793" i="17" s="1"/>
  <c r="C792" i="17"/>
  <c r="D792" i="17" s="1"/>
  <c r="B785" i="17"/>
  <c r="C784" i="17"/>
  <c r="E784" i="17" s="1"/>
  <c r="C783" i="17"/>
  <c r="E783" i="17" s="1"/>
  <c r="E782" i="17"/>
  <c r="D782" i="17"/>
  <c r="C782" i="17"/>
  <c r="D781" i="17"/>
  <c r="C781" i="17"/>
  <c r="E781" i="17" s="1"/>
  <c r="C780" i="17"/>
  <c r="D780" i="17" s="1"/>
  <c r="C779" i="17"/>
  <c r="E779" i="17" s="1"/>
  <c r="C778" i="17"/>
  <c r="E778" i="17" s="1"/>
  <c r="E777" i="17"/>
  <c r="D777" i="17"/>
  <c r="C777" i="17"/>
  <c r="D776" i="17"/>
  <c r="C776" i="17"/>
  <c r="E776" i="17" s="1"/>
  <c r="C775" i="17"/>
  <c r="D775" i="17" s="1"/>
  <c r="D774" i="17"/>
  <c r="C774" i="17"/>
  <c r="C773" i="17"/>
  <c r="D773" i="17" s="1"/>
  <c r="C772" i="17"/>
  <c r="D772" i="17" s="1"/>
  <c r="D771" i="17"/>
  <c r="C771" i="17"/>
  <c r="C761" i="17"/>
  <c r="E761" i="17" s="1"/>
  <c r="D760" i="17"/>
  <c r="C760" i="17"/>
  <c r="E760" i="17" s="1"/>
  <c r="C759" i="17"/>
  <c r="E759" i="17" s="1"/>
  <c r="C758" i="17"/>
  <c r="E758" i="17" s="1"/>
  <c r="E757" i="17"/>
  <c r="D757" i="17"/>
  <c r="C757" i="17"/>
  <c r="D756" i="17"/>
  <c r="C756" i="17"/>
  <c r="E756" i="17" s="1"/>
  <c r="C755" i="17"/>
  <c r="D755" i="17" s="1"/>
  <c r="E754" i="17"/>
  <c r="D754" i="17"/>
  <c r="C754" i="17"/>
  <c r="C753" i="17"/>
  <c r="E753" i="17" s="1"/>
  <c r="D752" i="17"/>
  <c r="C752" i="17"/>
  <c r="E752" i="17" s="1"/>
  <c r="C751" i="17"/>
  <c r="E751" i="17" s="1"/>
  <c r="C750" i="17"/>
  <c r="D750" i="17" s="1"/>
  <c r="E749" i="17"/>
  <c r="D749" i="17"/>
  <c r="C749" i="17"/>
  <c r="C748" i="17"/>
  <c r="E748" i="17" s="1"/>
  <c r="D738" i="17"/>
  <c r="C738" i="17"/>
  <c r="C737" i="17"/>
  <c r="D737" i="17" s="1"/>
  <c r="C736" i="17"/>
  <c r="D736" i="17" s="1"/>
  <c r="D735" i="17"/>
  <c r="C735" i="17"/>
  <c r="D734" i="17"/>
  <c r="C734" i="17"/>
  <c r="C733" i="17"/>
  <c r="D733" i="17" s="1"/>
  <c r="C732" i="17"/>
  <c r="D732" i="17" s="1"/>
  <c r="C731" i="17"/>
  <c r="D731" i="17" s="1"/>
  <c r="D730" i="17"/>
  <c r="C730" i="17"/>
  <c r="C729" i="17"/>
  <c r="D729" i="17" s="1"/>
  <c r="D728" i="17"/>
  <c r="C728" i="17"/>
  <c r="C727" i="17"/>
  <c r="D727" i="17" s="1"/>
  <c r="D726" i="17"/>
  <c r="C726" i="17"/>
  <c r="D725" i="17"/>
  <c r="D739" i="17" s="1"/>
  <c r="H728" i="17" s="1"/>
  <c r="C725" i="17"/>
  <c r="B710" i="17"/>
  <c r="C709" i="17"/>
  <c r="E709" i="17" s="1"/>
  <c r="C708" i="17"/>
  <c r="E708" i="17" s="1"/>
  <c r="D707" i="17"/>
  <c r="C707" i="17"/>
  <c r="E707" i="17" s="1"/>
  <c r="C706" i="17"/>
  <c r="E706" i="17" s="1"/>
  <c r="C705" i="17"/>
  <c r="E705" i="17" s="1"/>
  <c r="C704" i="17"/>
  <c r="E704" i="17" s="1"/>
  <c r="E703" i="17"/>
  <c r="C703" i="17"/>
  <c r="D703" i="17" s="1"/>
  <c r="E702" i="17"/>
  <c r="D702" i="17"/>
  <c r="C702" i="17"/>
  <c r="C701" i="17"/>
  <c r="D701" i="17" s="1"/>
  <c r="C700" i="17"/>
  <c r="D700" i="17" s="1"/>
  <c r="B694" i="17"/>
  <c r="C693" i="17"/>
  <c r="E693" i="17" s="1"/>
  <c r="C692" i="17"/>
  <c r="E692" i="17" s="1"/>
  <c r="C691" i="17"/>
  <c r="E691" i="17" s="1"/>
  <c r="E690" i="17"/>
  <c r="C690" i="17"/>
  <c r="D690" i="17" s="1"/>
  <c r="D689" i="17"/>
  <c r="C689" i="17"/>
  <c r="E689" i="17" s="1"/>
  <c r="C688" i="17"/>
  <c r="E688" i="17" s="1"/>
  <c r="E687" i="17"/>
  <c r="D687" i="17"/>
  <c r="C687" i="17"/>
  <c r="C686" i="17"/>
  <c r="E686" i="17" s="1"/>
  <c r="D685" i="17"/>
  <c r="C685" i="17"/>
  <c r="D684" i="17"/>
  <c r="C684" i="17"/>
  <c r="C671" i="17"/>
  <c r="E671" i="17" s="1"/>
  <c r="C670" i="17"/>
  <c r="E670" i="17" s="1"/>
  <c r="E669" i="17"/>
  <c r="C669" i="17"/>
  <c r="D669" i="17" s="1"/>
  <c r="D668" i="17"/>
  <c r="C668" i="17"/>
  <c r="E668" i="17" s="1"/>
  <c r="C667" i="17"/>
  <c r="E667" i="17" s="1"/>
  <c r="C666" i="17"/>
  <c r="E666" i="17" s="1"/>
  <c r="E665" i="17"/>
  <c r="C665" i="17"/>
  <c r="D665" i="17" s="1"/>
  <c r="E664" i="17"/>
  <c r="C664" i="17"/>
  <c r="D664" i="17" s="1"/>
  <c r="D663" i="17"/>
  <c r="C663" i="17"/>
  <c r="E663" i="17" s="1"/>
  <c r="C662" i="17"/>
  <c r="E662" i="17" s="1"/>
  <c r="E672" i="17" s="1"/>
  <c r="H664" i="17" s="1"/>
  <c r="C654" i="17"/>
  <c r="D654" i="17" s="1"/>
  <c r="C653" i="17"/>
  <c r="D653" i="17" s="1"/>
  <c r="C652" i="17"/>
  <c r="D652" i="17" s="1"/>
  <c r="C651" i="17"/>
  <c r="D651" i="17" s="1"/>
  <c r="C650" i="17"/>
  <c r="D650" i="17" s="1"/>
  <c r="C649" i="17"/>
  <c r="D649" i="17" s="1"/>
  <c r="C648" i="17"/>
  <c r="D648" i="17" s="1"/>
  <c r="C647" i="17"/>
  <c r="D647" i="17" s="1"/>
  <c r="C646" i="17"/>
  <c r="D646" i="17" s="1"/>
  <c r="C645" i="17"/>
  <c r="D645" i="17" s="1"/>
  <c r="C644" i="17"/>
  <c r="D644" i="17" s="1"/>
  <c r="C643" i="17"/>
  <c r="D643" i="17" s="1"/>
  <c r="C642" i="17"/>
  <c r="D642" i="17" s="1"/>
  <c r="G641" i="17"/>
  <c r="D641" i="17"/>
  <c r="C641" i="17"/>
  <c r="D640" i="17"/>
  <c r="C640" i="17"/>
  <c r="D639" i="17"/>
  <c r="C639" i="17"/>
  <c r="D638" i="17"/>
  <c r="C638" i="17"/>
  <c r="C631" i="17"/>
  <c r="E631" i="17" s="1"/>
  <c r="D630" i="17"/>
  <c r="C630" i="17"/>
  <c r="E630" i="17" s="1"/>
  <c r="E629" i="17"/>
  <c r="C629" i="17"/>
  <c r="D629" i="17" s="1"/>
  <c r="D628" i="17"/>
  <c r="C628" i="17"/>
  <c r="E628" i="17" s="1"/>
  <c r="C627" i="17"/>
  <c r="E627" i="17" s="1"/>
  <c r="D626" i="17"/>
  <c r="C626" i="17"/>
  <c r="E626" i="17" s="1"/>
  <c r="E625" i="17"/>
  <c r="C625" i="17"/>
  <c r="D625" i="17" s="1"/>
  <c r="E624" i="17"/>
  <c r="D624" i="17"/>
  <c r="C624" i="17"/>
  <c r="C623" i="17"/>
  <c r="E623" i="17" s="1"/>
  <c r="D622" i="17"/>
  <c r="C622" i="17"/>
  <c r="E622" i="17" s="1"/>
  <c r="E632" i="17" s="1"/>
  <c r="I618" i="17" s="1"/>
  <c r="D621" i="17"/>
  <c r="C621" i="17"/>
  <c r="D620" i="17"/>
  <c r="C620" i="17"/>
  <c r="D619" i="17"/>
  <c r="C619" i="17"/>
  <c r="C618" i="17"/>
  <c r="D618" i="17" s="1"/>
  <c r="C617" i="17"/>
  <c r="D617" i="17" s="1"/>
  <c r="C616" i="17"/>
  <c r="D616" i="17" s="1"/>
  <c r="C615" i="17"/>
  <c r="D615" i="17" s="1"/>
  <c r="C603" i="17"/>
  <c r="E603" i="17" s="1"/>
  <c r="E602" i="17"/>
  <c r="C602" i="17"/>
  <c r="D602" i="17" s="1"/>
  <c r="D601" i="17"/>
  <c r="C601" i="17"/>
  <c r="E601" i="17" s="1"/>
  <c r="C600" i="17"/>
  <c r="E600" i="17" s="1"/>
  <c r="D599" i="17"/>
  <c r="C599" i="17"/>
  <c r="E599" i="17" s="1"/>
  <c r="E598" i="17"/>
  <c r="C598" i="17"/>
  <c r="D598" i="17" s="1"/>
  <c r="E597" i="17"/>
  <c r="D597" i="17"/>
  <c r="C597" i="17"/>
  <c r="C596" i="17"/>
  <c r="E596" i="17" s="1"/>
  <c r="C595" i="17"/>
  <c r="E595" i="17" s="1"/>
  <c r="E594" i="17"/>
  <c r="C594" i="17"/>
  <c r="D594" i="17" s="1"/>
  <c r="E593" i="17"/>
  <c r="D593" i="17"/>
  <c r="C593" i="17"/>
  <c r="E592" i="17"/>
  <c r="C592" i="17"/>
  <c r="D592" i="17" s="1"/>
  <c r="E591" i="17"/>
  <c r="C591" i="17"/>
  <c r="D591" i="17" s="1"/>
  <c r="E590" i="17"/>
  <c r="C590" i="17"/>
  <c r="D590" i="17" s="1"/>
  <c r="E589" i="17"/>
  <c r="C589" i="17"/>
  <c r="D589" i="17" s="1"/>
  <c r="E588" i="17"/>
  <c r="D588" i="17"/>
  <c r="C588" i="17"/>
  <c r="E587" i="17"/>
  <c r="C587" i="17"/>
  <c r="D587" i="17" s="1"/>
  <c r="B577" i="17"/>
  <c r="E576" i="17"/>
  <c r="C576" i="17"/>
  <c r="D576" i="17" s="1"/>
  <c r="D575" i="17"/>
  <c r="C575" i="17"/>
  <c r="E575" i="17" s="1"/>
  <c r="C574" i="17"/>
  <c r="E574" i="17" s="1"/>
  <c r="D573" i="17"/>
  <c r="C573" i="17"/>
  <c r="E573" i="17" s="1"/>
  <c r="E572" i="17"/>
  <c r="C572" i="17"/>
  <c r="D572" i="17" s="1"/>
  <c r="D571" i="17"/>
  <c r="C571" i="17"/>
  <c r="E571" i="17" s="1"/>
  <c r="D570" i="17"/>
  <c r="C570" i="17"/>
  <c r="E570" i="17" s="1"/>
  <c r="C569" i="17"/>
  <c r="C568" i="17"/>
  <c r="E568" i="17" s="1"/>
  <c r="E567" i="17"/>
  <c r="C567" i="17"/>
  <c r="D567" i="17" s="1"/>
  <c r="E566" i="17"/>
  <c r="D566" i="17"/>
  <c r="C566" i="17"/>
  <c r="E565" i="17"/>
  <c r="C565" i="17"/>
  <c r="D565" i="17" s="1"/>
  <c r="E564" i="17"/>
  <c r="D564" i="17"/>
  <c r="C564" i="17"/>
  <c r="E563" i="17"/>
  <c r="C563" i="17"/>
  <c r="D563" i="17" s="1"/>
  <c r="E562" i="17"/>
  <c r="C562" i="17"/>
  <c r="D562" i="17" s="1"/>
  <c r="E561" i="17"/>
  <c r="D561" i="17"/>
  <c r="C561" i="17"/>
  <c r="E560" i="17"/>
  <c r="C560" i="17"/>
  <c r="D560" i="17" s="1"/>
  <c r="C540" i="17"/>
  <c r="C539" i="17"/>
  <c r="E539" i="17" s="1"/>
  <c r="E538" i="17"/>
  <c r="C538" i="17"/>
  <c r="D538" i="17" s="1"/>
  <c r="D537" i="17"/>
  <c r="C537" i="17"/>
  <c r="E537" i="17" s="1"/>
  <c r="E536" i="17"/>
  <c r="D536" i="17"/>
  <c r="C536" i="17"/>
  <c r="C535" i="17"/>
  <c r="C534" i="17"/>
  <c r="E534" i="17" s="1"/>
  <c r="E533" i="17"/>
  <c r="C533" i="17"/>
  <c r="D533" i="17" s="1"/>
  <c r="E532" i="17"/>
  <c r="D532" i="17"/>
  <c r="C532" i="17"/>
  <c r="C524" i="17"/>
  <c r="E524" i="17" s="1"/>
  <c r="E523" i="17"/>
  <c r="D523" i="17"/>
  <c r="C523" i="17"/>
  <c r="E522" i="17"/>
  <c r="D522" i="17"/>
  <c r="C522" i="17"/>
  <c r="C521" i="17"/>
  <c r="E521" i="17" s="1"/>
  <c r="C520" i="17"/>
  <c r="C519" i="17"/>
  <c r="E518" i="17"/>
  <c r="C518" i="17"/>
  <c r="D518" i="17" s="1"/>
  <c r="E517" i="17"/>
  <c r="D517" i="17"/>
  <c r="C517" i="17"/>
  <c r="E516" i="17"/>
  <c r="D516" i="17"/>
  <c r="C516" i="17"/>
  <c r="B505" i="17"/>
  <c r="C504" i="17"/>
  <c r="D504" i="17" s="1"/>
  <c r="E503" i="17"/>
  <c r="D503" i="17"/>
  <c r="C503" i="17"/>
  <c r="E502" i="17"/>
  <c r="D502" i="17"/>
  <c r="C502" i="17"/>
  <c r="C501" i="17"/>
  <c r="E501" i="17" s="1"/>
  <c r="C500" i="17"/>
  <c r="D499" i="17"/>
  <c r="C499" i="17"/>
  <c r="E499" i="17" s="1"/>
  <c r="E498" i="17"/>
  <c r="D498" i="17"/>
  <c r="C498" i="17"/>
  <c r="E497" i="17"/>
  <c r="D497" i="17"/>
  <c r="C497" i="17"/>
  <c r="E496" i="17"/>
  <c r="D496" i="17"/>
  <c r="C496" i="17"/>
  <c r="E485" i="17"/>
  <c r="D485" i="17"/>
  <c r="C485" i="17"/>
  <c r="C484" i="17"/>
  <c r="E484" i="17" s="1"/>
  <c r="C483" i="17"/>
  <c r="C482" i="17"/>
  <c r="D482" i="17" s="1"/>
  <c r="E481" i="17"/>
  <c r="D481" i="17"/>
  <c r="C481" i="17"/>
  <c r="E480" i="17"/>
  <c r="D480" i="17"/>
  <c r="C480" i="17"/>
  <c r="C479" i="17"/>
  <c r="E479" i="17" s="1"/>
  <c r="C478" i="17"/>
  <c r="C477" i="17"/>
  <c r="D477" i="17" s="1"/>
  <c r="E469" i="17"/>
  <c r="C469" i="17"/>
  <c r="D469" i="17" s="1"/>
  <c r="E468" i="17"/>
  <c r="D468" i="17"/>
  <c r="C468" i="17"/>
  <c r="C467" i="17"/>
  <c r="E467" i="17" s="1"/>
  <c r="C466" i="17"/>
  <c r="C465" i="17"/>
  <c r="D465" i="17" s="1"/>
  <c r="E464" i="17"/>
  <c r="D464" i="17"/>
  <c r="C464" i="17"/>
  <c r="C463" i="17"/>
  <c r="E463" i="17" s="1"/>
  <c r="D462" i="17"/>
  <c r="C462" i="17"/>
  <c r="E462" i="17" s="1"/>
  <c r="E461" i="17"/>
  <c r="D461" i="17"/>
  <c r="C461" i="17"/>
  <c r="E460" i="17"/>
  <c r="D460" i="17"/>
  <c r="C460" i="17"/>
  <c r="E459" i="17"/>
  <c r="C459" i="17"/>
  <c r="D459" i="17" s="1"/>
  <c r="C458" i="17"/>
  <c r="D458" i="17" s="1"/>
  <c r="D457" i="17"/>
  <c r="C457" i="17"/>
  <c r="C456" i="17"/>
  <c r="D456" i="17" s="1"/>
  <c r="D455" i="17"/>
  <c r="C455" i="17"/>
  <c r="C454" i="17"/>
  <c r="D454" i="17" s="1"/>
  <c r="D453" i="17"/>
  <c r="C453" i="17"/>
  <c r="C452" i="17"/>
  <c r="D452" i="17" s="1"/>
  <c r="D447" i="17"/>
  <c r="C447" i="17"/>
  <c r="E447" i="17" s="1"/>
  <c r="C446" i="17"/>
  <c r="E446" i="17" s="1"/>
  <c r="E445" i="17"/>
  <c r="D445" i="17"/>
  <c r="C445" i="17"/>
  <c r="E444" i="17"/>
  <c r="D444" i="17"/>
  <c r="C444" i="17"/>
  <c r="C443" i="17"/>
  <c r="E443" i="17" s="1"/>
  <c r="C442" i="17"/>
  <c r="C441" i="17"/>
  <c r="D441" i="17" s="1"/>
  <c r="E440" i="17"/>
  <c r="D440" i="17"/>
  <c r="C440" i="17"/>
  <c r="C439" i="17"/>
  <c r="E439" i="17" s="1"/>
  <c r="C438" i="17"/>
  <c r="E438" i="17" s="1"/>
  <c r="E437" i="17"/>
  <c r="D437" i="17"/>
  <c r="C437" i="17"/>
  <c r="C436" i="17"/>
  <c r="D436" i="17" s="1"/>
  <c r="C435" i="17"/>
  <c r="D435" i="17" s="1"/>
  <c r="C434" i="17"/>
  <c r="D434" i="17" s="1"/>
  <c r="C433" i="17"/>
  <c r="D433" i="17" s="1"/>
  <c r="D432" i="17"/>
  <c r="C432" i="17"/>
  <c r="C431" i="17"/>
  <c r="D431" i="17" s="1"/>
  <c r="D430" i="17"/>
  <c r="C430" i="17"/>
  <c r="B419" i="17"/>
  <c r="D418" i="17"/>
  <c r="C418" i="17"/>
  <c r="E418" i="17" s="1"/>
  <c r="E417" i="17"/>
  <c r="D417" i="17"/>
  <c r="C417" i="17"/>
  <c r="E416" i="17"/>
  <c r="D416" i="17"/>
  <c r="C416" i="17"/>
  <c r="E415" i="17"/>
  <c r="C415" i="17"/>
  <c r="D415" i="17" s="1"/>
  <c r="C414" i="17"/>
  <c r="E413" i="17"/>
  <c r="C413" i="17"/>
  <c r="D413" i="17" s="1"/>
  <c r="E412" i="17"/>
  <c r="D412" i="17"/>
  <c r="C412" i="17"/>
  <c r="C411" i="17"/>
  <c r="E411" i="17" s="1"/>
  <c r="E410" i="17"/>
  <c r="D410" i="17"/>
  <c r="C410" i="17"/>
  <c r="C409" i="17"/>
  <c r="E408" i="17"/>
  <c r="C408" i="17"/>
  <c r="D408" i="17" s="1"/>
  <c r="C407" i="17"/>
  <c r="D407" i="17" s="1"/>
  <c r="D406" i="17"/>
  <c r="C406" i="17"/>
  <c r="C405" i="17"/>
  <c r="D405" i="17" s="1"/>
  <c r="C404" i="17"/>
  <c r="D404" i="17" s="1"/>
  <c r="D403" i="17"/>
  <c r="C403" i="17"/>
  <c r="C402" i="17"/>
  <c r="D402" i="17" s="1"/>
  <c r="D401" i="17"/>
  <c r="C401" i="17"/>
  <c r="E391" i="17"/>
  <c r="C391" i="17"/>
  <c r="D391" i="17" s="1"/>
  <c r="E390" i="17"/>
  <c r="D390" i="17"/>
  <c r="C390" i="17"/>
  <c r="C389" i="17"/>
  <c r="E389" i="17" s="1"/>
  <c r="C388" i="17"/>
  <c r="C387" i="17"/>
  <c r="D387" i="17" s="1"/>
  <c r="E386" i="17"/>
  <c r="D386" i="17"/>
  <c r="C386" i="17"/>
  <c r="C385" i="17"/>
  <c r="E385" i="17" s="1"/>
  <c r="D384" i="17"/>
  <c r="C384" i="17"/>
  <c r="E384" i="17" s="1"/>
  <c r="E383" i="17"/>
  <c r="C383" i="17"/>
  <c r="D383" i="17" s="1"/>
  <c r="E382" i="17"/>
  <c r="D382" i="17"/>
  <c r="C382" i="17"/>
  <c r="E381" i="17"/>
  <c r="D381" i="17"/>
  <c r="C381" i="17"/>
  <c r="C380" i="17"/>
  <c r="C379" i="17"/>
  <c r="D379" i="17" s="1"/>
  <c r="E378" i="17"/>
  <c r="D378" i="17"/>
  <c r="C378" i="17"/>
  <c r="D377" i="17"/>
  <c r="C377" i="17"/>
  <c r="E377" i="17" s="1"/>
  <c r="C376" i="17"/>
  <c r="E376" i="17" s="1"/>
  <c r="C375" i="17"/>
  <c r="C374" i="17"/>
  <c r="D374" i="17" s="1"/>
  <c r="B369" i="17"/>
  <c r="C368" i="17"/>
  <c r="C367" i="17"/>
  <c r="D367" i="17" s="1"/>
  <c r="E366" i="17"/>
  <c r="D366" i="17"/>
  <c r="C366" i="17"/>
  <c r="D365" i="17"/>
  <c r="C365" i="17"/>
  <c r="E365" i="17" s="1"/>
  <c r="C364" i="17"/>
  <c r="E364" i="17" s="1"/>
  <c r="E363" i="17"/>
  <c r="D363" i="17"/>
  <c r="C363" i="17"/>
  <c r="E362" i="17"/>
  <c r="D362" i="17"/>
  <c r="C362" i="17"/>
  <c r="C361" i="17"/>
  <c r="E361" i="17" s="1"/>
  <c r="C360" i="17"/>
  <c r="C359" i="17"/>
  <c r="D359" i="17" s="1"/>
  <c r="E358" i="17"/>
  <c r="D358" i="17"/>
  <c r="C358" i="17"/>
  <c r="C357" i="17"/>
  <c r="E357" i="17" s="1"/>
  <c r="C356" i="17"/>
  <c r="D356" i="17" s="1"/>
  <c r="C355" i="17"/>
  <c r="D355" i="17" s="1"/>
  <c r="D354" i="17"/>
  <c r="C354" i="17"/>
  <c r="D353" i="17"/>
  <c r="C353" i="17"/>
  <c r="C352" i="17"/>
  <c r="D352" i="17" s="1"/>
  <c r="D351" i="17"/>
  <c r="C351" i="17"/>
  <c r="C350" i="17"/>
  <c r="D350" i="17" s="1"/>
  <c r="C349" i="17"/>
  <c r="D349" i="17" s="1"/>
  <c r="D348" i="17"/>
  <c r="C348" i="17"/>
  <c r="D347" i="17"/>
  <c r="C347" i="17"/>
  <c r="C340" i="17"/>
  <c r="E340" i="17" s="1"/>
  <c r="E339" i="17"/>
  <c r="D339" i="17"/>
  <c r="C339" i="17"/>
  <c r="E338" i="17"/>
  <c r="D338" i="17"/>
  <c r="C338" i="17"/>
  <c r="C337" i="17"/>
  <c r="E337" i="17" s="1"/>
  <c r="C336" i="17"/>
  <c r="C335" i="17"/>
  <c r="D335" i="17" s="1"/>
  <c r="E334" i="17"/>
  <c r="D334" i="17"/>
  <c r="C334" i="17"/>
  <c r="C333" i="17"/>
  <c r="E333" i="17" s="1"/>
  <c r="C332" i="17"/>
  <c r="E332" i="17" s="1"/>
  <c r="E331" i="17"/>
  <c r="D331" i="17"/>
  <c r="C331" i="17"/>
  <c r="E330" i="17"/>
  <c r="D330" i="17"/>
  <c r="C330" i="17"/>
  <c r="C329" i="17"/>
  <c r="E329" i="17" s="1"/>
  <c r="D328" i="17"/>
  <c r="C328" i="17"/>
  <c r="C327" i="17"/>
  <c r="D327" i="17" s="1"/>
  <c r="C326" i="17"/>
  <c r="D326" i="17" s="1"/>
  <c r="C325" i="17"/>
  <c r="D325" i="17" s="1"/>
  <c r="D324" i="17"/>
  <c r="C324" i="17"/>
  <c r="C323" i="17"/>
  <c r="D323" i="17" s="1"/>
  <c r="C322" i="17"/>
  <c r="D322" i="17" s="1"/>
  <c r="D321" i="17"/>
  <c r="C321" i="17"/>
  <c r="C320" i="17"/>
  <c r="D320" i="17" s="1"/>
  <c r="D319" i="17"/>
  <c r="C319" i="17"/>
  <c r="B311" i="17"/>
  <c r="C310" i="17"/>
  <c r="D310" i="17" s="1"/>
  <c r="E309" i="17"/>
  <c r="D309" i="17"/>
  <c r="C309" i="17"/>
  <c r="C308" i="17"/>
  <c r="E308" i="17" s="1"/>
  <c r="C307" i="17"/>
  <c r="E307" i="17" s="1"/>
  <c r="C306" i="17"/>
  <c r="E306" i="17" s="1"/>
  <c r="D305" i="17"/>
  <c r="C305" i="17"/>
  <c r="E305" i="17" s="1"/>
  <c r="E304" i="17"/>
  <c r="D304" i="17"/>
  <c r="C304" i="17"/>
  <c r="C303" i="17"/>
  <c r="E303" i="17" s="1"/>
  <c r="C302" i="17"/>
  <c r="E302" i="17" s="1"/>
  <c r="C301" i="17"/>
  <c r="E301" i="17" s="1"/>
  <c r="D300" i="17"/>
  <c r="C300" i="17"/>
  <c r="E300" i="17" s="1"/>
  <c r="E299" i="17"/>
  <c r="D299" i="17"/>
  <c r="C299" i="17"/>
  <c r="C298" i="17"/>
  <c r="D298" i="17" s="1"/>
  <c r="C297" i="17"/>
  <c r="D297" i="17" s="1"/>
  <c r="C296" i="17"/>
  <c r="D296" i="17" s="1"/>
  <c r="D295" i="17"/>
  <c r="C295" i="17"/>
  <c r="C294" i="17"/>
  <c r="D294" i="17" s="1"/>
  <c r="C293" i="17"/>
  <c r="D293" i="17" s="1"/>
  <c r="C292" i="17"/>
  <c r="D292" i="17" s="1"/>
  <c r="D291" i="17"/>
  <c r="C291" i="17"/>
  <c r="C290" i="17"/>
  <c r="D290" i="17" s="1"/>
  <c r="D289" i="17"/>
  <c r="C289" i="17"/>
  <c r="C280" i="17"/>
  <c r="E280" i="17" s="1"/>
  <c r="D279" i="17"/>
  <c r="C279" i="17"/>
  <c r="E279" i="17" s="1"/>
  <c r="E278" i="17"/>
  <c r="D278" i="17"/>
  <c r="C278" i="17"/>
  <c r="D277" i="17"/>
  <c r="C277" i="17"/>
  <c r="E277" i="17" s="1"/>
  <c r="E276" i="17"/>
  <c r="C276" i="17"/>
  <c r="D276" i="17" s="1"/>
  <c r="E275" i="17"/>
  <c r="D275" i="17"/>
  <c r="C275" i="17"/>
  <c r="C274" i="17"/>
  <c r="E274" i="17" s="1"/>
  <c r="C273" i="17"/>
  <c r="E273" i="17" s="1"/>
  <c r="C272" i="17"/>
  <c r="E272" i="17" s="1"/>
  <c r="D271" i="17"/>
  <c r="C271" i="17"/>
  <c r="E271" i="17" s="1"/>
  <c r="E270" i="17"/>
  <c r="D270" i="17"/>
  <c r="C270" i="17"/>
  <c r="D269" i="17"/>
  <c r="C269" i="17"/>
  <c r="E269" i="17" s="1"/>
  <c r="E268" i="17"/>
  <c r="C268" i="17"/>
  <c r="D268" i="17" s="1"/>
  <c r="E267" i="17"/>
  <c r="D267" i="17"/>
  <c r="C267" i="17"/>
  <c r="C266" i="17"/>
  <c r="E266" i="17" s="1"/>
  <c r="C265" i="17"/>
  <c r="E265" i="17" s="1"/>
  <c r="C264" i="17"/>
  <c r="E264" i="17" s="1"/>
  <c r="D263" i="17"/>
  <c r="C263" i="17"/>
  <c r="E263" i="17" s="1"/>
  <c r="E262" i="17"/>
  <c r="D262" i="17"/>
  <c r="C262" i="17"/>
  <c r="C261" i="17"/>
  <c r="E261" i="17" s="1"/>
  <c r="C260" i="17"/>
  <c r="E260" i="17" s="1"/>
  <c r="C259" i="17"/>
  <c r="E259" i="17" s="1"/>
  <c r="B248" i="17"/>
  <c r="E247" i="17"/>
  <c r="C247" i="17"/>
  <c r="D247" i="17" s="1"/>
  <c r="C246" i="17"/>
  <c r="E246" i="17" s="1"/>
  <c r="D245" i="17"/>
  <c r="C245" i="17"/>
  <c r="E245" i="17" s="1"/>
  <c r="C244" i="17"/>
  <c r="E244" i="17" s="1"/>
  <c r="D243" i="17"/>
  <c r="C243" i="17"/>
  <c r="E243" i="17" s="1"/>
  <c r="E242" i="17"/>
  <c r="D242" i="17"/>
  <c r="C242" i="17"/>
  <c r="C241" i="17"/>
  <c r="E241" i="17" s="1"/>
  <c r="D240" i="17"/>
  <c r="C240" i="17"/>
  <c r="E240" i="17" s="1"/>
  <c r="C239" i="17"/>
  <c r="E239" i="17" s="1"/>
  <c r="D238" i="17"/>
  <c r="C238" i="17"/>
  <c r="E238" i="17" s="1"/>
  <c r="E237" i="17"/>
  <c r="D237" i="17"/>
  <c r="C237" i="17"/>
  <c r="E236" i="17"/>
  <c r="D236" i="17"/>
  <c r="C236" i="17"/>
  <c r="E235" i="17"/>
  <c r="C235" i="17"/>
  <c r="D235" i="17" s="1"/>
  <c r="E234" i="17"/>
  <c r="C234" i="17"/>
  <c r="D234" i="17" s="1"/>
  <c r="E233" i="17"/>
  <c r="C233" i="17"/>
  <c r="D233" i="17" s="1"/>
  <c r="E232" i="17"/>
  <c r="D232" i="17"/>
  <c r="C232" i="17"/>
  <c r="E231" i="17"/>
  <c r="D231" i="17"/>
  <c r="C231" i="17"/>
  <c r="E230" i="17"/>
  <c r="C230" i="17"/>
  <c r="D230" i="17" s="1"/>
  <c r="E222" i="17"/>
  <c r="D222" i="17"/>
  <c r="C222" i="17"/>
  <c r="C221" i="17"/>
  <c r="E221" i="17" s="1"/>
  <c r="E220" i="17"/>
  <c r="C220" i="17"/>
  <c r="D220" i="17" s="1"/>
  <c r="C219" i="17"/>
  <c r="E219" i="17" s="1"/>
  <c r="D218" i="17"/>
  <c r="C218" i="17"/>
  <c r="E218" i="17" s="1"/>
  <c r="C217" i="17"/>
  <c r="E217" i="17" s="1"/>
  <c r="D216" i="17"/>
  <c r="C216" i="17"/>
  <c r="E216" i="17" s="1"/>
  <c r="E215" i="17"/>
  <c r="D215" i="17"/>
  <c r="C215" i="17"/>
  <c r="E214" i="17"/>
  <c r="D214" i="17"/>
  <c r="C214" i="17"/>
  <c r="C213" i="17"/>
  <c r="E213" i="17" s="1"/>
  <c r="E212" i="17"/>
  <c r="C212" i="17"/>
  <c r="D212" i="17" s="1"/>
  <c r="E211" i="17"/>
  <c r="C211" i="17"/>
  <c r="D211" i="17" s="1"/>
  <c r="E210" i="17"/>
  <c r="D210" i="17"/>
  <c r="C210" i="17"/>
  <c r="E209" i="17"/>
  <c r="C209" i="17"/>
  <c r="D209" i="17" s="1"/>
  <c r="E208" i="17"/>
  <c r="D208" i="17"/>
  <c r="C208" i="17"/>
  <c r="E207" i="17"/>
  <c r="C207" i="17"/>
  <c r="D207" i="17" s="1"/>
  <c r="E206" i="17"/>
  <c r="C206" i="17"/>
  <c r="D206" i="17" s="1"/>
  <c r="E205" i="17"/>
  <c r="D205" i="17"/>
  <c r="C205" i="17"/>
  <c r="B195" i="17"/>
  <c r="D194" i="17"/>
  <c r="C194" i="17"/>
  <c r="E194" i="17" s="1"/>
  <c r="E193" i="17"/>
  <c r="D193" i="17"/>
  <c r="C193" i="17"/>
  <c r="C192" i="17"/>
  <c r="E192" i="17" s="1"/>
  <c r="C191" i="17"/>
  <c r="E191" i="17" s="1"/>
  <c r="E190" i="17"/>
  <c r="D190" i="17"/>
  <c r="C190" i="17"/>
  <c r="C189" i="17"/>
  <c r="E189" i="17" s="1"/>
  <c r="E188" i="17"/>
  <c r="D188" i="17"/>
  <c r="C188" i="17"/>
  <c r="C187" i="17"/>
  <c r="E187" i="17" s="1"/>
  <c r="C186" i="17"/>
  <c r="E186" i="17" s="1"/>
  <c r="E185" i="17"/>
  <c r="D185" i="17"/>
  <c r="C185" i="17"/>
  <c r="E184" i="17"/>
  <c r="C184" i="17"/>
  <c r="D184" i="17" s="1"/>
  <c r="E183" i="17"/>
  <c r="D183" i="17"/>
  <c r="C183" i="17"/>
  <c r="E182" i="17"/>
  <c r="C182" i="17"/>
  <c r="D182" i="17" s="1"/>
  <c r="E181" i="17"/>
  <c r="D181" i="17"/>
  <c r="C181" i="17"/>
  <c r="E180" i="17"/>
  <c r="D180" i="17"/>
  <c r="C180" i="17"/>
  <c r="E179" i="17"/>
  <c r="D179" i="17"/>
  <c r="C179" i="17"/>
  <c r="E178" i="17"/>
  <c r="D178" i="17"/>
  <c r="C178" i="17"/>
  <c r="E177" i="17"/>
  <c r="C177" i="17"/>
  <c r="D177" i="17" s="1"/>
  <c r="E167" i="17"/>
  <c r="D167" i="17"/>
  <c r="C167" i="17"/>
  <c r="C166" i="17"/>
  <c r="E166" i="17" s="1"/>
  <c r="C165" i="17"/>
  <c r="E165" i="17" s="1"/>
  <c r="E164" i="17"/>
  <c r="D164" i="17"/>
  <c r="C164" i="17"/>
  <c r="C163" i="17"/>
  <c r="E163" i="17" s="1"/>
  <c r="D162" i="17"/>
  <c r="C162" i="17"/>
  <c r="E162" i="17" s="1"/>
  <c r="E161" i="17"/>
  <c r="C161" i="17"/>
  <c r="D161" i="17" s="1"/>
  <c r="E160" i="17"/>
  <c r="D160" i="17"/>
  <c r="C160" i="17"/>
  <c r="E159" i="17"/>
  <c r="D159" i="17"/>
  <c r="C159" i="17"/>
  <c r="C158" i="17"/>
  <c r="E158" i="17" s="1"/>
  <c r="C157" i="17"/>
  <c r="E157" i="17" s="1"/>
  <c r="E156" i="17"/>
  <c r="D156" i="17"/>
  <c r="C156" i="17"/>
  <c r="C155" i="17"/>
  <c r="E155" i="17" s="1"/>
  <c r="D154" i="17"/>
  <c r="C154" i="17"/>
  <c r="E154" i="17" s="1"/>
  <c r="E153" i="17"/>
  <c r="C153" i="17"/>
  <c r="D153" i="17" s="1"/>
  <c r="C152" i="17"/>
  <c r="E152" i="17" s="1"/>
  <c r="E151" i="17"/>
  <c r="D151" i="17"/>
  <c r="C151" i="17"/>
  <c r="C150" i="17"/>
  <c r="E150" i="17" s="1"/>
  <c r="D139" i="17"/>
  <c r="C139" i="17"/>
  <c r="D138" i="17"/>
  <c r="C138" i="17"/>
  <c r="C137" i="17"/>
  <c r="D137" i="17" s="1"/>
  <c r="D136" i="17"/>
  <c r="C136" i="17"/>
  <c r="D135" i="17"/>
  <c r="C135" i="17"/>
  <c r="D134" i="17"/>
  <c r="C134" i="17"/>
  <c r="C133" i="17"/>
  <c r="D133" i="17" s="1"/>
  <c r="C132" i="17"/>
  <c r="D132" i="17" s="1"/>
  <c r="D131" i="17"/>
  <c r="C131" i="17"/>
  <c r="D130" i="17"/>
  <c r="C130" i="17"/>
  <c r="C129" i="17"/>
  <c r="D129" i="17" s="1"/>
  <c r="C128" i="17"/>
  <c r="D128" i="17" s="1"/>
  <c r="D127" i="17"/>
  <c r="C127" i="17"/>
  <c r="D126" i="17"/>
  <c r="C126" i="17"/>
  <c r="C125" i="17"/>
  <c r="D125" i="17" s="1"/>
  <c r="C124" i="17"/>
  <c r="D124" i="17" s="1"/>
  <c r="D123" i="17"/>
  <c r="C123" i="17"/>
  <c r="D122" i="17"/>
  <c r="C122" i="17"/>
  <c r="D110" i="17"/>
  <c r="G101" i="17" s="1"/>
  <c r="C110" i="17"/>
  <c r="C109" i="17"/>
  <c r="D109" i="17" s="1"/>
  <c r="D108" i="17"/>
  <c r="C108" i="17"/>
  <c r="D107" i="17"/>
  <c r="C107" i="17"/>
  <c r="D106" i="17"/>
  <c r="C106" i="17"/>
  <c r="C105" i="17"/>
  <c r="D105" i="17" s="1"/>
  <c r="D104" i="17"/>
  <c r="C104" i="17"/>
  <c r="D103" i="17"/>
  <c r="C103" i="17"/>
  <c r="C102" i="17"/>
  <c r="D102" i="17" s="1"/>
  <c r="C101" i="17"/>
  <c r="K100" i="17"/>
  <c r="C100" i="17"/>
  <c r="C99" i="17"/>
  <c r="C98" i="17"/>
  <c r="C97" i="17"/>
  <c r="B87" i="17"/>
  <c r="E86" i="17"/>
  <c r="D86" i="17"/>
  <c r="C86" i="17"/>
  <c r="C85" i="17"/>
  <c r="E85" i="17" s="1"/>
  <c r="D84" i="17"/>
  <c r="C84" i="17"/>
  <c r="E84" i="17" s="1"/>
  <c r="E83" i="17"/>
  <c r="C83" i="17"/>
  <c r="D83" i="17" s="1"/>
  <c r="C82" i="17"/>
  <c r="E82" i="17" s="1"/>
  <c r="E81" i="17"/>
  <c r="D81" i="17"/>
  <c r="C81" i="17"/>
  <c r="C80" i="17"/>
  <c r="E80" i="17" s="1"/>
  <c r="D79" i="17"/>
  <c r="C79" i="17"/>
  <c r="E79" i="17" s="1"/>
  <c r="E78" i="17"/>
  <c r="E87" i="17" s="1"/>
  <c r="D78" i="17"/>
  <c r="C78" i="17"/>
  <c r="C77" i="17"/>
  <c r="D77" i="17" s="1"/>
  <c r="D76" i="17"/>
  <c r="C76" i="17"/>
  <c r="D75" i="17"/>
  <c r="C75" i="17"/>
  <c r="C74" i="17"/>
  <c r="D74" i="17" s="1"/>
  <c r="C73" i="17"/>
  <c r="D73" i="17" s="1"/>
  <c r="B64" i="17"/>
  <c r="C63" i="17"/>
  <c r="E63" i="17" s="1"/>
  <c r="D62" i="17"/>
  <c r="C62" i="17"/>
  <c r="E62" i="17" s="1"/>
  <c r="E61" i="17"/>
  <c r="C61" i="17"/>
  <c r="D61" i="17" s="1"/>
  <c r="D60" i="17"/>
  <c r="C60" i="17"/>
  <c r="E60" i="17" s="1"/>
  <c r="E59" i="17"/>
  <c r="C59" i="17"/>
  <c r="D59" i="17" s="1"/>
  <c r="C58" i="17"/>
  <c r="E58" i="17" s="1"/>
  <c r="D57" i="17"/>
  <c r="C57" i="17"/>
  <c r="E57" i="17" s="1"/>
  <c r="E56" i="17"/>
  <c r="D56" i="17"/>
  <c r="C56" i="17"/>
  <c r="D55" i="17"/>
  <c r="C55" i="17"/>
  <c r="E55" i="17" s="1"/>
  <c r="D54" i="17"/>
  <c r="C54" i="17"/>
  <c r="C53" i="17"/>
  <c r="D53" i="17" s="1"/>
  <c r="C52" i="17"/>
  <c r="D52" i="17" s="1"/>
  <c r="C51" i="17"/>
  <c r="D51" i="17" s="1"/>
  <c r="D50" i="17"/>
  <c r="C50" i="17"/>
  <c r="D42" i="17"/>
  <c r="C42" i="17"/>
  <c r="E42" i="17" s="1"/>
  <c r="E41" i="17"/>
  <c r="D41" i="17"/>
  <c r="C41" i="17"/>
  <c r="C40" i="17"/>
  <c r="E40" i="17" s="1"/>
  <c r="C39" i="17"/>
  <c r="E39" i="17" s="1"/>
  <c r="E38" i="17"/>
  <c r="D38" i="17"/>
  <c r="C38" i="17"/>
  <c r="C37" i="17"/>
  <c r="E37" i="17" s="1"/>
  <c r="D36" i="17"/>
  <c r="C36" i="17"/>
  <c r="E36" i="17" s="1"/>
  <c r="E35" i="17"/>
  <c r="D35" i="17"/>
  <c r="C35" i="17"/>
  <c r="D34" i="17"/>
  <c r="C34" i="17"/>
  <c r="E34" i="17" s="1"/>
  <c r="E33" i="17"/>
  <c r="D33" i="17"/>
  <c r="C33" i="17"/>
  <c r="C32" i="17"/>
  <c r="E32" i="17" s="1"/>
  <c r="D31" i="17"/>
  <c r="C31" i="17"/>
  <c r="E31" i="17" s="1"/>
  <c r="E30" i="17"/>
  <c r="D30" i="17"/>
  <c r="C30" i="17"/>
  <c r="C29" i="17"/>
  <c r="E29" i="17" s="1"/>
  <c r="D19" i="17"/>
  <c r="C19" i="17"/>
  <c r="C18" i="17"/>
  <c r="D18" i="17" s="1"/>
  <c r="C17" i="17"/>
  <c r="D17" i="17" s="1"/>
  <c r="D16" i="17"/>
  <c r="C16" i="17"/>
  <c r="D15" i="17"/>
  <c r="C15" i="17"/>
  <c r="C14" i="17"/>
  <c r="D14" i="17" s="1"/>
  <c r="C13" i="17"/>
  <c r="D13" i="17" s="1"/>
  <c r="D12" i="17"/>
  <c r="C12" i="17"/>
  <c r="C11" i="17"/>
  <c r="D11" i="17" s="1"/>
  <c r="C10" i="17"/>
  <c r="D10" i="17" s="1"/>
  <c r="C9" i="17"/>
  <c r="C20" i="17" s="1"/>
  <c r="D8" i="17"/>
  <c r="C8" i="17"/>
  <c r="D7" i="17"/>
  <c r="C7" i="17"/>
  <c r="C6" i="17"/>
  <c r="D6" i="17" s="1"/>
  <c r="C207" i="8"/>
  <c r="D207" i="8" s="1"/>
  <c r="C206" i="8"/>
  <c r="D206" i="8" s="1"/>
  <c r="C205" i="8"/>
  <c r="D205" i="8" s="1"/>
  <c r="C204" i="8"/>
  <c r="D204" i="8" s="1"/>
  <c r="C203" i="8"/>
  <c r="D203" i="8" s="1"/>
  <c r="C202" i="8"/>
  <c r="D202" i="8" s="1"/>
  <c r="D201" i="8"/>
  <c r="C201" i="8"/>
  <c r="C200" i="8"/>
  <c r="D200" i="8" s="1"/>
  <c r="C199" i="8"/>
  <c r="D199" i="8" s="1"/>
  <c r="C198" i="8"/>
  <c r="D198" i="8" s="1"/>
  <c r="C197" i="8"/>
  <c r="D197" i="8" s="1"/>
  <c r="D196" i="8"/>
  <c r="C196" i="8"/>
  <c r="C195" i="8"/>
  <c r="D195" i="8" s="1"/>
  <c r="C194" i="8"/>
  <c r="D194" i="8" s="1"/>
  <c r="C193" i="8"/>
  <c r="C184" i="8"/>
  <c r="D184" i="8" s="1"/>
  <c r="D183" i="8"/>
  <c r="C183" i="8"/>
  <c r="C182" i="8"/>
  <c r="D182" i="8" s="1"/>
  <c r="D181" i="8"/>
  <c r="C181" i="8"/>
  <c r="C180" i="8"/>
  <c r="D180" i="8" s="1"/>
  <c r="D179" i="8"/>
  <c r="C179" i="8"/>
  <c r="C178" i="8"/>
  <c r="D178" i="8" s="1"/>
  <c r="C177" i="8"/>
  <c r="D177" i="8" s="1"/>
  <c r="C176" i="8"/>
  <c r="D176" i="8" s="1"/>
  <c r="C175" i="8"/>
  <c r="D175" i="8" s="1"/>
  <c r="C174" i="8"/>
  <c r="D174" i="8" s="1"/>
  <c r="C173" i="8"/>
  <c r="D173" i="8" s="1"/>
  <c r="D172" i="8"/>
  <c r="C172" i="8"/>
  <c r="C171" i="8"/>
  <c r="C161" i="8"/>
  <c r="D161" i="8" s="1"/>
  <c r="C160" i="8"/>
  <c r="D160" i="8" s="1"/>
  <c r="D159" i="8"/>
  <c r="C159" i="8"/>
  <c r="C158" i="8"/>
  <c r="D158" i="8" s="1"/>
  <c r="C157" i="8"/>
  <c r="D157" i="8" s="1"/>
  <c r="D156" i="8"/>
  <c r="C156" i="8"/>
  <c r="C155" i="8"/>
  <c r="D155" i="8" s="1"/>
  <c r="D154" i="8"/>
  <c r="C154" i="8"/>
  <c r="C153" i="8"/>
  <c r="D153" i="8" s="1"/>
  <c r="C152" i="8"/>
  <c r="C143" i="8"/>
  <c r="D143" i="8" s="1"/>
  <c r="D142" i="8"/>
  <c r="C142" i="8"/>
  <c r="C141" i="8"/>
  <c r="D141" i="8" s="1"/>
  <c r="D140" i="8"/>
  <c r="C140" i="8"/>
  <c r="D139" i="8"/>
  <c r="C139" i="8"/>
  <c r="D138" i="8"/>
  <c r="C138" i="8"/>
  <c r="C137" i="8"/>
  <c r="D137" i="8" s="1"/>
  <c r="C136" i="8"/>
  <c r="D136" i="8" s="1"/>
  <c r="C135" i="8"/>
  <c r="D135" i="8" s="1"/>
  <c r="D134" i="8"/>
  <c r="C134" i="8"/>
  <c r="C133" i="8"/>
  <c r="D133" i="8" s="1"/>
  <c r="D132" i="8"/>
  <c r="C132" i="8"/>
  <c r="C131" i="8"/>
  <c r="D131" i="8" s="1"/>
  <c r="C130" i="8"/>
  <c r="D130" i="8" s="1"/>
  <c r="D129" i="8"/>
  <c r="C129" i="8"/>
  <c r="C128" i="8"/>
  <c r="D128" i="8" s="1"/>
  <c r="D127" i="8"/>
  <c r="C127" i="8"/>
  <c r="C118" i="8"/>
  <c r="D118" i="8" s="1"/>
  <c r="C117" i="8"/>
  <c r="D117" i="8" s="1"/>
  <c r="D116" i="8"/>
  <c r="C116" i="8"/>
  <c r="C115" i="8"/>
  <c r="D115" i="8" s="1"/>
  <c r="D114" i="8"/>
  <c r="C114" i="8"/>
  <c r="C113" i="8"/>
  <c r="D113" i="8" s="1"/>
  <c r="C112" i="8"/>
  <c r="D112" i="8" s="1"/>
  <c r="D111" i="8"/>
  <c r="C111" i="8"/>
  <c r="C110" i="8"/>
  <c r="C100" i="8"/>
  <c r="D100" i="8" s="1"/>
  <c r="C99" i="8"/>
  <c r="D99" i="8" s="1"/>
  <c r="D98" i="8"/>
  <c r="C98" i="8"/>
  <c r="D97" i="8"/>
  <c r="C97" i="8"/>
  <c r="C96" i="8"/>
  <c r="D96" i="8" s="1"/>
  <c r="D95" i="8"/>
  <c r="C95" i="8"/>
  <c r="C94" i="8"/>
  <c r="D94" i="8" s="1"/>
  <c r="D93" i="8"/>
  <c r="C93" i="8"/>
  <c r="C92" i="8"/>
  <c r="D92" i="8" s="1"/>
  <c r="C91" i="8"/>
  <c r="D91" i="8" s="1"/>
  <c r="D90" i="8"/>
  <c r="C90" i="8"/>
  <c r="C89" i="8"/>
  <c r="D89" i="8" s="1"/>
  <c r="C88" i="8"/>
  <c r="D88" i="8" s="1"/>
  <c r="D87" i="8"/>
  <c r="C87" i="8"/>
  <c r="D86" i="8"/>
  <c r="C86" i="8"/>
  <c r="C85" i="8"/>
  <c r="D85" i="8" s="1"/>
  <c r="C84" i="8"/>
  <c r="D84" i="8" s="1"/>
  <c r="C83" i="8"/>
  <c r="C101" i="8" s="1"/>
  <c r="C75" i="8"/>
  <c r="D75" i="8" s="1"/>
  <c r="C74" i="8"/>
  <c r="D74" i="8" s="1"/>
  <c r="C73" i="8"/>
  <c r="D73" i="8" s="1"/>
  <c r="C72" i="8"/>
  <c r="D72" i="8" s="1"/>
  <c r="C71" i="8"/>
  <c r="D71" i="8" s="1"/>
  <c r="D70" i="8"/>
  <c r="C70" i="8"/>
  <c r="C69" i="8"/>
  <c r="D69" i="8" s="1"/>
  <c r="D68" i="8"/>
  <c r="C68" i="8"/>
  <c r="C67" i="8"/>
  <c r="D67" i="8" s="1"/>
  <c r="C66" i="8"/>
  <c r="D66" i="8" s="1"/>
  <c r="C65" i="8"/>
  <c r="D65" i="8" s="1"/>
  <c r="C64" i="8"/>
  <c r="D64" i="8" s="1"/>
  <c r="D63" i="8"/>
  <c r="C63" i="8"/>
  <c r="C62" i="8"/>
  <c r="D62" i="8" s="1"/>
  <c r="C61" i="8"/>
  <c r="D61" i="8" s="1"/>
  <c r="D60" i="8"/>
  <c r="C60" i="8"/>
  <c r="C59" i="8"/>
  <c r="D59" i="8" s="1"/>
  <c r="D58" i="8"/>
  <c r="C58" i="8"/>
  <c r="C57" i="8"/>
  <c r="D57" i="8" s="1"/>
  <c r="C56" i="8"/>
  <c r="D56" i="8" s="1"/>
  <c r="D55" i="8"/>
  <c r="C55" i="8"/>
  <c r="C54" i="8"/>
  <c r="C45" i="8"/>
  <c r="D45" i="8" s="1"/>
  <c r="D44" i="8"/>
  <c r="C44" i="8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C37" i="8"/>
  <c r="D37" i="8" s="1"/>
  <c r="D36" i="8"/>
  <c r="C36" i="8"/>
  <c r="C35" i="8"/>
  <c r="D35" i="8" s="1"/>
  <c r="C34" i="8"/>
  <c r="D34" i="8" s="1"/>
  <c r="C33" i="8"/>
  <c r="D33" i="8" s="1"/>
  <c r="C32" i="8"/>
  <c r="D32" i="8" s="1"/>
  <c r="D31" i="8"/>
  <c r="C31" i="8"/>
  <c r="C30" i="8"/>
  <c r="D30" i="8" s="1"/>
  <c r="C29" i="8"/>
  <c r="D29" i="8" s="1"/>
  <c r="C28" i="8"/>
  <c r="C19" i="8"/>
  <c r="D19" i="8" s="1"/>
  <c r="C18" i="8"/>
  <c r="D18" i="8" s="1"/>
  <c r="C17" i="8"/>
  <c r="D17" i="8" s="1"/>
  <c r="D16" i="8"/>
  <c r="C16" i="8"/>
  <c r="C15" i="8"/>
  <c r="D15" i="8" s="1"/>
  <c r="C14" i="8"/>
  <c r="D14" i="8" s="1"/>
  <c r="C13" i="8"/>
  <c r="D13" i="8" s="1"/>
  <c r="C12" i="8"/>
  <c r="D12" i="8" s="1"/>
  <c r="C11" i="8"/>
  <c r="D11" i="8" s="1"/>
  <c r="D10" i="8"/>
  <c r="C10" i="8"/>
  <c r="C9" i="8"/>
  <c r="D9" i="8" s="1"/>
  <c r="C8" i="8"/>
  <c r="D8" i="8" s="1"/>
  <c r="C7" i="8"/>
  <c r="D7" i="8" s="1"/>
  <c r="C6" i="8"/>
  <c r="E793" i="14"/>
  <c r="D793" i="14"/>
  <c r="C793" i="14"/>
  <c r="C792" i="14"/>
  <c r="E792" i="14" s="1"/>
  <c r="C791" i="14"/>
  <c r="E791" i="14" s="1"/>
  <c r="E790" i="14"/>
  <c r="C790" i="14"/>
  <c r="D790" i="14" s="1"/>
  <c r="E789" i="14"/>
  <c r="D789" i="14"/>
  <c r="C789" i="14"/>
  <c r="E788" i="14"/>
  <c r="D788" i="14"/>
  <c r="C788" i="14"/>
  <c r="C787" i="14"/>
  <c r="E787" i="14" s="1"/>
  <c r="C786" i="14"/>
  <c r="E786" i="14" s="1"/>
  <c r="C785" i="14"/>
  <c r="E785" i="14" s="1"/>
  <c r="C784" i="14"/>
  <c r="D784" i="14" s="1"/>
  <c r="D783" i="14"/>
  <c r="C783" i="14"/>
  <c r="D782" i="14"/>
  <c r="C782" i="14"/>
  <c r="C781" i="14"/>
  <c r="D781" i="14" s="1"/>
  <c r="D780" i="14"/>
  <c r="C780" i="14"/>
  <c r="D779" i="14"/>
  <c r="C779" i="14"/>
  <c r="E770" i="14"/>
  <c r="D770" i="14"/>
  <c r="C770" i="14"/>
  <c r="E769" i="14"/>
  <c r="D769" i="14"/>
  <c r="C769" i="14"/>
  <c r="E768" i="14"/>
  <c r="D768" i="14"/>
  <c r="C768" i="14"/>
  <c r="C767" i="14"/>
  <c r="E767" i="14" s="1"/>
  <c r="C766" i="14"/>
  <c r="E766" i="14" s="1"/>
  <c r="E765" i="14"/>
  <c r="C765" i="14"/>
  <c r="D765" i="14" s="1"/>
  <c r="D764" i="14"/>
  <c r="C764" i="14"/>
  <c r="E764" i="14" s="1"/>
  <c r="D763" i="14"/>
  <c r="C763" i="14"/>
  <c r="E763" i="14" s="1"/>
  <c r="C762" i="14"/>
  <c r="E762" i="14" s="1"/>
  <c r="C761" i="14"/>
  <c r="D761" i="14" s="1"/>
  <c r="D760" i="14"/>
  <c r="C760" i="14"/>
  <c r="D759" i="14"/>
  <c r="C759" i="14"/>
  <c r="C758" i="14"/>
  <c r="D758" i="14" s="1"/>
  <c r="C757" i="14"/>
  <c r="D757" i="14" s="1"/>
  <c r="C756" i="14"/>
  <c r="D756" i="14" s="1"/>
  <c r="C746" i="14"/>
  <c r="E746" i="14" s="1"/>
  <c r="D745" i="14"/>
  <c r="C745" i="14"/>
  <c r="E745" i="14" s="1"/>
  <c r="C744" i="14"/>
  <c r="D744" i="14" s="1"/>
  <c r="D743" i="14"/>
  <c r="C743" i="14"/>
  <c r="E743" i="14" s="1"/>
  <c r="C742" i="14"/>
  <c r="E742" i="14" s="1"/>
  <c r="C741" i="14"/>
  <c r="E741" i="14" s="1"/>
  <c r="C740" i="14"/>
  <c r="E740" i="14" s="1"/>
  <c r="E739" i="14"/>
  <c r="D739" i="14"/>
  <c r="C739" i="14"/>
  <c r="C738" i="14"/>
  <c r="E738" i="14" s="1"/>
  <c r="D737" i="14"/>
  <c r="C737" i="14"/>
  <c r="E737" i="14" s="1"/>
  <c r="E736" i="14"/>
  <c r="C736" i="14"/>
  <c r="D736" i="14" s="1"/>
  <c r="D735" i="14"/>
  <c r="C735" i="14"/>
  <c r="E735" i="14" s="1"/>
  <c r="E734" i="14"/>
  <c r="C734" i="14"/>
  <c r="D734" i="14" s="1"/>
  <c r="E733" i="14"/>
  <c r="D733" i="14"/>
  <c r="C733" i="14"/>
  <c r="C732" i="14"/>
  <c r="E732" i="14" s="1"/>
  <c r="C723" i="14"/>
  <c r="D723" i="14" s="1"/>
  <c r="D722" i="14"/>
  <c r="C722" i="14"/>
  <c r="D721" i="14"/>
  <c r="C721" i="14"/>
  <c r="D720" i="14"/>
  <c r="C720" i="14"/>
  <c r="C719" i="14"/>
  <c r="D719" i="14" s="1"/>
  <c r="D718" i="14"/>
  <c r="C718" i="14"/>
  <c r="D717" i="14"/>
  <c r="C717" i="14"/>
  <c r="D716" i="14"/>
  <c r="C716" i="14"/>
  <c r="C715" i="14"/>
  <c r="D715" i="14" s="1"/>
  <c r="D714" i="14"/>
  <c r="C714" i="14"/>
  <c r="C713" i="14"/>
  <c r="D713" i="14" s="1"/>
  <c r="C712" i="14"/>
  <c r="D712" i="14" s="1"/>
  <c r="C711" i="14"/>
  <c r="D711" i="14" s="1"/>
  <c r="C710" i="14"/>
  <c r="D710" i="14" s="1"/>
  <c r="C709" i="14"/>
  <c r="D709" i="14" s="1"/>
  <c r="C701" i="14"/>
  <c r="E701" i="14" s="1"/>
  <c r="C700" i="14"/>
  <c r="E700" i="14" s="1"/>
  <c r="C699" i="14"/>
  <c r="E699" i="14" s="1"/>
  <c r="C698" i="14"/>
  <c r="E698" i="14" s="1"/>
  <c r="D697" i="14"/>
  <c r="C697" i="14"/>
  <c r="E697" i="14" s="1"/>
  <c r="C696" i="14"/>
  <c r="E696" i="14" s="1"/>
  <c r="D695" i="14"/>
  <c r="C695" i="14"/>
  <c r="E695" i="14" s="1"/>
  <c r="E694" i="14"/>
  <c r="C694" i="14"/>
  <c r="D694" i="14" s="1"/>
  <c r="C693" i="14"/>
  <c r="E693" i="14" s="1"/>
  <c r="C692" i="14"/>
  <c r="E692" i="14" s="1"/>
  <c r="D691" i="14"/>
  <c r="C691" i="14"/>
  <c r="C690" i="14"/>
  <c r="D690" i="14" s="1"/>
  <c r="C689" i="14"/>
  <c r="D689" i="14" s="1"/>
  <c r="D688" i="14"/>
  <c r="C688" i="14"/>
  <c r="B679" i="14"/>
  <c r="C678" i="14"/>
  <c r="E678" i="14" s="1"/>
  <c r="E677" i="14"/>
  <c r="C677" i="14"/>
  <c r="D677" i="14" s="1"/>
  <c r="C676" i="14"/>
  <c r="E676" i="14" s="1"/>
  <c r="C675" i="14"/>
  <c r="E675" i="14" s="1"/>
  <c r="E674" i="14"/>
  <c r="C674" i="14"/>
  <c r="D674" i="14" s="1"/>
  <c r="C673" i="14"/>
  <c r="E673" i="14" s="1"/>
  <c r="E672" i="14"/>
  <c r="C672" i="14"/>
  <c r="D672" i="14" s="1"/>
  <c r="C671" i="14"/>
  <c r="E671" i="14" s="1"/>
  <c r="C670" i="14"/>
  <c r="E670" i="14" s="1"/>
  <c r="D669" i="14"/>
  <c r="C669" i="14"/>
  <c r="E669" i="14" s="1"/>
  <c r="D668" i="14"/>
  <c r="C668" i="14"/>
  <c r="C667" i="14"/>
  <c r="D667" i="14" s="1"/>
  <c r="C666" i="14"/>
  <c r="D666" i="14" s="1"/>
  <c r="C665" i="14"/>
  <c r="D665" i="14" s="1"/>
  <c r="E655" i="14"/>
  <c r="D655" i="14"/>
  <c r="C655" i="14"/>
  <c r="E654" i="14"/>
  <c r="C654" i="14"/>
  <c r="D654" i="14" s="1"/>
  <c r="C653" i="14"/>
  <c r="E653" i="14" s="1"/>
  <c r="E652" i="14"/>
  <c r="C652" i="14"/>
  <c r="D652" i="14" s="1"/>
  <c r="C651" i="14"/>
  <c r="E651" i="14" s="1"/>
  <c r="C650" i="14"/>
  <c r="E650" i="14" s="1"/>
  <c r="D649" i="14"/>
  <c r="C649" i="14"/>
  <c r="E649" i="14" s="1"/>
  <c r="E648" i="14"/>
  <c r="D648" i="14"/>
  <c r="C648" i="14"/>
  <c r="E647" i="14"/>
  <c r="D647" i="14"/>
  <c r="C647" i="14"/>
  <c r="E646" i="14"/>
  <c r="C646" i="14"/>
  <c r="D646" i="14" s="1"/>
  <c r="C645" i="14"/>
  <c r="E645" i="14" s="1"/>
  <c r="D644" i="14"/>
  <c r="C644" i="14"/>
  <c r="E644" i="14" s="1"/>
  <c r="E643" i="14"/>
  <c r="D643" i="14"/>
  <c r="C643" i="14"/>
  <c r="E642" i="14"/>
  <c r="D642" i="14"/>
  <c r="C642" i="14"/>
  <c r="C633" i="14"/>
  <c r="D633" i="14" s="1"/>
  <c r="D632" i="14"/>
  <c r="C632" i="14"/>
  <c r="C631" i="14"/>
  <c r="D631" i="14" s="1"/>
  <c r="C630" i="14"/>
  <c r="D630" i="14" s="1"/>
  <c r="C629" i="14"/>
  <c r="D629" i="14" s="1"/>
  <c r="C628" i="14"/>
  <c r="D628" i="14" s="1"/>
  <c r="C627" i="14"/>
  <c r="D627" i="14" s="1"/>
  <c r="C626" i="14"/>
  <c r="D626" i="14" s="1"/>
  <c r="C625" i="14"/>
  <c r="D625" i="14" s="1"/>
  <c r="C624" i="14"/>
  <c r="D624" i="14" s="1"/>
  <c r="D623" i="14"/>
  <c r="C623" i="14"/>
  <c r="D622" i="14"/>
  <c r="C622" i="14"/>
  <c r="D621" i="14"/>
  <c r="C621" i="14"/>
  <c r="C620" i="14"/>
  <c r="D620" i="14" s="1"/>
  <c r="B612" i="14"/>
  <c r="D611" i="14"/>
  <c r="C611" i="14"/>
  <c r="E611" i="14" s="1"/>
  <c r="C610" i="14"/>
  <c r="E610" i="14" s="1"/>
  <c r="C609" i="14"/>
  <c r="E609" i="14" s="1"/>
  <c r="C608" i="14"/>
  <c r="E608" i="14" s="1"/>
  <c r="E607" i="14"/>
  <c r="C607" i="14"/>
  <c r="D607" i="14" s="1"/>
  <c r="D606" i="14"/>
  <c r="C606" i="14"/>
  <c r="E606" i="14" s="1"/>
  <c r="C605" i="14"/>
  <c r="E605" i="14" s="1"/>
  <c r="C604" i="14"/>
  <c r="E604" i="14" s="1"/>
  <c r="D603" i="14"/>
  <c r="C603" i="14"/>
  <c r="C602" i="14"/>
  <c r="D602" i="14" s="1"/>
  <c r="D591" i="14"/>
  <c r="C591" i="14"/>
  <c r="E591" i="14" s="1"/>
  <c r="C590" i="14"/>
  <c r="E590" i="14" s="1"/>
  <c r="D589" i="14"/>
  <c r="C589" i="14"/>
  <c r="E589" i="14" s="1"/>
  <c r="E588" i="14"/>
  <c r="C588" i="14"/>
  <c r="D588" i="14" s="1"/>
  <c r="D587" i="14"/>
  <c r="C587" i="14"/>
  <c r="E587" i="14" s="1"/>
  <c r="C586" i="14"/>
  <c r="E586" i="14" s="1"/>
  <c r="C585" i="14"/>
  <c r="E585" i="14" s="1"/>
  <c r="E584" i="14"/>
  <c r="D584" i="14"/>
  <c r="C584" i="14"/>
  <c r="D583" i="14"/>
  <c r="C583" i="14"/>
  <c r="D582" i="14"/>
  <c r="C582" i="14"/>
  <c r="C570" i="14"/>
  <c r="D569" i="14"/>
  <c r="C569" i="14"/>
  <c r="E569" i="14" s="1"/>
  <c r="C568" i="14"/>
  <c r="E568" i="14" s="1"/>
  <c r="D567" i="14"/>
  <c r="C567" i="14"/>
  <c r="E567" i="14" s="1"/>
  <c r="E566" i="14"/>
  <c r="C566" i="14"/>
  <c r="D566" i="14" s="1"/>
  <c r="D565" i="14"/>
  <c r="C565" i="14"/>
  <c r="E565" i="14" s="1"/>
  <c r="C564" i="14"/>
  <c r="E564" i="14" s="1"/>
  <c r="C563" i="14"/>
  <c r="E563" i="14" s="1"/>
  <c r="C562" i="14"/>
  <c r="E562" i="14" s="1"/>
  <c r="E561" i="14"/>
  <c r="D561" i="14"/>
  <c r="C561" i="14"/>
  <c r="E560" i="14"/>
  <c r="C560" i="14"/>
  <c r="D560" i="14" s="1"/>
  <c r="C548" i="14"/>
  <c r="C547" i="14"/>
  <c r="D547" i="14" s="1"/>
  <c r="C546" i="14"/>
  <c r="D546" i="14" s="1"/>
  <c r="C545" i="14"/>
  <c r="D545" i="14" s="1"/>
  <c r="C544" i="14"/>
  <c r="D544" i="14" s="1"/>
  <c r="C543" i="14"/>
  <c r="D543" i="14" s="1"/>
  <c r="C542" i="14"/>
  <c r="D542" i="14" s="1"/>
  <c r="C541" i="14"/>
  <c r="D541" i="14" s="1"/>
  <c r="D540" i="14"/>
  <c r="C540" i="14"/>
  <c r="D539" i="14"/>
  <c r="C539" i="14"/>
  <c r="D538" i="14"/>
  <c r="C538" i="14"/>
  <c r="C530" i="14"/>
  <c r="E530" i="14" s="1"/>
  <c r="D529" i="14"/>
  <c r="C529" i="14"/>
  <c r="E529" i="14" s="1"/>
  <c r="C528" i="14"/>
  <c r="E528" i="14" s="1"/>
  <c r="D527" i="14"/>
  <c r="C527" i="14"/>
  <c r="E527" i="14" s="1"/>
  <c r="E526" i="14"/>
  <c r="D526" i="14"/>
  <c r="C526" i="14"/>
  <c r="C525" i="14"/>
  <c r="E525" i="14" s="1"/>
  <c r="D524" i="14"/>
  <c r="C524" i="14"/>
  <c r="D523" i="14"/>
  <c r="C523" i="14"/>
  <c r="C522" i="14"/>
  <c r="D522" i="14" s="1"/>
  <c r="C521" i="14"/>
  <c r="D521" i="14" s="1"/>
  <c r="C520" i="14"/>
  <c r="D520" i="14" s="1"/>
  <c r="D519" i="14"/>
  <c r="C519" i="14"/>
  <c r="D504" i="14"/>
  <c r="C504" i="14"/>
  <c r="E504" i="14" s="1"/>
  <c r="E503" i="14"/>
  <c r="D503" i="14"/>
  <c r="C503" i="14"/>
  <c r="C502" i="14"/>
  <c r="E502" i="14" s="1"/>
  <c r="E501" i="14"/>
  <c r="C501" i="14"/>
  <c r="D501" i="14" s="1"/>
  <c r="E500" i="14"/>
  <c r="C500" i="14"/>
  <c r="D500" i="14" s="1"/>
  <c r="C499" i="14"/>
  <c r="E499" i="14" s="1"/>
  <c r="D498" i="14"/>
  <c r="C498" i="14"/>
  <c r="E498" i="14" s="1"/>
  <c r="C497" i="14"/>
  <c r="E497" i="14" s="1"/>
  <c r="E496" i="14"/>
  <c r="C496" i="14"/>
  <c r="D496" i="14" s="1"/>
  <c r="E495" i="14"/>
  <c r="C495" i="14"/>
  <c r="D495" i="14" s="1"/>
  <c r="C494" i="14"/>
  <c r="E494" i="14" s="1"/>
  <c r="D493" i="14"/>
  <c r="C493" i="14"/>
  <c r="E493" i="14" s="1"/>
  <c r="C474" i="14"/>
  <c r="D474" i="14" s="1"/>
  <c r="C473" i="14"/>
  <c r="D473" i="14" s="1"/>
  <c r="C472" i="14"/>
  <c r="D472" i="14" s="1"/>
  <c r="D471" i="14"/>
  <c r="C471" i="14"/>
  <c r="C470" i="14"/>
  <c r="D470" i="14" s="1"/>
  <c r="C469" i="14"/>
  <c r="D469" i="14" s="1"/>
  <c r="C468" i="14"/>
  <c r="D468" i="14" s="1"/>
  <c r="D467" i="14"/>
  <c r="C467" i="14"/>
  <c r="C466" i="14"/>
  <c r="D466" i="14" s="1"/>
  <c r="D465" i="14"/>
  <c r="C465" i="14"/>
  <c r="D464" i="14"/>
  <c r="C464" i="14"/>
  <c r="D463" i="14"/>
  <c r="C463" i="14"/>
  <c r="B450" i="14"/>
  <c r="D449" i="14"/>
  <c r="C449" i="14"/>
  <c r="E449" i="14" s="1"/>
  <c r="E448" i="14"/>
  <c r="C448" i="14"/>
  <c r="D448" i="14" s="1"/>
  <c r="E447" i="14"/>
  <c r="C447" i="14"/>
  <c r="D447" i="14" s="1"/>
  <c r="E446" i="14"/>
  <c r="D446" i="14"/>
  <c r="C446" i="14"/>
  <c r="C445" i="14"/>
  <c r="E445" i="14" s="1"/>
  <c r="D444" i="14"/>
  <c r="C444" i="14"/>
  <c r="E444" i="14" s="1"/>
  <c r="D443" i="14"/>
  <c r="C443" i="14"/>
  <c r="C442" i="14"/>
  <c r="D442" i="14" s="1"/>
  <c r="C441" i="14"/>
  <c r="D441" i="14" s="1"/>
  <c r="D440" i="14"/>
  <c r="C440" i="14"/>
  <c r="C439" i="14"/>
  <c r="D439" i="14" s="1"/>
  <c r="C438" i="14"/>
  <c r="D438" i="14" s="1"/>
  <c r="E428" i="14"/>
  <c r="D428" i="14"/>
  <c r="C428" i="14"/>
  <c r="C427" i="14"/>
  <c r="E427" i="14" s="1"/>
  <c r="D426" i="14"/>
  <c r="C426" i="14"/>
  <c r="E426" i="14" s="1"/>
  <c r="E425" i="14"/>
  <c r="C425" i="14"/>
  <c r="D425" i="14" s="1"/>
  <c r="D424" i="14"/>
  <c r="C424" i="14"/>
  <c r="E424" i="14" s="1"/>
  <c r="E423" i="14"/>
  <c r="D423" i="14"/>
  <c r="C423" i="14"/>
  <c r="C422" i="14"/>
  <c r="E422" i="14" s="1"/>
  <c r="E429" i="14" s="1"/>
  <c r="H423" i="14" s="1"/>
  <c r="C421" i="14"/>
  <c r="D421" i="14" s="1"/>
  <c r="D420" i="14"/>
  <c r="C420" i="14"/>
  <c r="B411" i="14"/>
  <c r="E410" i="14"/>
  <c r="C410" i="14"/>
  <c r="D410" i="14" s="1"/>
  <c r="E409" i="14"/>
  <c r="C409" i="14"/>
  <c r="D409" i="14" s="1"/>
  <c r="D408" i="14"/>
  <c r="C408" i="14"/>
  <c r="E408" i="14" s="1"/>
  <c r="E407" i="14"/>
  <c r="D407" i="14"/>
  <c r="C407" i="14"/>
  <c r="E406" i="14"/>
  <c r="D406" i="14"/>
  <c r="C406" i="14"/>
  <c r="D405" i="14"/>
  <c r="C405" i="14"/>
  <c r="E405" i="14" s="1"/>
  <c r="C404" i="14"/>
  <c r="E404" i="14" s="1"/>
  <c r="D403" i="14"/>
  <c r="C403" i="14"/>
  <c r="D402" i="14"/>
  <c r="C402" i="14"/>
  <c r="C390" i="14"/>
  <c r="E390" i="14" s="1"/>
  <c r="D389" i="14"/>
  <c r="C389" i="14"/>
  <c r="E389" i="14" s="1"/>
  <c r="E388" i="14"/>
  <c r="C388" i="14"/>
  <c r="D388" i="14" s="1"/>
  <c r="D387" i="14"/>
  <c r="C387" i="14"/>
  <c r="E387" i="14" s="1"/>
  <c r="E386" i="14"/>
  <c r="D386" i="14"/>
  <c r="C386" i="14"/>
  <c r="C385" i="14"/>
  <c r="E385" i="14" s="1"/>
  <c r="E384" i="14"/>
  <c r="D384" i="14"/>
  <c r="C384" i="14"/>
  <c r="C383" i="14"/>
  <c r="E383" i="14" s="1"/>
  <c r="E382" i="14"/>
  <c r="C382" i="14"/>
  <c r="D382" i="14" s="1"/>
  <c r="D374" i="14"/>
  <c r="C374" i="14"/>
  <c r="C373" i="14"/>
  <c r="D373" i="14" s="1"/>
  <c r="D372" i="14"/>
  <c r="C372" i="14"/>
  <c r="D371" i="14"/>
  <c r="C371" i="14"/>
  <c r="D370" i="14"/>
  <c r="C370" i="14"/>
  <c r="C369" i="14"/>
  <c r="D369" i="14" s="1"/>
  <c r="C368" i="14"/>
  <c r="D368" i="14" s="1"/>
  <c r="D367" i="14"/>
  <c r="C367" i="14"/>
  <c r="D366" i="14"/>
  <c r="C366" i="14"/>
  <c r="D355" i="14"/>
  <c r="C355" i="14"/>
  <c r="E355" i="14" s="1"/>
  <c r="E354" i="14"/>
  <c r="D354" i="14"/>
  <c r="C354" i="14"/>
  <c r="D353" i="14"/>
  <c r="C353" i="14"/>
  <c r="E353" i="14" s="1"/>
  <c r="E352" i="14"/>
  <c r="D352" i="14"/>
  <c r="C352" i="14"/>
  <c r="C351" i="14"/>
  <c r="E351" i="14" s="1"/>
  <c r="E350" i="14"/>
  <c r="C350" i="14"/>
  <c r="D350" i="14" s="1"/>
  <c r="E349" i="14"/>
  <c r="D349" i="14"/>
  <c r="C349" i="14"/>
  <c r="C348" i="14"/>
  <c r="E348" i="14" s="1"/>
  <c r="D347" i="14"/>
  <c r="C347" i="14"/>
  <c r="E347" i="14" s="1"/>
  <c r="E346" i="14"/>
  <c r="D346" i="14"/>
  <c r="C346" i="14"/>
  <c r="D345" i="14"/>
  <c r="C345" i="14"/>
  <c r="E345" i="14" s="1"/>
  <c r="C344" i="14"/>
  <c r="D344" i="14" s="1"/>
  <c r="D343" i="14"/>
  <c r="C343" i="14"/>
  <c r="C342" i="14"/>
  <c r="D342" i="14" s="1"/>
  <c r="C341" i="14"/>
  <c r="D341" i="14" s="1"/>
  <c r="D340" i="14"/>
  <c r="C340" i="14"/>
  <c r="D339" i="14"/>
  <c r="C339" i="14"/>
  <c r="C338" i="14"/>
  <c r="D338" i="14" s="1"/>
  <c r="B328" i="14"/>
  <c r="C327" i="14"/>
  <c r="E327" i="14" s="1"/>
  <c r="C326" i="14"/>
  <c r="E326" i="14" s="1"/>
  <c r="E325" i="14"/>
  <c r="C325" i="14"/>
  <c r="D325" i="14" s="1"/>
  <c r="C324" i="14"/>
  <c r="E324" i="14" s="1"/>
  <c r="C323" i="14"/>
  <c r="E323" i="14" s="1"/>
  <c r="C322" i="14"/>
  <c r="E322" i="14" s="1"/>
  <c r="E321" i="14"/>
  <c r="C321" i="14"/>
  <c r="D321" i="14" s="1"/>
  <c r="E320" i="14"/>
  <c r="C320" i="14"/>
  <c r="D320" i="14" s="1"/>
  <c r="C319" i="14"/>
  <c r="C318" i="14"/>
  <c r="E318" i="14" s="1"/>
  <c r="E317" i="14"/>
  <c r="D317" i="14"/>
  <c r="C317" i="14"/>
  <c r="C316" i="14"/>
  <c r="D316" i="14" s="1"/>
  <c r="C315" i="14"/>
  <c r="D315" i="14" s="1"/>
  <c r="D314" i="14"/>
  <c r="C314" i="14"/>
  <c r="C313" i="14"/>
  <c r="D313" i="14" s="1"/>
  <c r="D312" i="14"/>
  <c r="C312" i="14"/>
  <c r="C311" i="14"/>
  <c r="D311" i="14" s="1"/>
  <c r="C310" i="14"/>
  <c r="D310" i="14" s="1"/>
  <c r="E300" i="14"/>
  <c r="D300" i="14"/>
  <c r="C300" i="14"/>
  <c r="D299" i="14"/>
  <c r="C299" i="14"/>
  <c r="E299" i="14" s="1"/>
  <c r="C298" i="14"/>
  <c r="E298" i="14" s="1"/>
  <c r="E297" i="14"/>
  <c r="C297" i="14"/>
  <c r="D297" i="14" s="1"/>
  <c r="E296" i="14"/>
  <c r="C296" i="14"/>
  <c r="D296" i="14" s="1"/>
  <c r="C295" i="14"/>
  <c r="C294" i="14"/>
  <c r="E294" i="14" s="1"/>
  <c r="D293" i="14"/>
  <c r="C293" i="14"/>
  <c r="E293" i="14" s="1"/>
  <c r="E292" i="14"/>
  <c r="D292" i="14"/>
  <c r="C292" i="14"/>
  <c r="D291" i="14"/>
  <c r="C291" i="14"/>
  <c r="E291" i="14" s="1"/>
  <c r="C290" i="14"/>
  <c r="E290" i="14" s="1"/>
  <c r="E289" i="14"/>
  <c r="C289" i="14"/>
  <c r="D289" i="14" s="1"/>
  <c r="E288" i="14"/>
  <c r="C288" i="14"/>
  <c r="D288" i="14" s="1"/>
  <c r="C287" i="14"/>
  <c r="C286" i="14"/>
  <c r="E286" i="14" s="1"/>
  <c r="C285" i="14"/>
  <c r="E285" i="14" s="1"/>
  <c r="E284" i="14"/>
  <c r="C284" i="14"/>
  <c r="D284" i="14" s="1"/>
  <c r="E283" i="14"/>
  <c r="C283" i="14"/>
  <c r="D283" i="14" s="1"/>
  <c r="D275" i="14"/>
  <c r="C275" i="14"/>
  <c r="D274" i="14"/>
  <c r="C274" i="14"/>
  <c r="E273" i="14"/>
  <c r="C273" i="14"/>
  <c r="D273" i="14" s="1"/>
  <c r="D272" i="14"/>
  <c r="C272" i="14"/>
  <c r="C271" i="14"/>
  <c r="D271" i="14" s="1"/>
  <c r="C270" i="14"/>
  <c r="D270" i="14" s="1"/>
  <c r="C269" i="14"/>
  <c r="D269" i="14" s="1"/>
  <c r="D268" i="14"/>
  <c r="C268" i="14"/>
  <c r="D267" i="14"/>
  <c r="C267" i="14"/>
  <c r="D266" i="14"/>
  <c r="C266" i="14"/>
  <c r="E265" i="14"/>
  <c r="C265" i="14"/>
  <c r="D265" i="14" s="1"/>
  <c r="D264" i="14"/>
  <c r="C264" i="14"/>
  <c r="C263" i="14"/>
  <c r="D263" i="14" s="1"/>
  <c r="D262" i="14"/>
  <c r="C262" i="14"/>
  <c r="C261" i="14"/>
  <c r="D261" i="14" s="1"/>
  <c r="C260" i="14"/>
  <c r="D260" i="14" s="1"/>
  <c r="E259" i="14"/>
  <c r="D259" i="14"/>
  <c r="C259" i="14"/>
  <c r="D258" i="14"/>
  <c r="C258" i="14"/>
  <c r="D247" i="14"/>
  <c r="C247" i="14"/>
  <c r="E247" i="14" s="1"/>
  <c r="C246" i="14"/>
  <c r="E246" i="14" s="1"/>
  <c r="C245" i="14"/>
  <c r="E245" i="14" s="1"/>
  <c r="E244" i="14"/>
  <c r="D244" i="14"/>
  <c r="C244" i="14"/>
  <c r="D243" i="14"/>
  <c r="C243" i="14"/>
  <c r="E243" i="14" s="1"/>
  <c r="C242" i="14"/>
  <c r="E242" i="14" s="1"/>
  <c r="E241" i="14"/>
  <c r="C241" i="14"/>
  <c r="D241" i="14" s="1"/>
  <c r="E240" i="14"/>
  <c r="C240" i="14"/>
  <c r="D240" i="14" s="1"/>
  <c r="D239" i="14"/>
  <c r="C239" i="14"/>
  <c r="E239" i="14" s="1"/>
  <c r="C238" i="14"/>
  <c r="E238" i="14" s="1"/>
  <c r="C237" i="14"/>
  <c r="E237" i="14" s="1"/>
  <c r="D236" i="14"/>
  <c r="C236" i="14"/>
  <c r="C235" i="14"/>
  <c r="D235" i="14" s="1"/>
  <c r="D234" i="14"/>
  <c r="C234" i="14"/>
  <c r="C233" i="14"/>
  <c r="D233" i="14" s="1"/>
  <c r="D232" i="14"/>
  <c r="C232" i="14"/>
  <c r="C231" i="14"/>
  <c r="D231" i="14" s="1"/>
  <c r="C230" i="14"/>
  <c r="D230" i="14" s="1"/>
  <c r="B218" i="14"/>
  <c r="C217" i="14"/>
  <c r="E217" i="14" s="1"/>
  <c r="C216" i="14"/>
  <c r="E216" i="14" s="1"/>
  <c r="E215" i="14"/>
  <c r="D215" i="14"/>
  <c r="C215" i="14"/>
  <c r="D214" i="14"/>
  <c r="C214" i="14"/>
  <c r="E214" i="14" s="1"/>
  <c r="C213" i="14"/>
  <c r="E213" i="14" s="1"/>
  <c r="E212" i="14"/>
  <c r="C212" i="14"/>
  <c r="D212" i="14" s="1"/>
  <c r="E211" i="14"/>
  <c r="C211" i="14"/>
  <c r="D211" i="14" s="1"/>
  <c r="E210" i="14"/>
  <c r="D210" i="14"/>
  <c r="C210" i="14"/>
  <c r="D209" i="14"/>
  <c r="C209" i="14"/>
  <c r="E209" i="14" s="1"/>
  <c r="C208" i="14"/>
  <c r="E208" i="14" s="1"/>
  <c r="E207" i="14"/>
  <c r="C207" i="14"/>
  <c r="C206" i="14"/>
  <c r="E206" i="14" s="1"/>
  <c r="E205" i="14"/>
  <c r="C205" i="14"/>
  <c r="C204" i="14"/>
  <c r="E204" i="14" s="1"/>
  <c r="E203" i="14"/>
  <c r="C203" i="14"/>
  <c r="E202" i="14"/>
  <c r="C202" i="14"/>
  <c r="C201" i="14"/>
  <c r="E201" i="14" s="1"/>
  <c r="C200" i="14"/>
  <c r="C189" i="14"/>
  <c r="E189" i="14" s="1"/>
  <c r="C188" i="14"/>
  <c r="E188" i="14" s="1"/>
  <c r="E187" i="14"/>
  <c r="D187" i="14"/>
  <c r="C187" i="14"/>
  <c r="D186" i="14"/>
  <c r="C186" i="14"/>
  <c r="E186" i="14" s="1"/>
  <c r="D185" i="14"/>
  <c r="C185" i="14"/>
  <c r="E185" i="14" s="1"/>
  <c r="E184" i="14"/>
  <c r="D184" i="14"/>
  <c r="C184" i="14"/>
  <c r="E183" i="14"/>
  <c r="C183" i="14"/>
  <c r="D183" i="14" s="1"/>
  <c r="E182" i="14"/>
  <c r="D182" i="14"/>
  <c r="C182" i="14"/>
  <c r="C181" i="14"/>
  <c r="E181" i="14" s="1"/>
  <c r="C180" i="14"/>
  <c r="E180" i="14" s="1"/>
  <c r="E190" i="14" s="1"/>
  <c r="G174" i="14" s="1"/>
  <c r="D179" i="14"/>
  <c r="C179" i="14"/>
  <c r="D178" i="14"/>
  <c r="C178" i="14"/>
  <c r="D177" i="14"/>
  <c r="C177" i="14"/>
  <c r="C176" i="14"/>
  <c r="D176" i="14" s="1"/>
  <c r="D175" i="14"/>
  <c r="C175" i="14"/>
  <c r="C174" i="14"/>
  <c r="D174" i="14" s="1"/>
  <c r="C173" i="14"/>
  <c r="D173" i="14" s="1"/>
  <c r="D172" i="14"/>
  <c r="C172" i="14"/>
  <c r="C163" i="14"/>
  <c r="D163" i="14" s="1"/>
  <c r="C162" i="14"/>
  <c r="D162" i="14" s="1"/>
  <c r="C161" i="14"/>
  <c r="D161" i="14" s="1"/>
  <c r="D160" i="14"/>
  <c r="C160" i="14"/>
  <c r="C159" i="14"/>
  <c r="D159" i="14" s="1"/>
  <c r="C158" i="14"/>
  <c r="D158" i="14" s="1"/>
  <c r="C157" i="14"/>
  <c r="D157" i="14" s="1"/>
  <c r="D156" i="14"/>
  <c r="C156" i="14"/>
  <c r="C155" i="14"/>
  <c r="D155" i="14" s="1"/>
  <c r="C154" i="14"/>
  <c r="D154" i="14" s="1"/>
  <c r="C153" i="14"/>
  <c r="D153" i="14" s="1"/>
  <c r="D152" i="14"/>
  <c r="C152" i="14"/>
  <c r="C151" i="14"/>
  <c r="D151" i="14" s="1"/>
  <c r="C150" i="14"/>
  <c r="D150" i="14" s="1"/>
  <c r="D149" i="14"/>
  <c r="C149" i="14"/>
  <c r="D148" i="14"/>
  <c r="C148" i="14"/>
  <c r="D147" i="14"/>
  <c r="C147" i="14"/>
  <c r="D146" i="14"/>
  <c r="C146" i="14"/>
  <c r="D137" i="14"/>
  <c r="C137" i="14"/>
  <c r="C136" i="14"/>
  <c r="D136" i="14" s="1"/>
  <c r="C135" i="14"/>
  <c r="D135" i="14" s="1"/>
  <c r="C134" i="14"/>
  <c r="D134" i="14" s="1"/>
  <c r="D133" i="14"/>
  <c r="C133" i="14"/>
  <c r="C132" i="14"/>
  <c r="D132" i="14" s="1"/>
  <c r="C131" i="14"/>
  <c r="D131" i="14" s="1"/>
  <c r="C130" i="14"/>
  <c r="D130" i="14" s="1"/>
  <c r="D129" i="14"/>
  <c r="C129" i="14"/>
  <c r="C128" i="14"/>
  <c r="D128" i="14" s="1"/>
  <c r="C127" i="14"/>
  <c r="D127" i="14" s="1"/>
  <c r="C126" i="14"/>
  <c r="D126" i="14" s="1"/>
  <c r="D125" i="14"/>
  <c r="C125" i="14"/>
  <c r="C124" i="14"/>
  <c r="D124" i="14" s="1"/>
  <c r="D123" i="14"/>
  <c r="C123" i="14"/>
  <c r="D122" i="14"/>
  <c r="C122" i="14"/>
  <c r="D121" i="14"/>
  <c r="C121" i="14"/>
  <c r="D120" i="14"/>
  <c r="C120" i="14"/>
  <c r="D110" i="14"/>
  <c r="C110" i="14"/>
  <c r="E110" i="14" s="1"/>
  <c r="E109" i="14"/>
  <c r="C109" i="14"/>
  <c r="D109" i="14" s="1"/>
  <c r="D108" i="14"/>
  <c r="C108" i="14"/>
  <c r="E108" i="14" s="1"/>
  <c r="E107" i="14"/>
  <c r="D107" i="14"/>
  <c r="C107" i="14"/>
  <c r="D106" i="14"/>
  <c r="C106" i="14"/>
  <c r="E106" i="14" s="1"/>
  <c r="C105" i="14"/>
  <c r="E105" i="14" s="1"/>
  <c r="E104" i="14"/>
  <c r="D104" i="14"/>
  <c r="C104" i="14"/>
  <c r="C103" i="14"/>
  <c r="E103" i="14" s="1"/>
  <c r="C102" i="14"/>
  <c r="E102" i="14" s="1"/>
  <c r="E101" i="14"/>
  <c r="C101" i="14"/>
  <c r="C100" i="14"/>
  <c r="E271" i="14" s="1"/>
  <c r="C99" i="14"/>
  <c r="E99" i="14" s="1"/>
  <c r="E98" i="14"/>
  <c r="C98" i="14"/>
  <c r="E97" i="14"/>
  <c r="C97" i="14"/>
  <c r="C87" i="14"/>
  <c r="E87" i="14" s="1"/>
  <c r="E86" i="14"/>
  <c r="D86" i="14"/>
  <c r="C86" i="14"/>
  <c r="D85" i="14"/>
  <c r="C85" i="14"/>
  <c r="E85" i="14" s="1"/>
  <c r="C84" i="14"/>
  <c r="E84" i="14" s="1"/>
  <c r="E83" i="14"/>
  <c r="D83" i="14"/>
  <c r="C83" i="14"/>
  <c r="E82" i="14"/>
  <c r="C82" i="14"/>
  <c r="D82" i="14" s="1"/>
  <c r="D81" i="14"/>
  <c r="C81" i="14"/>
  <c r="E81" i="14" s="1"/>
  <c r="E80" i="14"/>
  <c r="C80" i="14"/>
  <c r="D80" i="14" s="1"/>
  <c r="C79" i="14"/>
  <c r="D79" i="14" s="1"/>
  <c r="C78" i="14"/>
  <c r="E78" i="14" s="1"/>
  <c r="C77" i="14"/>
  <c r="E77" i="14" s="1"/>
  <c r="C76" i="14"/>
  <c r="E76" i="14" s="1"/>
  <c r="C75" i="14"/>
  <c r="E75" i="14" s="1"/>
  <c r="C74" i="14"/>
  <c r="E74" i="14" s="1"/>
  <c r="C64" i="14"/>
  <c r="E64" i="14" s="1"/>
  <c r="D63" i="14"/>
  <c r="C63" i="14"/>
  <c r="E63" i="14" s="1"/>
  <c r="E62" i="14"/>
  <c r="D62" i="14"/>
  <c r="C62" i="14"/>
  <c r="D61" i="14"/>
  <c r="C61" i="14"/>
  <c r="E61" i="14" s="1"/>
  <c r="C60" i="14"/>
  <c r="E60" i="14" s="1"/>
  <c r="E59" i="14"/>
  <c r="D59" i="14"/>
  <c r="C59" i="14"/>
  <c r="E58" i="14"/>
  <c r="C58" i="14"/>
  <c r="D58" i="14" s="1"/>
  <c r="D57" i="14"/>
  <c r="C57" i="14"/>
  <c r="E57" i="14" s="1"/>
  <c r="E56" i="14"/>
  <c r="C56" i="14"/>
  <c r="D56" i="14" s="1"/>
  <c r="C55" i="14"/>
  <c r="E55" i="14" s="1"/>
  <c r="E54" i="14"/>
  <c r="D54" i="14"/>
  <c r="C54" i="14"/>
  <c r="C53" i="14"/>
  <c r="E53" i="14" s="1"/>
  <c r="D52" i="14"/>
  <c r="C52" i="14"/>
  <c r="E52" i="14" s="1"/>
  <c r="E51" i="14"/>
  <c r="C51" i="14"/>
  <c r="D51" i="14" s="1"/>
  <c r="B40" i="14"/>
  <c r="E39" i="14"/>
  <c r="D39" i="14"/>
  <c r="C39" i="14"/>
  <c r="C38" i="14"/>
  <c r="E38" i="14" s="1"/>
  <c r="C37" i="14"/>
  <c r="E37" i="14" s="1"/>
  <c r="E36" i="14"/>
  <c r="D36" i="14"/>
  <c r="C36" i="14"/>
  <c r="C35" i="14"/>
  <c r="E35" i="14" s="1"/>
  <c r="D34" i="14"/>
  <c r="C34" i="14"/>
  <c r="E34" i="14" s="1"/>
  <c r="E33" i="14"/>
  <c r="C33" i="14"/>
  <c r="D33" i="14" s="1"/>
  <c r="C32" i="14"/>
  <c r="E32" i="14" s="1"/>
  <c r="E31" i="14"/>
  <c r="D31" i="14"/>
  <c r="C31" i="14"/>
  <c r="C30" i="14"/>
  <c r="E30" i="14" s="1"/>
  <c r="C29" i="14"/>
  <c r="E29" i="14" s="1"/>
  <c r="C28" i="14"/>
  <c r="E28" i="14" s="1"/>
  <c r="E27" i="14"/>
  <c r="C27" i="14"/>
  <c r="C26" i="14"/>
  <c r="E26" i="14" s="1"/>
  <c r="E19" i="14"/>
  <c r="D19" i="14"/>
  <c r="C19" i="14"/>
  <c r="D18" i="14"/>
  <c r="C18" i="14"/>
  <c r="C17" i="14"/>
  <c r="D17" i="14" s="1"/>
  <c r="E16" i="14"/>
  <c r="D16" i="14"/>
  <c r="C16" i="14"/>
  <c r="E15" i="14"/>
  <c r="C15" i="14"/>
  <c r="D15" i="14" s="1"/>
  <c r="D14" i="14"/>
  <c r="C14" i="14"/>
  <c r="C13" i="14"/>
  <c r="D13" i="14" s="1"/>
  <c r="D12" i="14"/>
  <c r="C12" i="14"/>
  <c r="E11" i="14"/>
  <c r="D11" i="14"/>
  <c r="C11" i="14"/>
  <c r="E10" i="14"/>
  <c r="C10" i="14"/>
  <c r="D10" i="14" s="1"/>
  <c r="D9" i="14"/>
  <c r="C9" i="14"/>
  <c r="C8" i="14"/>
  <c r="D8" i="14" s="1"/>
  <c r="D7" i="14"/>
  <c r="C7" i="14"/>
  <c r="E6" i="14"/>
  <c r="D6" i="14"/>
  <c r="C6" i="14"/>
  <c r="E13" i="14" s="1"/>
  <c r="C198" i="7"/>
  <c r="D198" i="7" s="1"/>
  <c r="C197" i="7"/>
  <c r="D197" i="7" s="1"/>
  <c r="C196" i="7"/>
  <c r="D196" i="7" s="1"/>
  <c r="D195" i="7"/>
  <c r="C195" i="7"/>
  <c r="D194" i="7"/>
  <c r="C194" i="7"/>
  <c r="C193" i="7"/>
  <c r="D193" i="7" s="1"/>
  <c r="D192" i="7"/>
  <c r="C192" i="7"/>
  <c r="D191" i="7"/>
  <c r="C191" i="7"/>
  <c r="C190" i="7"/>
  <c r="D190" i="7" s="1"/>
  <c r="C189" i="7"/>
  <c r="D189" i="7" s="1"/>
  <c r="C188" i="7"/>
  <c r="D188" i="7" s="1"/>
  <c r="D187" i="7"/>
  <c r="C187" i="7"/>
  <c r="D186" i="7"/>
  <c r="C186" i="7"/>
  <c r="C185" i="7"/>
  <c r="D185" i="7" s="1"/>
  <c r="C184" i="7"/>
  <c r="D184" i="7" s="1"/>
  <c r="D177" i="7"/>
  <c r="C177" i="7"/>
  <c r="D176" i="7"/>
  <c r="C176" i="7"/>
  <c r="C175" i="7"/>
  <c r="D175" i="7" s="1"/>
  <c r="C174" i="7"/>
  <c r="D174" i="7" s="1"/>
  <c r="D173" i="7"/>
  <c r="C173" i="7"/>
  <c r="C172" i="7"/>
  <c r="D172" i="7" s="1"/>
  <c r="C171" i="7"/>
  <c r="D171" i="7" s="1"/>
  <c r="C170" i="7"/>
  <c r="D170" i="7" s="1"/>
  <c r="D169" i="7"/>
  <c r="C169" i="7"/>
  <c r="D168" i="7"/>
  <c r="C168" i="7"/>
  <c r="C167" i="7"/>
  <c r="D167" i="7" s="1"/>
  <c r="C166" i="7"/>
  <c r="D166" i="7" s="1"/>
  <c r="C165" i="7"/>
  <c r="D165" i="7" s="1"/>
  <c r="D164" i="7"/>
  <c r="C164" i="7"/>
  <c r="C178" i="7" s="1"/>
  <c r="C152" i="7"/>
  <c r="D152" i="7" s="1"/>
  <c r="C151" i="7"/>
  <c r="D151" i="7" s="1"/>
  <c r="C150" i="7"/>
  <c r="D150" i="7" s="1"/>
  <c r="C149" i="7"/>
  <c r="D149" i="7" s="1"/>
  <c r="C148" i="7"/>
  <c r="D148" i="7" s="1"/>
  <c r="C147" i="7"/>
  <c r="D147" i="7" s="1"/>
  <c r="C146" i="7"/>
  <c r="D146" i="7" s="1"/>
  <c r="C145" i="7"/>
  <c r="D145" i="7" s="1"/>
  <c r="C144" i="7"/>
  <c r="D144" i="7" s="1"/>
  <c r="C143" i="7"/>
  <c r="D143" i="7" s="1"/>
  <c r="D139" i="7"/>
  <c r="C139" i="7"/>
  <c r="D138" i="7"/>
  <c r="C138" i="7"/>
  <c r="C137" i="7"/>
  <c r="D137" i="7" s="1"/>
  <c r="E136" i="7"/>
  <c r="D136" i="7"/>
  <c r="C136" i="7"/>
  <c r="E135" i="7"/>
  <c r="D135" i="7"/>
  <c r="C135" i="7"/>
  <c r="E138" i="7" s="1"/>
  <c r="C134" i="7"/>
  <c r="D134" i="7" s="1"/>
  <c r="E133" i="7"/>
  <c r="C133" i="7"/>
  <c r="D133" i="7" s="1"/>
  <c r="E132" i="7"/>
  <c r="C132" i="7"/>
  <c r="D132" i="7" s="1"/>
  <c r="E131" i="7"/>
  <c r="D131" i="7"/>
  <c r="C131" i="7"/>
  <c r="D130" i="7"/>
  <c r="C130" i="7"/>
  <c r="E129" i="7"/>
  <c r="C129" i="7"/>
  <c r="D129" i="7" s="1"/>
  <c r="E128" i="7"/>
  <c r="D128" i="7"/>
  <c r="C128" i="7"/>
  <c r="E127" i="7"/>
  <c r="C127" i="7"/>
  <c r="D127" i="7" s="1"/>
  <c r="E126" i="7"/>
  <c r="D126" i="7"/>
  <c r="C126" i="7"/>
  <c r="E125" i="7"/>
  <c r="D125" i="7"/>
  <c r="C125" i="7"/>
  <c r="E124" i="7"/>
  <c r="C124" i="7"/>
  <c r="D124" i="7" s="1"/>
  <c r="E123" i="7"/>
  <c r="D123" i="7"/>
  <c r="D140" i="7" s="1"/>
  <c r="C123" i="7"/>
  <c r="C140" i="7" s="1"/>
  <c r="C115" i="7"/>
  <c r="D115" i="7" s="1"/>
  <c r="C114" i="7"/>
  <c r="D114" i="7" s="1"/>
  <c r="C113" i="7"/>
  <c r="D113" i="7" s="1"/>
  <c r="D112" i="7"/>
  <c r="C112" i="7"/>
  <c r="D111" i="7"/>
  <c r="C111" i="7"/>
  <c r="C110" i="7"/>
  <c r="D110" i="7" s="1"/>
  <c r="C109" i="7"/>
  <c r="D109" i="7" s="1"/>
  <c r="C108" i="7"/>
  <c r="D108" i="7" s="1"/>
  <c r="D107" i="7"/>
  <c r="C107" i="7"/>
  <c r="E111" i="7" s="1"/>
  <c r="D99" i="7"/>
  <c r="C99" i="7"/>
  <c r="D98" i="7"/>
  <c r="C98" i="7"/>
  <c r="C97" i="7"/>
  <c r="D97" i="7" s="1"/>
  <c r="C96" i="7"/>
  <c r="D96" i="7" s="1"/>
  <c r="C95" i="7"/>
  <c r="D95" i="7" s="1"/>
  <c r="C94" i="7"/>
  <c r="D94" i="7" s="1"/>
  <c r="D93" i="7"/>
  <c r="C93" i="7"/>
  <c r="D92" i="7"/>
  <c r="C92" i="7"/>
  <c r="D91" i="7"/>
  <c r="C91" i="7"/>
  <c r="D90" i="7"/>
  <c r="C90" i="7"/>
  <c r="C89" i="7"/>
  <c r="D89" i="7" s="1"/>
  <c r="C88" i="7"/>
  <c r="D88" i="7" s="1"/>
  <c r="C87" i="7"/>
  <c r="D87" i="7" s="1"/>
  <c r="C86" i="7"/>
  <c r="D86" i="7" s="1"/>
  <c r="D85" i="7"/>
  <c r="C85" i="7"/>
  <c r="C84" i="7"/>
  <c r="D84" i="7" s="1"/>
  <c r="C83" i="7"/>
  <c r="D83" i="7" s="1"/>
  <c r="C82" i="7"/>
  <c r="D82" i="7" s="1"/>
  <c r="C73" i="7"/>
  <c r="D73" i="7" s="1"/>
  <c r="C72" i="7"/>
  <c r="D72" i="7" s="1"/>
  <c r="D71" i="7"/>
  <c r="C71" i="7"/>
  <c r="D70" i="7"/>
  <c r="C70" i="7"/>
  <c r="D69" i="7"/>
  <c r="C69" i="7"/>
  <c r="D68" i="7"/>
  <c r="C68" i="7"/>
  <c r="D67" i="7"/>
  <c r="C67" i="7"/>
  <c r="D66" i="7"/>
  <c r="C66" i="7"/>
  <c r="C65" i="7"/>
  <c r="D65" i="7" s="1"/>
  <c r="C64" i="7"/>
  <c r="D64" i="7" s="1"/>
  <c r="D63" i="7"/>
  <c r="C63" i="7"/>
  <c r="D62" i="7"/>
  <c r="C62" i="7"/>
  <c r="D61" i="7"/>
  <c r="C61" i="7"/>
  <c r="D60" i="7"/>
  <c r="C60" i="7"/>
  <c r="D59" i="7"/>
  <c r="C59" i="7"/>
  <c r="D58" i="7"/>
  <c r="C58" i="7"/>
  <c r="C57" i="7"/>
  <c r="D57" i="7" s="1"/>
  <c r="C56" i="7"/>
  <c r="D56" i="7" s="1"/>
  <c r="C55" i="7"/>
  <c r="D55" i="7" s="1"/>
  <c r="D54" i="7"/>
  <c r="C54" i="7"/>
  <c r="D53" i="7"/>
  <c r="C53" i="7"/>
  <c r="C52" i="7"/>
  <c r="C74" i="7" s="1"/>
  <c r="C44" i="7"/>
  <c r="D44" i="7" s="1"/>
  <c r="C43" i="7"/>
  <c r="D43" i="7" s="1"/>
  <c r="C42" i="7"/>
  <c r="D42" i="7" s="1"/>
  <c r="C41" i="7"/>
  <c r="D41" i="7" s="1"/>
  <c r="D40" i="7"/>
  <c r="C40" i="7"/>
  <c r="C39" i="7"/>
  <c r="D39" i="7" s="1"/>
  <c r="D38" i="7"/>
  <c r="C38" i="7"/>
  <c r="C37" i="7"/>
  <c r="D37" i="7" s="1"/>
  <c r="D36" i="7"/>
  <c r="C36" i="7"/>
  <c r="C35" i="7"/>
  <c r="D35" i="7" s="1"/>
  <c r="C34" i="7"/>
  <c r="D34" i="7" s="1"/>
  <c r="C33" i="7"/>
  <c r="D33" i="7" s="1"/>
  <c r="D32" i="7"/>
  <c r="C32" i="7"/>
  <c r="D31" i="7"/>
  <c r="C31" i="7"/>
  <c r="C30" i="7"/>
  <c r="D30" i="7" s="1"/>
  <c r="C29" i="7"/>
  <c r="D29" i="7" s="1"/>
  <c r="C28" i="7"/>
  <c r="D28" i="7" s="1"/>
  <c r="D27" i="7"/>
  <c r="C27" i="7"/>
  <c r="C45" i="7" s="1"/>
  <c r="C19" i="7"/>
  <c r="D19" i="7" s="1"/>
  <c r="C18" i="7"/>
  <c r="D18" i="7" s="1"/>
  <c r="D17" i="7"/>
  <c r="C17" i="7"/>
  <c r="C16" i="7"/>
  <c r="D16" i="7" s="1"/>
  <c r="C15" i="7"/>
  <c r="D15" i="7" s="1"/>
  <c r="C14" i="7"/>
  <c r="D14" i="7" s="1"/>
  <c r="D13" i="7"/>
  <c r="C13" i="7"/>
  <c r="D12" i="7"/>
  <c r="C12" i="7"/>
  <c r="C11" i="7"/>
  <c r="D11" i="7" s="1"/>
  <c r="C10" i="7"/>
  <c r="D10" i="7" s="1"/>
  <c r="C9" i="7"/>
  <c r="D9" i="7" s="1"/>
  <c r="C8" i="7"/>
  <c r="D8" i="7" s="1"/>
  <c r="D7" i="7"/>
  <c r="C7" i="7"/>
  <c r="C6" i="7"/>
  <c r="C20" i="7" s="1"/>
  <c r="C112" i="6"/>
  <c r="F111" i="6"/>
  <c r="C111" i="6"/>
  <c r="F110" i="6"/>
  <c r="C110" i="6"/>
  <c r="F109" i="6"/>
  <c r="C109" i="6"/>
  <c r="I108" i="6"/>
  <c r="F108" i="6"/>
  <c r="C108" i="6"/>
  <c r="F107" i="6"/>
  <c r="C107" i="6"/>
  <c r="L106" i="6"/>
  <c r="I106" i="6"/>
  <c r="F106" i="6"/>
  <c r="C106" i="6"/>
  <c r="L105" i="6"/>
  <c r="I105" i="6"/>
  <c r="F105" i="6"/>
  <c r="C105" i="6"/>
  <c r="L104" i="6"/>
  <c r="I104" i="6"/>
  <c r="F104" i="6"/>
  <c r="C104" i="6"/>
  <c r="L103" i="6"/>
  <c r="I103" i="6"/>
  <c r="F103" i="6"/>
  <c r="C103" i="6"/>
  <c r="L102" i="6"/>
  <c r="I102" i="6"/>
  <c r="F102" i="6"/>
  <c r="C102" i="6"/>
  <c r="L101" i="6"/>
  <c r="I101" i="6"/>
  <c r="F101" i="6"/>
  <c r="C101" i="6"/>
  <c r="L100" i="6"/>
  <c r="I100" i="6"/>
  <c r="F100" i="6"/>
  <c r="C100" i="6"/>
  <c r="L99" i="6"/>
  <c r="L108" i="6" s="1"/>
  <c r="I99" i="6"/>
  <c r="F99" i="6"/>
  <c r="C99" i="6"/>
  <c r="L98" i="6"/>
  <c r="I98" i="6"/>
  <c r="F98" i="6"/>
  <c r="F113" i="6" s="1"/>
  <c r="C98" i="6"/>
  <c r="C113" i="6" s="1"/>
  <c r="C87" i="6"/>
  <c r="C86" i="6"/>
  <c r="C85" i="6"/>
  <c r="F84" i="6"/>
  <c r="C84" i="6"/>
  <c r="F83" i="6"/>
  <c r="C83" i="6"/>
  <c r="F82" i="6"/>
  <c r="C82" i="6"/>
  <c r="F81" i="6"/>
  <c r="C81" i="6"/>
  <c r="I80" i="6"/>
  <c r="F80" i="6"/>
  <c r="C80" i="6"/>
  <c r="I79" i="6"/>
  <c r="F79" i="6"/>
  <c r="C79" i="6"/>
  <c r="I78" i="6"/>
  <c r="F78" i="6"/>
  <c r="C78" i="6"/>
  <c r="I77" i="6"/>
  <c r="F77" i="6"/>
  <c r="C77" i="6"/>
  <c r="I76" i="6"/>
  <c r="F76" i="6"/>
  <c r="C76" i="6"/>
  <c r="I75" i="6"/>
  <c r="F75" i="6"/>
  <c r="C75" i="6"/>
  <c r="I74" i="6"/>
  <c r="F74" i="6"/>
  <c r="C74" i="6"/>
  <c r="I73" i="6"/>
  <c r="F73" i="6"/>
  <c r="C73" i="6"/>
  <c r="I72" i="6"/>
  <c r="F72" i="6"/>
  <c r="C72" i="6"/>
  <c r="I71" i="6"/>
  <c r="I82" i="6" s="1"/>
  <c r="F71" i="6"/>
  <c r="F87" i="6" s="1"/>
  <c r="C71" i="6"/>
  <c r="C89" i="6" s="1"/>
  <c r="C57" i="6"/>
  <c r="C56" i="6"/>
  <c r="C55" i="6"/>
  <c r="C54" i="6"/>
  <c r="F53" i="6"/>
  <c r="C53" i="6"/>
  <c r="F52" i="6"/>
  <c r="C52" i="6"/>
  <c r="F51" i="6"/>
  <c r="C51" i="6"/>
  <c r="F50" i="6"/>
  <c r="C50" i="6"/>
  <c r="F49" i="6"/>
  <c r="C49" i="6"/>
  <c r="I48" i="6"/>
  <c r="F48" i="6"/>
  <c r="C48" i="6"/>
  <c r="I47" i="6"/>
  <c r="F47" i="6"/>
  <c r="C47" i="6"/>
  <c r="I46" i="6"/>
  <c r="F46" i="6"/>
  <c r="C46" i="6"/>
  <c r="I45" i="6"/>
  <c r="F45" i="6"/>
  <c r="C45" i="6"/>
  <c r="I44" i="6"/>
  <c r="F44" i="6"/>
  <c r="C44" i="6"/>
  <c r="I43" i="6"/>
  <c r="F43" i="6"/>
  <c r="C43" i="6"/>
  <c r="I42" i="6"/>
  <c r="F42" i="6"/>
  <c r="C42" i="6"/>
  <c r="I41" i="6"/>
  <c r="F41" i="6"/>
  <c r="C41" i="6"/>
  <c r="I40" i="6"/>
  <c r="I51" i="6" s="1"/>
  <c r="F40" i="6"/>
  <c r="F56" i="6" s="1"/>
  <c r="C40" i="6"/>
  <c r="C60" i="6" s="1"/>
  <c r="C27" i="6"/>
  <c r="C26" i="6"/>
  <c r="C25" i="6"/>
  <c r="C24" i="6"/>
  <c r="F23" i="6"/>
  <c r="C23" i="6"/>
  <c r="F22" i="6"/>
  <c r="C22" i="6"/>
  <c r="F21" i="6"/>
  <c r="C21" i="6"/>
  <c r="I20" i="6"/>
  <c r="F20" i="6"/>
  <c r="C20" i="6"/>
  <c r="I19" i="6"/>
  <c r="F19" i="6"/>
  <c r="C19" i="6"/>
  <c r="I18" i="6"/>
  <c r="F18" i="6"/>
  <c r="C18" i="6"/>
  <c r="I17" i="6"/>
  <c r="F17" i="6"/>
  <c r="C17" i="6"/>
  <c r="I16" i="6"/>
  <c r="F16" i="6"/>
  <c r="C16" i="6"/>
  <c r="I15" i="6"/>
  <c r="F15" i="6"/>
  <c r="C15" i="6"/>
  <c r="I14" i="6"/>
  <c r="F14" i="6"/>
  <c r="C14" i="6"/>
  <c r="I13" i="6"/>
  <c r="F13" i="6"/>
  <c r="C13" i="6"/>
  <c r="I12" i="6"/>
  <c r="F12" i="6"/>
  <c r="C12" i="6"/>
  <c r="I11" i="6"/>
  <c r="F11" i="6"/>
  <c r="C11" i="6"/>
  <c r="I10" i="6"/>
  <c r="F10" i="6"/>
  <c r="C10" i="6"/>
  <c r="I9" i="6"/>
  <c r="F9" i="6"/>
  <c r="C9" i="6"/>
  <c r="I8" i="6"/>
  <c r="F8" i="6"/>
  <c r="F26" i="6" s="1"/>
  <c r="C8" i="6"/>
  <c r="I7" i="6"/>
  <c r="I23" i="6" s="1"/>
  <c r="F7" i="6"/>
  <c r="C7" i="6"/>
  <c r="F6" i="6"/>
  <c r="C6" i="6"/>
  <c r="C30" i="6" s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D21" i="24"/>
  <c r="D20" i="24"/>
  <c r="D16" i="24"/>
  <c r="D15" i="24"/>
  <c r="D14" i="24"/>
  <c r="D10" i="24"/>
  <c r="D9" i="24"/>
  <c r="D8" i="24"/>
  <c r="C208" i="8" l="1"/>
  <c r="E204" i="8" s="1"/>
  <c r="C144" i="8"/>
  <c r="C20" i="8"/>
  <c r="C46" i="8"/>
  <c r="E29" i="8" s="1"/>
  <c r="C119" i="8"/>
  <c r="C185" i="8"/>
  <c r="E171" i="8" s="1"/>
  <c r="C76" i="8"/>
  <c r="C162" i="8"/>
  <c r="D45" i="7"/>
  <c r="D178" i="7"/>
  <c r="I10" i="14"/>
  <c r="D100" i="7"/>
  <c r="D164" i="14"/>
  <c r="G149" i="14" s="1"/>
  <c r="E18" i="7"/>
  <c r="E10" i="7"/>
  <c r="E15" i="7"/>
  <c r="E12" i="7"/>
  <c r="E7" i="7"/>
  <c r="E17" i="7"/>
  <c r="E14" i="7"/>
  <c r="E9" i="7"/>
  <c r="E19" i="7"/>
  <c r="E11" i="7"/>
  <c r="E6" i="7"/>
  <c r="E16" i="7"/>
  <c r="E13" i="7"/>
  <c r="E8" i="7"/>
  <c r="D116" i="7"/>
  <c r="D199" i="7"/>
  <c r="E218" i="14"/>
  <c r="F210" i="14" s="1"/>
  <c r="G203" i="14" s="1"/>
  <c r="E176" i="7"/>
  <c r="E168" i="7"/>
  <c r="E173" i="7"/>
  <c r="E170" i="7"/>
  <c r="E165" i="7"/>
  <c r="E175" i="7"/>
  <c r="E172" i="7"/>
  <c r="E167" i="7"/>
  <c r="E177" i="7"/>
  <c r="E169" i="7"/>
  <c r="E164" i="7"/>
  <c r="E174" i="7"/>
  <c r="E171" i="7"/>
  <c r="E166" i="7"/>
  <c r="D138" i="14"/>
  <c r="H123" i="14" s="1"/>
  <c r="E248" i="14"/>
  <c r="H232" i="14" s="1"/>
  <c r="E37" i="7"/>
  <c r="E42" i="7"/>
  <c r="E34" i="7"/>
  <c r="E29" i="7"/>
  <c r="E39" i="7"/>
  <c r="E31" i="7"/>
  <c r="E44" i="7"/>
  <c r="E36" i="7"/>
  <c r="E41" i="7"/>
  <c r="E33" i="7"/>
  <c r="E28" i="7"/>
  <c r="E38" i="7"/>
  <c r="E43" i="7"/>
  <c r="E35" i="7"/>
  <c r="E30" i="7"/>
  <c r="E40" i="7"/>
  <c r="E32" i="7"/>
  <c r="E27" i="7"/>
  <c r="E72" i="7"/>
  <c r="E64" i="7"/>
  <c r="E56" i="7"/>
  <c r="E69" i="7"/>
  <c r="E61" i="7"/>
  <c r="E66" i="7"/>
  <c r="E58" i="7"/>
  <c r="E53" i="7"/>
  <c r="E71" i="7"/>
  <c r="E63" i="7"/>
  <c r="E68" i="7"/>
  <c r="E60" i="7"/>
  <c r="E55" i="7"/>
  <c r="E73" i="7"/>
  <c r="E65" i="7"/>
  <c r="E57" i="7"/>
  <c r="E52" i="7"/>
  <c r="E70" i="7"/>
  <c r="E62" i="7"/>
  <c r="E67" i="7"/>
  <c r="E59" i="7"/>
  <c r="E54" i="7"/>
  <c r="D153" i="7"/>
  <c r="E40" i="14"/>
  <c r="F35" i="14" s="1"/>
  <c r="H29" i="14" s="1"/>
  <c r="D88" i="14"/>
  <c r="H76" i="14" s="1"/>
  <c r="E109" i="7"/>
  <c r="E114" i="7"/>
  <c r="E202" i="8"/>
  <c r="E194" i="8"/>
  <c r="E198" i="8"/>
  <c r="E200" i="8"/>
  <c r="D140" i="17"/>
  <c r="G124" i="17" s="1"/>
  <c r="D6" i="7"/>
  <c r="D20" i="7" s="1"/>
  <c r="D52" i="7"/>
  <c r="D74" i="7" s="1"/>
  <c r="E136" i="8"/>
  <c r="E141" i="8"/>
  <c r="E133" i="8"/>
  <c r="E128" i="8"/>
  <c r="E138" i="8"/>
  <c r="E143" i="8"/>
  <c r="E135" i="8"/>
  <c r="E130" i="8"/>
  <c r="E140" i="8"/>
  <c r="E132" i="8"/>
  <c r="E127" i="8"/>
  <c r="E137" i="8"/>
  <c r="E142" i="8"/>
  <c r="E134" i="8"/>
  <c r="E129" i="8"/>
  <c r="E139" i="8"/>
  <c r="E131" i="8"/>
  <c r="E107" i="7"/>
  <c r="E112" i="7"/>
  <c r="E139" i="7"/>
  <c r="E9" i="14"/>
  <c r="E14" i="14"/>
  <c r="C20" i="14"/>
  <c r="D37" i="14"/>
  <c r="D55" i="14"/>
  <c r="D60" i="14"/>
  <c r="D84" i="14"/>
  <c r="D105" i="14"/>
  <c r="D180" i="14"/>
  <c r="D188" i="14"/>
  <c r="D208" i="14"/>
  <c r="D213" i="14"/>
  <c r="D242" i="14"/>
  <c r="E356" i="14"/>
  <c r="H341" i="14" s="1"/>
  <c r="E391" i="14"/>
  <c r="H384" i="14" s="1"/>
  <c r="E612" i="14"/>
  <c r="E656" i="14"/>
  <c r="H645" i="14" s="1"/>
  <c r="E679" i="14"/>
  <c r="E40" i="8"/>
  <c r="E45" i="8"/>
  <c r="E34" i="8"/>
  <c r="E44" i="8"/>
  <c r="E31" i="8"/>
  <c r="E28" i="8"/>
  <c r="E35" i="8"/>
  <c r="D144" i="8"/>
  <c r="E110" i="7"/>
  <c r="E115" i="7"/>
  <c r="E134" i="7"/>
  <c r="E17" i="14"/>
  <c r="D20" i="14"/>
  <c r="D32" i="14"/>
  <c r="D87" i="14"/>
  <c r="D216" i="14"/>
  <c r="D237" i="14"/>
  <c r="D245" i="14"/>
  <c r="E260" i="14"/>
  <c r="E263" i="14"/>
  <c r="E295" i="14"/>
  <c r="D295" i="14"/>
  <c r="E319" i="14"/>
  <c r="E328" i="14" s="1"/>
  <c r="D319" i="14"/>
  <c r="E531" i="14"/>
  <c r="H522" i="14" s="1"/>
  <c r="E592" i="14"/>
  <c r="H585" i="14" s="1"/>
  <c r="E116" i="8"/>
  <c r="E111" i="8"/>
  <c r="E118" i="8"/>
  <c r="E113" i="8"/>
  <c r="E115" i="8"/>
  <c r="E110" i="8"/>
  <c r="E117" i="8"/>
  <c r="E112" i="8"/>
  <c r="E114" i="8"/>
  <c r="E174" i="8"/>
  <c r="E175" i="8"/>
  <c r="E43" i="17"/>
  <c r="H31" i="17" s="1"/>
  <c r="E281" i="17"/>
  <c r="H262" i="17" s="1"/>
  <c r="C116" i="7"/>
  <c r="E137" i="7"/>
  <c r="C199" i="7"/>
  <c r="E7" i="14"/>
  <c r="E20" i="14" s="1"/>
  <c r="E12" i="14"/>
  <c r="D35" i="14"/>
  <c r="D40" i="14" s="1"/>
  <c r="D53" i="14"/>
  <c r="I55" i="14" s="1"/>
  <c r="E79" i="14"/>
  <c r="D103" i="14"/>
  <c r="D111" i="14" s="1"/>
  <c r="H99" i="14" s="1"/>
  <c r="E570" i="14"/>
  <c r="H562" i="14" s="1"/>
  <c r="D724" i="14"/>
  <c r="G712" i="14" s="1"/>
  <c r="E68" i="8"/>
  <c r="E60" i="8"/>
  <c r="E55" i="8"/>
  <c r="E73" i="8"/>
  <c r="E65" i="8"/>
  <c r="E70" i="8"/>
  <c r="E62" i="8"/>
  <c r="E57" i="8"/>
  <c r="E75" i="8"/>
  <c r="E67" i="8"/>
  <c r="E59" i="8"/>
  <c r="E54" i="8"/>
  <c r="E72" i="8"/>
  <c r="E64" i="8"/>
  <c r="E69" i="8"/>
  <c r="E61" i="8"/>
  <c r="E56" i="8"/>
  <c r="E74" i="8"/>
  <c r="E66" i="8"/>
  <c r="E58" i="8"/>
  <c r="E71" i="8"/>
  <c r="E63" i="8"/>
  <c r="E156" i="8"/>
  <c r="E161" i="8"/>
  <c r="E158" i="8"/>
  <c r="E153" i="8"/>
  <c r="E160" i="8"/>
  <c r="E155" i="8"/>
  <c r="E157" i="8"/>
  <c r="E152" i="8"/>
  <c r="E159" i="8"/>
  <c r="E154" i="8"/>
  <c r="E168" i="17"/>
  <c r="H152" i="17" s="1"/>
  <c r="C100" i="7"/>
  <c r="E108" i="7"/>
  <c r="E113" i="7"/>
  <c r="C153" i="7"/>
  <c r="D38" i="14"/>
  <c r="E268" i="14"/>
  <c r="E270" i="14"/>
  <c r="E262" i="14"/>
  <c r="E269" i="14"/>
  <c r="E274" i="14"/>
  <c r="E266" i="14"/>
  <c r="D181" i="14"/>
  <c r="D189" i="14"/>
  <c r="D276" i="14"/>
  <c r="H260" i="14" s="1"/>
  <c r="E267" i="14"/>
  <c r="E287" i="14"/>
  <c r="E301" i="14" s="1"/>
  <c r="H285" i="14" s="1"/>
  <c r="D287" i="14"/>
  <c r="D375" i="14"/>
  <c r="G369" i="14" s="1"/>
  <c r="D475" i="14"/>
  <c r="G466" i="14" s="1"/>
  <c r="E505" i="14"/>
  <c r="H496" i="14" s="1"/>
  <c r="E223" i="17"/>
  <c r="H207" i="17" s="1"/>
  <c r="E18" i="14"/>
  <c r="D64" i="14"/>
  <c r="E100" i="14"/>
  <c r="D217" i="14"/>
  <c r="D238" i="14"/>
  <c r="D246" i="14"/>
  <c r="E258" i="14"/>
  <c r="E261" i="14"/>
  <c r="E264" i="14"/>
  <c r="E275" i="14"/>
  <c r="E411" i="14"/>
  <c r="D548" i="14"/>
  <c r="G540" i="14" s="1"/>
  <c r="D634" i="14"/>
  <c r="G623" i="14" s="1"/>
  <c r="E95" i="8"/>
  <c r="E87" i="8"/>
  <c r="E100" i="8"/>
  <c r="E92" i="8"/>
  <c r="E97" i="8"/>
  <c r="E89" i="8"/>
  <c r="E84" i="8"/>
  <c r="E94" i="8"/>
  <c r="E99" i="8"/>
  <c r="E91" i="8"/>
  <c r="E86" i="8"/>
  <c r="E96" i="8"/>
  <c r="E88" i="8"/>
  <c r="E83" i="8"/>
  <c r="E93" i="8"/>
  <c r="E98" i="8"/>
  <c r="E90" i="8"/>
  <c r="E85" i="8"/>
  <c r="E64" i="17"/>
  <c r="E248" i="17"/>
  <c r="F241" i="17" s="1"/>
  <c r="H232" i="17" s="1"/>
  <c r="E130" i="7"/>
  <c r="E140" i="7" s="1"/>
  <c r="K126" i="7" s="1"/>
  <c r="E8" i="14"/>
  <c r="E272" i="14"/>
  <c r="E450" i="14"/>
  <c r="E702" i="14"/>
  <c r="H691" i="14" s="1"/>
  <c r="E794" i="14"/>
  <c r="E12" i="8"/>
  <c r="E7" i="8"/>
  <c r="E17" i="8"/>
  <c r="E14" i="8"/>
  <c r="E9" i="8"/>
  <c r="E19" i="8"/>
  <c r="E11" i="8"/>
  <c r="E6" i="8"/>
  <c r="E16" i="8"/>
  <c r="E13" i="8"/>
  <c r="E8" i="8"/>
  <c r="E18" i="8"/>
  <c r="E10" i="8"/>
  <c r="E15" i="8"/>
  <c r="E195" i="17"/>
  <c r="E744" i="14"/>
  <c r="E747" i="14" s="1"/>
  <c r="D766" i="14"/>
  <c r="D786" i="14"/>
  <c r="D791" i="14"/>
  <c r="E478" i="17"/>
  <c r="D478" i="17"/>
  <c r="E42" i="9"/>
  <c r="E34" i="9"/>
  <c r="E29" i="9"/>
  <c r="E39" i="9"/>
  <c r="E31" i="9"/>
  <c r="E44" i="9"/>
  <c r="E36" i="9"/>
  <c r="E41" i="9"/>
  <c r="E33" i="9"/>
  <c r="E28" i="9"/>
  <c r="E38" i="9"/>
  <c r="E43" i="9"/>
  <c r="E35" i="9"/>
  <c r="E30" i="9"/>
  <c r="E40" i="9"/>
  <c r="E32" i="9"/>
  <c r="E27" i="9"/>
  <c r="E45" i="9" s="1"/>
  <c r="E37" i="9"/>
  <c r="D286" i="14"/>
  <c r="D294" i="14"/>
  <c r="D318" i="14"/>
  <c r="D328" i="14" s="1"/>
  <c r="F322" i="14" s="1"/>
  <c r="H313" i="14" s="1"/>
  <c r="D323" i="14"/>
  <c r="D563" i="14"/>
  <c r="D568" i="14"/>
  <c r="D585" i="14"/>
  <c r="D592" i="14" s="1"/>
  <c r="D590" i="14"/>
  <c r="D605" i="14"/>
  <c r="D610" i="14"/>
  <c r="D645" i="14"/>
  <c r="D656" i="14" s="1"/>
  <c r="D650" i="14"/>
  <c r="D670" i="14"/>
  <c r="D679" i="14" s="1"/>
  <c r="F674" i="14" s="1"/>
  <c r="H668" i="14" s="1"/>
  <c r="D675" i="14"/>
  <c r="D692" i="14"/>
  <c r="D702" i="14" s="1"/>
  <c r="D700" i="14"/>
  <c r="D732" i="14"/>
  <c r="D742" i="14"/>
  <c r="D28" i="8"/>
  <c r="D46" i="8" s="1"/>
  <c r="D83" i="8"/>
  <c r="D101" i="8" s="1"/>
  <c r="D152" i="8"/>
  <c r="D162" i="8" s="1"/>
  <c r="D193" i="8"/>
  <c r="D208" i="8" s="1"/>
  <c r="D9" i="17"/>
  <c r="D20" i="17" s="1"/>
  <c r="D39" i="17"/>
  <c r="D82" i="17"/>
  <c r="D152" i="17"/>
  <c r="D157" i="17"/>
  <c r="D165" i="17"/>
  <c r="D186" i="17"/>
  <c r="D195" i="17" s="1"/>
  <c r="D191" i="17"/>
  <c r="D213" i="17"/>
  <c r="D223" i="17" s="1"/>
  <c r="D221" i="17"/>
  <c r="D261" i="17"/>
  <c r="D266" i="17"/>
  <c r="D274" i="17"/>
  <c r="D308" i="17"/>
  <c r="D333" i="17"/>
  <c r="D337" i="17"/>
  <c r="D357" i="17"/>
  <c r="D361" i="17"/>
  <c r="E367" i="17"/>
  <c r="D376" i="17"/>
  <c r="E379" i="17"/>
  <c r="E414" i="17"/>
  <c r="D414" i="17"/>
  <c r="D439" i="17"/>
  <c r="D443" i="17"/>
  <c r="D501" i="17"/>
  <c r="E15" i="9"/>
  <c r="E12" i="9"/>
  <c r="E7" i="9"/>
  <c r="E17" i="9"/>
  <c r="E14" i="9"/>
  <c r="E9" i="9"/>
  <c r="E19" i="9"/>
  <c r="E11" i="9"/>
  <c r="E6" i="9"/>
  <c r="E20" i="9" s="1"/>
  <c r="E16" i="9"/>
  <c r="E13" i="9"/>
  <c r="E8" i="9"/>
  <c r="E18" i="9"/>
  <c r="E10" i="9"/>
  <c r="D45" i="9"/>
  <c r="E91" i="18"/>
  <c r="H80" i="18" s="1"/>
  <c r="D326" i="14"/>
  <c r="D608" i="14"/>
  <c r="D653" i="14"/>
  <c r="D673" i="14"/>
  <c r="D678" i="14"/>
  <c r="D29" i="17"/>
  <c r="D303" i="17"/>
  <c r="D340" i="17"/>
  <c r="D364" i="17"/>
  <c r="E368" i="17"/>
  <c r="D368" i="17"/>
  <c r="E380" i="17"/>
  <c r="D380" i="17"/>
  <c r="D446" i="17"/>
  <c r="D479" i="17"/>
  <c r="E504" i="17"/>
  <c r="D20" i="9"/>
  <c r="E69" i="9"/>
  <c r="E61" i="9"/>
  <c r="E66" i="9"/>
  <c r="E58" i="9"/>
  <c r="E53" i="9"/>
  <c r="E71" i="9"/>
  <c r="E63" i="9"/>
  <c r="E68" i="9"/>
  <c r="E60" i="9"/>
  <c r="E55" i="9"/>
  <c r="E73" i="9"/>
  <c r="E65" i="9"/>
  <c r="E57" i="9"/>
  <c r="E52" i="9"/>
  <c r="E70" i="9"/>
  <c r="E62" i="9"/>
  <c r="E67" i="9"/>
  <c r="E59" i="9"/>
  <c r="E54" i="9"/>
  <c r="E72" i="9"/>
  <c r="E64" i="9"/>
  <c r="E56" i="9"/>
  <c r="E146" i="9"/>
  <c r="E138" i="9"/>
  <c r="E133" i="9"/>
  <c r="E143" i="9"/>
  <c r="E140" i="9"/>
  <c r="E135" i="9"/>
  <c r="E145" i="9"/>
  <c r="E137" i="9"/>
  <c r="E141" i="9"/>
  <c r="E144" i="9"/>
  <c r="E147" i="9"/>
  <c r="E136" i="9"/>
  <c r="E139" i="9"/>
  <c r="E132" i="9"/>
  <c r="E142" i="9"/>
  <c r="E134" i="9"/>
  <c r="E131" i="9"/>
  <c r="D348" i="14"/>
  <c r="D356" i="14" s="1"/>
  <c r="D385" i="14"/>
  <c r="D390" i="14"/>
  <c r="D422" i="14"/>
  <c r="D429" i="14" s="1"/>
  <c r="D427" i="14"/>
  <c r="D445" i="14"/>
  <c r="D450" i="14" s="1"/>
  <c r="F447" i="14" s="1"/>
  <c r="H441" i="14" s="1"/>
  <c r="D494" i="14"/>
  <c r="D505" i="14" s="1"/>
  <c r="D499" i="14"/>
  <c r="D530" i="14"/>
  <c r="D698" i="14"/>
  <c r="D740" i="14"/>
  <c r="D767" i="14"/>
  <c r="D787" i="14"/>
  <c r="D792" i="14"/>
  <c r="D6" i="8"/>
  <c r="D20" i="8" s="1"/>
  <c r="D54" i="8"/>
  <c r="D76" i="8" s="1"/>
  <c r="D110" i="8"/>
  <c r="D119" i="8" s="1"/>
  <c r="D171" i="8"/>
  <c r="D185" i="8" s="1"/>
  <c r="D37" i="17"/>
  <c r="D58" i="17"/>
  <c r="D64" i="17" s="1"/>
  <c r="F59" i="17" s="1"/>
  <c r="H52" i="17" s="1"/>
  <c r="D63" i="17"/>
  <c r="D80" i="17"/>
  <c r="D87" i="17" s="1"/>
  <c r="D85" i="17"/>
  <c r="D150" i="17"/>
  <c r="D155" i="17"/>
  <c r="D163" i="17"/>
  <c r="D189" i="17"/>
  <c r="D219" i="17"/>
  <c r="D241" i="17"/>
  <c r="D246" i="17"/>
  <c r="D259" i="17"/>
  <c r="D264" i="17"/>
  <c r="D272" i="17"/>
  <c r="D280" i="17"/>
  <c r="D301" i="17"/>
  <c r="D311" i="17" s="1"/>
  <c r="F302" i="17" s="1"/>
  <c r="H291" i="17" s="1"/>
  <c r="D306" i="17"/>
  <c r="E387" i="17"/>
  <c r="D411" i="17"/>
  <c r="E465" i="17"/>
  <c r="E470" i="17" s="1"/>
  <c r="H455" i="17" s="1"/>
  <c r="E482" i="17"/>
  <c r="E694" i="17"/>
  <c r="E901" i="17"/>
  <c r="F894" i="17" s="1"/>
  <c r="H888" i="17" s="1"/>
  <c r="D324" i="14"/>
  <c r="D351" i="14"/>
  <c r="D383" i="14"/>
  <c r="D391" i="14" s="1"/>
  <c r="K385" i="14" s="1"/>
  <c r="D404" i="14"/>
  <c r="D411" i="14" s="1"/>
  <c r="D502" i="14"/>
  <c r="D525" i="14"/>
  <c r="D531" i="14" s="1"/>
  <c r="D651" i="14"/>
  <c r="D671" i="14"/>
  <c r="D676" i="14"/>
  <c r="D693" i="14"/>
  <c r="D701" i="14"/>
  <c r="E771" i="14"/>
  <c r="D32" i="17"/>
  <c r="D40" i="17"/>
  <c r="D158" i="17"/>
  <c r="D166" i="17"/>
  <c r="D187" i="17"/>
  <c r="D192" i="17"/>
  <c r="E388" i="17"/>
  <c r="D388" i="17"/>
  <c r="E466" i="17"/>
  <c r="D466" i="17"/>
  <c r="E483" i="17"/>
  <c r="D483" i="17"/>
  <c r="E519" i="17"/>
  <c r="D519" i="17"/>
  <c r="D525" i="17" s="1"/>
  <c r="K525" i="17" s="1"/>
  <c r="E710" i="17"/>
  <c r="F706" i="17" s="1"/>
  <c r="H702" i="17" s="1"/>
  <c r="D285" i="14"/>
  <c r="D290" i="14"/>
  <c r="D298" i="14"/>
  <c r="D322" i="14"/>
  <c r="D327" i="14"/>
  <c r="D497" i="14"/>
  <c r="D528" i="14"/>
  <c r="D562" i="14"/>
  <c r="D570" i="14" s="1"/>
  <c r="K563" i="14" s="1"/>
  <c r="D564" i="14"/>
  <c r="D586" i="14"/>
  <c r="D604" i="14"/>
  <c r="D612" i="14" s="1"/>
  <c r="F609" i="14" s="1"/>
  <c r="H604" i="14" s="1"/>
  <c r="D609" i="14"/>
  <c r="D696" i="14"/>
  <c r="D738" i="14"/>
  <c r="D746" i="14"/>
  <c r="D762" i="14"/>
  <c r="D772" i="14" s="1"/>
  <c r="F767" i="14" s="1"/>
  <c r="H760" i="14" s="1"/>
  <c r="D785" i="14"/>
  <c r="D795" i="14" s="1"/>
  <c r="I789" i="14" s="1"/>
  <c r="D217" i="17"/>
  <c r="D239" i="17"/>
  <c r="D244" i="17"/>
  <c r="E419" i="17"/>
  <c r="E505" i="17"/>
  <c r="E520" i="17"/>
  <c r="E525" i="17" s="1"/>
  <c r="H520" i="17" s="1"/>
  <c r="D520" i="17"/>
  <c r="E116" i="9"/>
  <c r="E111" i="9"/>
  <c r="E113" i="9"/>
  <c r="E115" i="9"/>
  <c r="E112" i="9"/>
  <c r="E118" i="9"/>
  <c r="E114" i="9"/>
  <c r="E117" i="9"/>
  <c r="E110" i="9"/>
  <c r="E119" i="9" s="1"/>
  <c r="D699" i="14"/>
  <c r="D741" i="14"/>
  <c r="D260" i="17"/>
  <c r="D265" i="17"/>
  <c r="D273" i="17"/>
  <c r="D302" i="17"/>
  <c r="D307" i="17"/>
  <c r="D329" i="17"/>
  <c r="D341" i="17" s="1"/>
  <c r="E335" i="17"/>
  <c r="E341" i="17" s="1"/>
  <c r="H322" i="17" s="1"/>
  <c r="E359" i="17"/>
  <c r="E369" i="17" s="1"/>
  <c r="E374" i="17"/>
  <c r="E392" i="17" s="1"/>
  <c r="H376" i="17" s="1"/>
  <c r="D385" i="17"/>
  <c r="D389" i="17"/>
  <c r="E409" i="17"/>
  <c r="D409" i="17"/>
  <c r="D419" i="17" s="1"/>
  <c r="F410" i="17" s="1"/>
  <c r="H403" i="17" s="1"/>
  <c r="E441" i="17"/>
  <c r="E448" i="17" s="1"/>
  <c r="H433" i="17" s="1"/>
  <c r="D463" i="17"/>
  <c r="D467" i="17"/>
  <c r="D486" i="17"/>
  <c r="D484" i="17"/>
  <c r="E535" i="17"/>
  <c r="D535" i="17"/>
  <c r="E569" i="17"/>
  <c r="E577" i="17" s="1"/>
  <c r="D569" i="17"/>
  <c r="E604" i="17"/>
  <c r="H590" i="17" s="1"/>
  <c r="D632" i="17"/>
  <c r="E310" i="17"/>
  <c r="E311" i="17" s="1"/>
  <c r="D332" i="17"/>
  <c r="E336" i="17"/>
  <c r="D336" i="17"/>
  <c r="E360" i="17"/>
  <c r="D360" i="17"/>
  <c r="E375" i="17"/>
  <c r="D375" i="17"/>
  <c r="D392" i="17" s="1"/>
  <c r="D438" i="17"/>
  <c r="D448" i="17" s="1"/>
  <c r="E442" i="17"/>
  <c r="D442" i="17"/>
  <c r="E477" i="17"/>
  <c r="E486" i="17" s="1"/>
  <c r="H480" i="17" s="1"/>
  <c r="E500" i="17"/>
  <c r="D500" i="17"/>
  <c r="D505" i="17" s="1"/>
  <c r="F502" i="17" s="1"/>
  <c r="H499" i="17" s="1"/>
  <c r="D521" i="17"/>
  <c r="E540" i="17"/>
  <c r="D540" i="17"/>
  <c r="E750" i="17"/>
  <c r="E755" i="17"/>
  <c r="E762" i="17" s="1"/>
  <c r="H751" i="17" s="1"/>
  <c r="D758" i="17"/>
  <c r="E775" i="17"/>
  <c r="E785" i="17" s="1"/>
  <c r="D778" i="17"/>
  <c r="E780" i="17"/>
  <c r="D783" i="17"/>
  <c r="E803" i="17"/>
  <c r="E806" i="17" s="1"/>
  <c r="H794" i="17" s="1"/>
  <c r="E819" i="17"/>
  <c r="D822" i="17"/>
  <c r="E843" i="17"/>
  <c r="E854" i="17" s="1"/>
  <c r="H842" i="17" s="1"/>
  <c r="E851" i="17"/>
  <c r="E871" i="17"/>
  <c r="E876" i="17"/>
  <c r="E86" i="18"/>
  <c r="D86" i="18"/>
  <c r="E139" i="18"/>
  <c r="D139" i="18"/>
  <c r="E265" i="18"/>
  <c r="H247" i="18" s="1"/>
  <c r="E258" i="18"/>
  <c r="D258" i="18"/>
  <c r="E213" i="10"/>
  <c r="E210" i="10"/>
  <c r="E205" i="10"/>
  <c r="E207" i="10"/>
  <c r="E202" i="10"/>
  <c r="E211" i="10"/>
  <c r="E208" i="10"/>
  <c r="E203" i="10"/>
  <c r="E212" i="10"/>
  <c r="E214" i="10"/>
  <c r="E206" i="10"/>
  <c r="E209" i="10"/>
  <c r="E201" i="10"/>
  <c r="E204" i="10"/>
  <c r="D600" i="17"/>
  <c r="D623" i="17"/>
  <c r="D631" i="17"/>
  <c r="D662" i="17"/>
  <c r="D667" i="17"/>
  <c r="D692" i="17"/>
  <c r="D705" i="17"/>
  <c r="D748" i="17"/>
  <c r="D753" i="17"/>
  <c r="D761" i="17"/>
  <c r="D801" i="17"/>
  <c r="D817" i="17"/>
  <c r="D849" i="17"/>
  <c r="D874" i="17"/>
  <c r="D894" i="17"/>
  <c r="D899" i="17"/>
  <c r="D65" i="18"/>
  <c r="E192" i="18"/>
  <c r="D192" i="18"/>
  <c r="D524" i="17"/>
  <c r="D568" i="17"/>
  <c r="D577" i="17" s="1"/>
  <c r="F570" i="17" s="1"/>
  <c r="H563" i="17" s="1"/>
  <c r="D595" i="17"/>
  <c r="D604" i="17" s="1"/>
  <c r="D603" i="17"/>
  <c r="D670" i="17"/>
  <c r="D751" i="17"/>
  <c r="D796" i="17"/>
  <c r="D806" i="17" s="1"/>
  <c r="D804" i="17"/>
  <c r="D52" i="9"/>
  <c r="D74" i="9" s="1"/>
  <c r="D111" i="9"/>
  <c r="D119" i="9" s="1"/>
  <c r="K114" i="9" s="1"/>
  <c r="D132" i="9"/>
  <c r="E39" i="18"/>
  <c r="E44" i="18" s="1"/>
  <c r="H33" i="18" s="1"/>
  <c r="D39" i="18"/>
  <c r="E163" i="18"/>
  <c r="E171" i="18" s="1"/>
  <c r="H156" i="18" s="1"/>
  <c r="D163" i="18"/>
  <c r="D197" i="18"/>
  <c r="E332" i="18"/>
  <c r="H314" i="18" s="1"/>
  <c r="D362" i="18"/>
  <c r="I347" i="18" s="1"/>
  <c r="D629" i="18"/>
  <c r="E629" i="18"/>
  <c r="D708" i="17"/>
  <c r="D759" i="17"/>
  <c r="D779" i="17"/>
  <c r="D784" i="17"/>
  <c r="D785" i="17" s="1"/>
  <c r="F779" i="17" s="1"/>
  <c r="H774" i="17" s="1"/>
  <c r="D815" i="17"/>
  <c r="D823" i="17"/>
  <c r="D842" i="17"/>
  <c r="D854" i="17" s="1"/>
  <c r="D847" i="17"/>
  <c r="D872" i="17"/>
  <c r="D880" i="17" s="1"/>
  <c r="F871" i="17" s="1"/>
  <c r="H867" i="17" s="1"/>
  <c r="D892" i="17"/>
  <c r="D901" i="17" s="1"/>
  <c r="D897" i="17"/>
  <c r="C189" i="9"/>
  <c r="E126" i="18"/>
  <c r="E144" i="18" s="1"/>
  <c r="H129" i="18" s="1"/>
  <c r="D126" i="18"/>
  <c r="E131" i="18"/>
  <c r="D131" i="18"/>
  <c r="E198" i="18"/>
  <c r="H183" i="18" s="1"/>
  <c r="E245" i="18"/>
  <c r="D245" i="18"/>
  <c r="E250" i="18"/>
  <c r="D250" i="18"/>
  <c r="D706" i="17"/>
  <c r="E815" i="17"/>
  <c r="D900" i="17"/>
  <c r="D211" i="9"/>
  <c r="E324" i="18"/>
  <c r="D324" i="18"/>
  <c r="E373" i="18"/>
  <c r="D373" i="18"/>
  <c r="D574" i="17"/>
  <c r="D596" i="17"/>
  <c r="D627" i="17"/>
  <c r="D671" i="17"/>
  <c r="D688" i="17"/>
  <c r="D693" i="17"/>
  <c r="D36" i="18"/>
  <c r="E63" i="18"/>
  <c r="E68" i="18" s="1"/>
  <c r="H57" i="18" s="1"/>
  <c r="D63" i="18"/>
  <c r="D189" i="18"/>
  <c r="E292" i="18"/>
  <c r="E298" i="18" s="1"/>
  <c r="H279" i="18" s="1"/>
  <c r="D292" i="18"/>
  <c r="D534" i="17"/>
  <c r="D541" i="17" s="1"/>
  <c r="K541" i="17" s="1"/>
  <c r="D539" i="17"/>
  <c r="D666" i="17"/>
  <c r="D686" i="17"/>
  <c r="D694" i="17" s="1"/>
  <c r="F692" i="17" s="1"/>
  <c r="H686" i="17" s="1"/>
  <c r="D691" i="17"/>
  <c r="D704" i="17"/>
  <c r="D709" i="17"/>
  <c r="D166" i="9"/>
  <c r="C20" i="18"/>
  <c r="C102" i="9"/>
  <c r="D148" i="9"/>
  <c r="D7" i="18"/>
  <c r="D20" i="18" s="1"/>
  <c r="G9" i="18" s="1"/>
  <c r="E909" i="18"/>
  <c r="E914" i="18"/>
  <c r="E911" i="18"/>
  <c r="E908" i="18"/>
  <c r="E913" i="18"/>
  <c r="E910" i="18"/>
  <c r="E915" i="18"/>
  <c r="E907" i="18"/>
  <c r="E912" i="18"/>
  <c r="D211" i="18"/>
  <c r="D231" i="18" s="1"/>
  <c r="G212" i="18" s="1"/>
  <c r="E387" i="18"/>
  <c r="D387" i="18"/>
  <c r="E715" i="18"/>
  <c r="E714" i="18"/>
  <c r="E709" i="18"/>
  <c r="E711" i="18"/>
  <c r="E713" i="18"/>
  <c r="E708" i="18"/>
  <c r="E710" i="18"/>
  <c r="D447" i="18"/>
  <c r="E447" i="18"/>
  <c r="D483" i="18"/>
  <c r="E483" i="18"/>
  <c r="E489" i="18" s="1"/>
  <c r="H483" i="18" s="1"/>
  <c r="D508" i="18"/>
  <c r="E508" i="18"/>
  <c r="D574" i="18"/>
  <c r="E574" i="18"/>
  <c r="D582" i="18"/>
  <c r="E582" i="18"/>
  <c r="D215" i="10"/>
  <c r="D129" i="18"/>
  <c r="D134" i="18"/>
  <c r="D142" i="18"/>
  <c r="D166" i="18"/>
  <c r="D195" i="18"/>
  <c r="D253" i="18"/>
  <c r="D261" i="18"/>
  <c r="D287" i="18"/>
  <c r="D298" i="18" s="1"/>
  <c r="D295" i="18"/>
  <c r="D327" i="18"/>
  <c r="D439" i="18"/>
  <c r="D450" i="18" s="1"/>
  <c r="K435" i="18" s="1"/>
  <c r="E439" i="18"/>
  <c r="E450" i="18" s="1"/>
  <c r="H436" i="18" s="1"/>
  <c r="D488" i="18"/>
  <c r="D489" i="18" s="1"/>
  <c r="E488" i="18"/>
  <c r="D605" i="18"/>
  <c r="E605" i="18"/>
  <c r="E610" i="18" s="1"/>
  <c r="H597" i="18" s="1"/>
  <c r="E712" i="18"/>
  <c r="D916" i="18"/>
  <c r="E15" i="10"/>
  <c r="E10" i="10"/>
  <c r="E20" i="10"/>
  <c r="E12" i="10"/>
  <c r="E7" i="10"/>
  <c r="E17" i="10"/>
  <c r="E14" i="10"/>
  <c r="E9" i="10"/>
  <c r="E19" i="10"/>
  <c r="E11" i="10"/>
  <c r="E16" i="10"/>
  <c r="E13" i="10"/>
  <c r="E8" i="10"/>
  <c r="E18" i="10"/>
  <c r="E69" i="10"/>
  <c r="E61" i="10"/>
  <c r="E56" i="10"/>
  <c r="E74" i="10"/>
  <c r="E66" i="10"/>
  <c r="E58" i="10"/>
  <c r="E53" i="10"/>
  <c r="E75" i="10" s="1"/>
  <c r="E71" i="10"/>
  <c r="E63" i="10"/>
  <c r="E68" i="10"/>
  <c r="E60" i="10"/>
  <c r="E55" i="10"/>
  <c r="E73" i="10"/>
  <c r="E65" i="10"/>
  <c r="E57" i="10"/>
  <c r="E70" i="10"/>
  <c r="E62" i="10"/>
  <c r="E67" i="10"/>
  <c r="E59" i="10"/>
  <c r="E54" i="10"/>
  <c r="E72" i="10"/>
  <c r="E64" i="10"/>
  <c r="C211" i="9"/>
  <c r="D34" i="18"/>
  <c r="D42" i="18"/>
  <c r="D66" i="18"/>
  <c r="D89" i="18"/>
  <c r="D137" i="18"/>
  <c r="D161" i="18"/>
  <c r="D171" i="18" s="1"/>
  <c r="E166" i="18"/>
  <c r="D169" i="18"/>
  <c r="D190" i="18"/>
  <c r="D198" i="18" s="1"/>
  <c r="K183" i="18" s="1"/>
  <c r="D243" i="18"/>
  <c r="D248" i="18"/>
  <c r="D256" i="18"/>
  <c r="D264" i="18"/>
  <c r="D290" i="18"/>
  <c r="D322" i="18"/>
  <c r="D330" i="18"/>
  <c r="E409" i="18"/>
  <c r="E420" i="18" s="1"/>
  <c r="I405" i="18" s="1"/>
  <c r="E636" i="18"/>
  <c r="H623" i="18" s="1"/>
  <c r="D837" i="18"/>
  <c r="G826" i="18" s="1"/>
  <c r="C166" i="9"/>
  <c r="D32" i="18"/>
  <c r="D44" i="18" s="1"/>
  <c r="D37" i="18"/>
  <c r="D61" i="18"/>
  <c r="D68" i="18" s="1"/>
  <c r="D84" i="18"/>
  <c r="D91" i="18" s="1"/>
  <c r="D127" i="18"/>
  <c r="D132" i="18"/>
  <c r="D140" i="18"/>
  <c r="D164" i="18"/>
  <c r="D193" i="18"/>
  <c r="D246" i="18"/>
  <c r="D251" i="18"/>
  <c r="D259" i="18"/>
  <c r="D293" i="18"/>
  <c r="D325" i="18"/>
  <c r="D374" i="18"/>
  <c r="D511" i="18"/>
  <c r="D262" i="18"/>
  <c r="D288" i="18"/>
  <c r="D296" i="18"/>
  <c r="D320" i="18"/>
  <c r="D332" i="18" s="1"/>
  <c r="K313" i="18" s="1"/>
  <c r="D328" i="18"/>
  <c r="D379" i="18"/>
  <c r="E385" i="18"/>
  <c r="D410" i="18"/>
  <c r="D420" i="18" s="1"/>
  <c r="D418" i="18"/>
  <c r="E418" i="18"/>
  <c r="D667" i="18"/>
  <c r="E667" i="18"/>
  <c r="D672" i="18"/>
  <c r="D676" i="18" s="1"/>
  <c r="E672" i="18"/>
  <c r="E676" i="18" s="1"/>
  <c r="H669" i="18" s="1"/>
  <c r="D238" i="10"/>
  <c r="D469" i="18"/>
  <c r="G463" i="18" s="1"/>
  <c r="D533" i="18"/>
  <c r="D560" i="18"/>
  <c r="G547" i="18" s="1"/>
  <c r="D694" i="18"/>
  <c r="E694" i="18"/>
  <c r="E889" i="18"/>
  <c r="H877" i="18" s="1"/>
  <c r="E511" i="18"/>
  <c r="H506" i="18" s="1"/>
  <c r="D569" i="18"/>
  <c r="D585" i="18" s="1"/>
  <c r="E569" i="18"/>
  <c r="E585" i="18" s="1"/>
  <c r="H572" i="18" s="1"/>
  <c r="D658" i="18"/>
  <c r="G650" i="18" s="1"/>
  <c r="E695" i="18"/>
  <c r="H688" i="18" s="1"/>
  <c r="E42" i="10"/>
  <c r="E34" i="10"/>
  <c r="E29" i="10"/>
  <c r="E39" i="10"/>
  <c r="E44" i="10"/>
  <c r="E36" i="10"/>
  <c r="E31" i="10"/>
  <c r="E41" i="10"/>
  <c r="E33" i="10"/>
  <c r="E28" i="10"/>
  <c r="E38" i="10"/>
  <c r="E43" i="10"/>
  <c r="E35" i="10"/>
  <c r="E30" i="10"/>
  <c r="E40" i="10"/>
  <c r="E32" i="10"/>
  <c r="E45" i="10"/>
  <c r="E37" i="10"/>
  <c r="E753" i="18"/>
  <c r="E765" i="18" s="1"/>
  <c r="H754" i="18" s="1"/>
  <c r="E758" i="18"/>
  <c r="E780" i="18"/>
  <c r="E790" i="18" s="1"/>
  <c r="H779" i="18" s="1"/>
  <c r="E788" i="18"/>
  <c r="E806" i="18"/>
  <c r="E814" i="18" s="1"/>
  <c r="H803" i="18" s="1"/>
  <c r="E851" i="18"/>
  <c r="E864" i="18" s="1"/>
  <c r="H852" i="18" s="1"/>
  <c r="E856" i="18"/>
  <c r="E883" i="18"/>
  <c r="D148" i="10"/>
  <c r="E85" i="19"/>
  <c r="E88" i="19" s="1"/>
  <c r="D85" i="19"/>
  <c r="D416" i="18"/>
  <c r="D445" i="18"/>
  <c r="D481" i="18"/>
  <c r="D486" i="18"/>
  <c r="D580" i="18"/>
  <c r="D603" i="18"/>
  <c r="D610" i="18" s="1"/>
  <c r="D627" i="18"/>
  <c r="D636" i="18" s="1"/>
  <c r="D635" i="18"/>
  <c r="D670" i="18"/>
  <c r="D687" i="18"/>
  <c r="D695" i="18" s="1"/>
  <c r="D692" i="18"/>
  <c r="D751" i="18"/>
  <c r="D756" i="18"/>
  <c r="D764" i="18"/>
  <c r="D786" i="18"/>
  <c r="D790" i="18" s="1"/>
  <c r="D804" i="18"/>
  <c r="D814" i="18" s="1"/>
  <c r="K803" i="18" s="1"/>
  <c r="D812" i="18"/>
  <c r="D849" i="18"/>
  <c r="D864" i="18" s="1"/>
  <c r="D854" i="18"/>
  <c r="D862" i="18"/>
  <c r="D881" i="18"/>
  <c r="D889" i="18" s="1"/>
  <c r="E180" i="10"/>
  <c r="E98" i="19"/>
  <c r="E112" i="19" s="1"/>
  <c r="H97" i="19" s="1"/>
  <c r="D98" i="19"/>
  <c r="D192" i="19"/>
  <c r="E315" i="19"/>
  <c r="E367" i="19"/>
  <c r="H352" i="19" s="1"/>
  <c r="D419" i="18"/>
  <c r="C102" i="10"/>
  <c r="E188" i="10"/>
  <c r="E40" i="19"/>
  <c r="D40" i="19"/>
  <c r="E66" i="19"/>
  <c r="D166" i="19"/>
  <c r="G151" i="19" s="1"/>
  <c r="D220" i="19"/>
  <c r="E233" i="19"/>
  <c r="E249" i="19" s="1"/>
  <c r="D233" i="19"/>
  <c r="D102" i="10"/>
  <c r="E106" i="19"/>
  <c r="D106" i="19"/>
  <c r="E129" i="19"/>
  <c r="E138" i="19" s="1"/>
  <c r="H123" i="19" s="1"/>
  <c r="D129" i="19"/>
  <c r="D138" i="19" s="1"/>
  <c r="E186" i="19"/>
  <c r="D186" i="19"/>
  <c r="D417" i="18"/>
  <c r="E184" i="10"/>
  <c r="E179" i="10"/>
  <c r="E189" i="10"/>
  <c r="E186" i="10"/>
  <c r="E181" i="10"/>
  <c r="E190" i="10"/>
  <c r="E182" i="10"/>
  <c r="E187" i="10"/>
  <c r="E33" i="19"/>
  <c r="D33" i="19"/>
  <c r="D44" i="19" s="1"/>
  <c r="K33" i="19" s="1"/>
  <c r="D66" i="19"/>
  <c r="E62" i="19"/>
  <c r="D62" i="19"/>
  <c r="E192" i="19"/>
  <c r="H177" i="19" s="1"/>
  <c r="E241" i="19"/>
  <c r="D241" i="19"/>
  <c r="D7" i="10"/>
  <c r="D21" i="10" s="1"/>
  <c r="D53" i="10"/>
  <c r="D75" i="10" s="1"/>
  <c r="N56" i="10" s="1"/>
  <c r="D178" i="10"/>
  <c r="D192" i="10" s="1"/>
  <c r="E30" i="19"/>
  <c r="E44" i="19" s="1"/>
  <c r="H32" i="19" s="1"/>
  <c r="C220" i="19"/>
  <c r="G201" i="19" s="1"/>
  <c r="D200" i="19"/>
  <c r="E275" i="19"/>
  <c r="D275" i="19"/>
  <c r="D395" i="19"/>
  <c r="C121" i="10"/>
  <c r="E178" i="10"/>
  <c r="E137" i="19"/>
  <c r="D137" i="19"/>
  <c r="D112" i="10"/>
  <c r="D121" i="10" s="1"/>
  <c r="C148" i="10"/>
  <c r="C167" i="10"/>
  <c r="E183" i="10"/>
  <c r="E191" i="10"/>
  <c r="E282" i="19"/>
  <c r="D340" i="19"/>
  <c r="G324" i="19" s="1"/>
  <c r="E392" i="19"/>
  <c r="D423" i="19"/>
  <c r="E421" i="19"/>
  <c r="D472" i="19"/>
  <c r="D479" i="19" s="1"/>
  <c r="E472" i="19"/>
  <c r="D500" i="19"/>
  <c r="D525" i="19"/>
  <c r="E573" i="19"/>
  <c r="D573" i="19"/>
  <c r="D575" i="19" s="1"/>
  <c r="E662" i="19"/>
  <c r="D662" i="19"/>
  <c r="D862" i="19"/>
  <c r="E75" i="11"/>
  <c r="E67" i="11"/>
  <c r="E72" i="11"/>
  <c r="E64" i="11"/>
  <c r="E59" i="11"/>
  <c r="E77" i="11"/>
  <c r="E69" i="11"/>
  <c r="E56" i="11"/>
  <c r="E74" i="11"/>
  <c r="E66" i="11"/>
  <c r="E61" i="11"/>
  <c r="E71" i="11"/>
  <c r="E63" i="11"/>
  <c r="E58" i="11"/>
  <c r="E76" i="11"/>
  <c r="E68" i="11"/>
  <c r="E73" i="11"/>
  <c r="E65" i="11"/>
  <c r="E60" i="11"/>
  <c r="E70" i="11"/>
  <c r="E62" i="11"/>
  <c r="E57" i="11"/>
  <c r="E101" i="11"/>
  <c r="E98" i="11"/>
  <c r="E103" i="11"/>
  <c r="E105" i="11"/>
  <c r="E97" i="11"/>
  <c r="E99" i="11"/>
  <c r="E95" i="11"/>
  <c r="E92" i="11"/>
  <c r="E89" i="11"/>
  <c r="E102" i="11"/>
  <c r="E94" i="11"/>
  <c r="E91" i="11"/>
  <c r="E88" i="11"/>
  <c r="E100" i="11"/>
  <c r="E96" i="11"/>
  <c r="E93" i="11"/>
  <c r="E90" i="11"/>
  <c r="E104" i="11"/>
  <c r="D157" i="10"/>
  <c r="D167" i="10" s="1"/>
  <c r="C238" i="10"/>
  <c r="E499" i="19"/>
  <c r="E496" i="19"/>
  <c r="E495" i="19"/>
  <c r="E494" i="19"/>
  <c r="E858" i="19"/>
  <c r="E855" i="19"/>
  <c r="E860" i="19"/>
  <c r="E857" i="19"/>
  <c r="E854" i="19"/>
  <c r="E859" i="19"/>
  <c r="E856" i="19"/>
  <c r="E861" i="19"/>
  <c r="E414" i="19"/>
  <c r="D454" i="19"/>
  <c r="D460" i="19" s="1"/>
  <c r="E454" i="19"/>
  <c r="E544" i="19"/>
  <c r="D544" i="19"/>
  <c r="D550" i="19" s="1"/>
  <c r="E565" i="19"/>
  <c r="E575" i="19" s="1"/>
  <c r="H561" i="19" s="1"/>
  <c r="D565" i="19"/>
  <c r="E639" i="19"/>
  <c r="E648" i="19" s="1"/>
  <c r="H640" i="19" s="1"/>
  <c r="D639" i="19"/>
  <c r="D648" i="19" s="1"/>
  <c r="D669" i="19"/>
  <c r="E682" i="19"/>
  <c r="D682" i="19"/>
  <c r="E545" i="19"/>
  <c r="D545" i="19"/>
  <c r="E644" i="19"/>
  <c r="D644" i="19"/>
  <c r="E669" i="19"/>
  <c r="H661" i="19" s="1"/>
  <c r="E17" i="11"/>
  <c r="E14" i="11"/>
  <c r="E9" i="11"/>
  <c r="E19" i="11"/>
  <c r="E11" i="11"/>
  <c r="E6" i="11"/>
  <c r="E16" i="11"/>
  <c r="E13" i="11"/>
  <c r="E8" i="11"/>
  <c r="E18" i="11"/>
  <c r="E15" i="11"/>
  <c r="E10" i="11"/>
  <c r="E12" i="11"/>
  <c r="E7" i="11"/>
  <c r="E238" i="19"/>
  <c r="D309" i="19"/>
  <c r="D355" i="19"/>
  <c r="D363" i="19"/>
  <c r="E386" i="19"/>
  <c r="E390" i="19"/>
  <c r="D455" i="19"/>
  <c r="E473" i="19"/>
  <c r="E595" i="19"/>
  <c r="D595" i="19"/>
  <c r="E719" i="19"/>
  <c r="D719" i="19"/>
  <c r="E412" i="19"/>
  <c r="D477" i="19"/>
  <c r="E477" i="19"/>
  <c r="E493" i="19"/>
  <c r="E498" i="19"/>
  <c r="D602" i="19"/>
  <c r="D708" i="19"/>
  <c r="G697" i="19" s="1"/>
  <c r="E724" i="19"/>
  <c r="D724" i="19"/>
  <c r="E815" i="19"/>
  <c r="H804" i="19" s="1"/>
  <c r="D38" i="19"/>
  <c r="D60" i="19"/>
  <c r="D83" i="19"/>
  <c r="D88" i="19" s="1"/>
  <c r="D104" i="19"/>
  <c r="D112" i="19" s="1"/>
  <c r="D135" i="19"/>
  <c r="D184" i="19"/>
  <c r="D229" i="19"/>
  <c r="D249" i="19" s="1"/>
  <c r="K230" i="19" s="1"/>
  <c r="D231" i="19"/>
  <c r="D239" i="19"/>
  <c r="D247" i="19"/>
  <c r="D273" i="19"/>
  <c r="D282" i="19" s="1"/>
  <c r="D281" i="19"/>
  <c r="D307" i="19"/>
  <c r="D315" i="19" s="1"/>
  <c r="D351" i="19"/>
  <c r="D367" i="19" s="1"/>
  <c r="K352" i="19" s="1"/>
  <c r="D353" i="19"/>
  <c r="D361" i="19"/>
  <c r="E394" i="19"/>
  <c r="D452" i="19"/>
  <c r="E452" i="19"/>
  <c r="E456" i="19"/>
  <c r="D687" i="19"/>
  <c r="K679" i="19" s="1"/>
  <c r="E751" i="19"/>
  <c r="D751" i="19"/>
  <c r="D752" i="19" s="1"/>
  <c r="E415" i="19"/>
  <c r="E393" i="19"/>
  <c r="E385" i="19"/>
  <c r="E417" i="19"/>
  <c r="E387" i="19"/>
  <c r="E419" i="19"/>
  <c r="E389" i="19"/>
  <c r="E418" i="19"/>
  <c r="E384" i="19"/>
  <c r="E391" i="19"/>
  <c r="E416" i="19"/>
  <c r="D478" i="19"/>
  <c r="D730" i="19"/>
  <c r="E743" i="19"/>
  <c r="E752" i="19" s="1"/>
  <c r="H741" i="19" s="1"/>
  <c r="D743" i="19"/>
  <c r="D46" i="11"/>
  <c r="E388" i="19"/>
  <c r="E413" i="19"/>
  <c r="D773" i="19"/>
  <c r="D794" i="19"/>
  <c r="H783" i="19" s="1"/>
  <c r="E543" i="19"/>
  <c r="E550" i="19" s="1"/>
  <c r="H537" i="19" s="1"/>
  <c r="E571" i="19"/>
  <c r="E593" i="19"/>
  <c r="E601" i="19"/>
  <c r="E602" i="19" s="1"/>
  <c r="H588" i="19" s="1"/>
  <c r="E642" i="19"/>
  <c r="E668" i="19"/>
  <c r="E680" i="19"/>
  <c r="E687" i="19" s="1"/>
  <c r="H679" i="19" s="1"/>
  <c r="E717" i="19"/>
  <c r="E730" i="19" s="1"/>
  <c r="H719" i="19" s="1"/>
  <c r="E722" i="19"/>
  <c r="E749" i="19"/>
  <c r="E767" i="19"/>
  <c r="E773" i="19" s="1"/>
  <c r="H762" i="19" s="1"/>
  <c r="D770" i="19"/>
  <c r="E803" i="19"/>
  <c r="E808" i="19"/>
  <c r="D811" i="19"/>
  <c r="E835" i="19"/>
  <c r="E839" i="19" s="1"/>
  <c r="H829" i="19" s="1"/>
  <c r="C46" i="11"/>
  <c r="C173" i="11"/>
  <c r="E40" i="21"/>
  <c r="E43" i="21" s="1"/>
  <c r="D40" i="21"/>
  <c r="D115" i="21"/>
  <c r="G102" i="21" s="1"/>
  <c r="E160" i="21"/>
  <c r="D160" i="21"/>
  <c r="E441" i="21"/>
  <c r="H427" i="21" s="1"/>
  <c r="E190" i="11"/>
  <c r="E185" i="11"/>
  <c r="E195" i="11"/>
  <c r="E192" i="11"/>
  <c r="E187" i="11"/>
  <c r="E194" i="11"/>
  <c r="E189" i="11"/>
  <c r="E191" i="11"/>
  <c r="E186" i="11"/>
  <c r="E196" i="11"/>
  <c r="E183" i="11"/>
  <c r="E293" i="21"/>
  <c r="H275" i="21" s="1"/>
  <c r="D572" i="19"/>
  <c r="D594" i="19"/>
  <c r="D88" i="11"/>
  <c r="D106" i="11" s="1"/>
  <c r="D197" i="11"/>
  <c r="E81" i="21"/>
  <c r="D81" i="21"/>
  <c r="D359" i="21"/>
  <c r="H346" i="21" s="1"/>
  <c r="D812" i="19"/>
  <c r="D831" i="19"/>
  <c r="D839" i="19" s="1"/>
  <c r="C154" i="11"/>
  <c r="E188" i="11"/>
  <c r="C221" i="11"/>
  <c r="D802" i="19"/>
  <c r="D815" i="19" s="1"/>
  <c r="D807" i="19"/>
  <c r="D834" i="19"/>
  <c r="D6" i="11"/>
  <c r="D20" i="11" s="1"/>
  <c r="D56" i="11"/>
  <c r="D78" i="11" s="1"/>
  <c r="C124" i="11"/>
  <c r="E184" i="11"/>
  <c r="E193" i="11"/>
  <c r="D241" i="11"/>
  <c r="E199" i="21"/>
  <c r="H186" i="21" s="1"/>
  <c r="D769" i="19"/>
  <c r="D154" i="11"/>
  <c r="D173" i="11"/>
  <c r="E88" i="21"/>
  <c r="H78" i="21" s="1"/>
  <c r="D170" i="21"/>
  <c r="E137" i="21"/>
  <c r="D137" i="21"/>
  <c r="E170" i="21"/>
  <c r="E333" i="21"/>
  <c r="D20" i="21"/>
  <c r="H10" i="21" s="1"/>
  <c r="E124" i="21"/>
  <c r="D124" i="21"/>
  <c r="E129" i="21"/>
  <c r="E141" i="21" s="1"/>
  <c r="H128" i="21" s="1"/>
  <c r="D129" i="21"/>
  <c r="E481" i="21"/>
  <c r="D481" i="21"/>
  <c r="E693" i="21"/>
  <c r="D693" i="21"/>
  <c r="E715" i="21"/>
  <c r="D715" i="21"/>
  <c r="D196" i="21"/>
  <c r="D246" i="21"/>
  <c r="D248" i="21"/>
  <c r="D259" i="21"/>
  <c r="D283" i="21"/>
  <c r="D286" i="21"/>
  <c r="D370" i="21"/>
  <c r="E384" i="21"/>
  <c r="D384" i="21"/>
  <c r="D386" i="21" s="1"/>
  <c r="E405" i="21"/>
  <c r="D405" i="21"/>
  <c r="E439" i="21"/>
  <c r="D498" i="21"/>
  <c r="D505" i="21" s="1"/>
  <c r="F504" i="21" s="1"/>
  <c r="H500" i="21" s="1"/>
  <c r="E562" i="21"/>
  <c r="D562" i="21"/>
  <c r="D632" i="21"/>
  <c r="D719" i="21"/>
  <c r="E787" i="21"/>
  <c r="D787" i="21"/>
  <c r="E871" i="21"/>
  <c r="H863" i="21" s="1"/>
  <c r="D30" i="21"/>
  <c r="D35" i="21"/>
  <c r="D59" i="21"/>
  <c r="D64" i="21"/>
  <c r="D84" i="21"/>
  <c r="D127" i="21"/>
  <c r="D132" i="21"/>
  <c r="D140" i="21"/>
  <c r="D163" i="21"/>
  <c r="D168" i="21"/>
  <c r="D191" i="21"/>
  <c r="D199" i="21" s="1"/>
  <c r="D241" i="21"/>
  <c r="D251" i="21"/>
  <c r="E287" i="21"/>
  <c r="D287" i="21"/>
  <c r="E371" i="21"/>
  <c r="E386" i="21" s="1"/>
  <c r="H372" i="21" s="1"/>
  <c r="D371" i="21"/>
  <c r="E412" i="21"/>
  <c r="E501" i="21"/>
  <c r="E505" i="21" s="1"/>
  <c r="E563" i="21"/>
  <c r="E577" i="21" s="1"/>
  <c r="H565" i="21" s="1"/>
  <c r="D563" i="21"/>
  <c r="E598" i="21"/>
  <c r="D598" i="21"/>
  <c r="D605" i="21" s="1"/>
  <c r="F600" i="21" s="1"/>
  <c r="H593" i="21" s="1"/>
  <c r="D784" i="21"/>
  <c r="D793" i="21" s="1"/>
  <c r="F789" i="21" s="1"/>
  <c r="H782" i="21" s="1"/>
  <c r="E788" i="21"/>
  <c r="E793" i="21" s="1"/>
  <c r="D788" i="21"/>
  <c r="D846" i="21"/>
  <c r="G836" i="21" s="1"/>
  <c r="E896" i="21"/>
  <c r="D293" i="21"/>
  <c r="E378" i="21"/>
  <c r="D436" i="21"/>
  <c r="D441" i="21" s="1"/>
  <c r="E567" i="21"/>
  <c r="D567" i="21"/>
  <c r="E599" i="21"/>
  <c r="D599" i="21"/>
  <c r="E622" i="21"/>
  <c r="E632" i="21" s="1"/>
  <c r="I620" i="21" s="1"/>
  <c r="D622" i="21"/>
  <c r="E757" i="21"/>
  <c r="D757" i="21"/>
  <c r="E764" i="21"/>
  <c r="E767" i="21" s="1"/>
  <c r="H756" i="21" s="1"/>
  <c r="D764" i="21"/>
  <c r="E437" i="21"/>
  <c r="D437" i="21"/>
  <c r="D553" i="21"/>
  <c r="E568" i="21"/>
  <c r="D568" i="21"/>
  <c r="E575" i="21"/>
  <c r="D575" i="21"/>
  <c r="D577" i="21" s="1"/>
  <c r="E603" i="21"/>
  <c r="D603" i="21"/>
  <c r="E623" i="21"/>
  <c r="D623" i="21"/>
  <c r="E630" i="21"/>
  <c r="D630" i="21"/>
  <c r="D696" i="21"/>
  <c r="F694" i="21" s="1"/>
  <c r="I688" i="21" s="1"/>
  <c r="D767" i="21"/>
  <c r="E765" i="21"/>
  <c r="D765" i="21"/>
  <c r="E792" i="21"/>
  <c r="D792" i="21"/>
  <c r="C241" i="11"/>
  <c r="D31" i="21"/>
  <c r="D43" i="21" s="1"/>
  <c r="D36" i="21"/>
  <c r="D60" i="21"/>
  <c r="D66" i="21" s="1"/>
  <c r="F62" i="21" s="1"/>
  <c r="H55" i="21" s="1"/>
  <c r="D65" i="21"/>
  <c r="D85" i="21"/>
  <c r="D128" i="21"/>
  <c r="D133" i="21"/>
  <c r="D164" i="21"/>
  <c r="D169" i="21"/>
  <c r="D192" i="21"/>
  <c r="D242" i="21"/>
  <c r="D247" i="21"/>
  <c r="D252" i="21"/>
  <c r="E331" i="21"/>
  <c r="D331" i="21"/>
  <c r="D333" i="21" s="1"/>
  <c r="F323" i="21" s="1"/>
  <c r="H316" i="21" s="1"/>
  <c r="D375" i="21"/>
  <c r="E410" i="21"/>
  <c r="D410" i="21"/>
  <c r="D413" i="21" s="1"/>
  <c r="F409" i="21" s="1"/>
  <c r="H400" i="21" s="1"/>
  <c r="E476" i="21"/>
  <c r="E483" i="21" s="1"/>
  <c r="H476" i="21" s="1"/>
  <c r="D476" i="21"/>
  <c r="D483" i="21" s="1"/>
  <c r="E522" i="21"/>
  <c r="E527" i="21" s="1"/>
  <c r="I522" i="21" s="1"/>
  <c r="D522" i="21"/>
  <c r="D527" i="21" s="1"/>
  <c r="E576" i="21"/>
  <c r="D576" i="21"/>
  <c r="E604" i="21"/>
  <c r="D604" i="21"/>
  <c r="D627" i="21"/>
  <c r="E631" i="21"/>
  <c r="D631" i="21"/>
  <c r="E669" i="21"/>
  <c r="E676" i="21" s="1"/>
  <c r="I668" i="21" s="1"/>
  <c r="D669" i="21"/>
  <c r="D39" i="21"/>
  <c r="D80" i="21"/>
  <c r="D88" i="21" s="1"/>
  <c r="D123" i="21"/>
  <c r="D136" i="21"/>
  <c r="D195" i="21"/>
  <c r="D245" i="21"/>
  <c r="D255" i="21"/>
  <c r="E261" i="21"/>
  <c r="E263" i="21" s="1"/>
  <c r="H247" i="21" s="1"/>
  <c r="E376" i="21"/>
  <c r="D376" i="21"/>
  <c r="E407" i="21"/>
  <c r="E431" i="21"/>
  <c r="D572" i="21"/>
  <c r="E670" i="21"/>
  <c r="D670" i="21"/>
  <c r="D676" i="21" s="1"/>
  <c r="E688" i="21"/>
  <c r="E696" i="21" s="1"/>
  <c r="D688" i="21"/>
  <c r="E754" i="21"/>
  <c r="D754" i="21"/>
  <c r="E812" i="21"/>
  <c r="D812" i="21"/>
  <c r="E816" i="21"/>
  <c r="D816" i="21"/>
  <c r="D821" i="21" s="1"/>
  <c r="E860" i="21"/>
  <c r="D860" i="21"/>
  <c r="D258" i="21"/>
  <c r="E289" i="21"/>
  <c r="E325" i="21"/>
  <c r="D460" i="21"/>
  <c r="G453" i="21" s="1"/>
  <c r="D480" i="21"/>
  <c r="D526" i="21"/>
  <c r="D654" i="21"/>
  <c r="G646" i="21" s="1"/>
  <c r="D674" i="21"/>
  <c r="E692" i="21"/>
  <c r="D692" i="21"/>
  <c r="E714" i="21"/>
  <c r="E721" i="21" s="1"/>
  <c r="I713" i="21" s="1"/>
  <c r="D714" i="21"/>
  <c r="D721" i="21" s="1"/>
  <c r="E755" i="21"/>
  <c r="D755" i="21"/>
  <c r="D895" i="21"/>
  <c r="D811" i="21"/>
  <c r="D819" i="21"/>
  <c r="D863" i="21"/>
  <c r="D871" i="21" s="1"/>
  <c r="K863" i="21" s="1"/>
  <c r="D865" i="21"/>
  <c r="D888" i="21"/>
  <c r="D896" i="21" s="1"/>
  <c r="F893" i="21" s="1"/>
  <c r="H888" i="21" s="1"/>
  <c r="D893" i="21"/>
  <c r="D912" i="21"/>
  <c r="D920" i="21" s="1"/>
  <c r="K912" i="21" s="1"/>
  <c r="D914" i="21"/>
  <c r="D869" i="21"/>
  <c r="D889" i="21"/>
  <c r="D894" i="21"/>
  <c r="D915" i="21"/>
  <c r="E176" i="8" l="1"/>
  <c r="E33" i="8"/>
  <c r="E42" i="8"/>
  <c r="E144" i="8"/>
  <c r="E203" i="8"/>
  <c r="E199" i="8"/>
  <c r="E180" i="8"/>
  <c r="E184" i="8"/>
  <c r="E41" i="8"/>
  <c r="E37" i="8"/>
  <c r="E193" i="8"/>
  <c r="E207" i="8"/>
  <c r="E183" i="8"/>
  <c r="E179" i="8"/>
  <c r="E30" i="8"/>
  <c r="E36" i="8"/>
  <c r="E32" i="8"/>
  <c r="E206" i="8"/>
  <c r="E197" i="8"/>
  <c r="E173" i="8"/>
  <c r="E182" i="8"/>
  <c r="E196" i="8"/>
  <c r="E205" i="8"/>
  <c r="E178" i="8"/>
  <c r="E172" i="8"/>
  <c r="E43" i="8"/>
  <c r="E39" i="8"/>
  <c r="E201" i="8"/>
  <c r="E181" i="8"/>
  <c r="E177" i="8"/>
  <c r="E185" i="8" s="1"/>
  <c r="K174" i="8" s="1"/>
  <c r="E38" i="8"/>
  <c r="E195" i="8"/>
  <c r="G8" i="17"/>
  <c r="H16" i="17"/>
  <c r="F409" i="14"/>
  <c r="H404" i="14" s="1"/>
  <c r="K405" i="14"/>
  <c r="F83" i="17"/>
  <c r="H75" i="17" s="1"/>
  <c r="K76" i="17"/>
  <c r="K810" i="21"/>
  <c r="H350" i="17"/>
  <c r="F353" i="17"/>
  <c r="F188" i="17"/>
  <c r="H179" i="17" s="1"/>
  <c r="K180" i="17"/>
  <c r="K735" i="14"/>
  <c r="H735" i="14"/>
  <c r="E395" i="19"/>
  <c r="H380" i="19" s="1"/>
  <c r="E605" i="21"/>
  <c r="E78" i="11"/>
  <c r="E479" i="19"/>
  <c r="H472" i="19" s="1"/>
  <c r="K55" i="9"/>
  <c r="E92" i="7"/>
  <c r="E97" i="7"/>
  <c r="E89" i="7"/>
  <c r="E84" i="7"/>
  <c r="E94" i="7"/>
  <c r="E86" i="7"/>
  <c r="E99" i="7"/>
  <c r="E91" i="7"/>
  <c r="E96" i="7"/>
  <c r="E88" i="7"/>
  <c r="E83" i="7"/>
  <c r="E93" i="7"/>
  <c r="E85" i="7"/>
  <c r="E98" i="7"/>
  <c r="E90" i="7"/>
  <c r="E95" i="7"/>
  <c r="E87" i="7"/>
  <c r="E82" i="7"/>
  <c r="K541" i="21"/>
  <c r="G541" i="21"/>
  <c r="K276" i="21"/>
  <c r="K10" i="11"/>
  <c r="E716" i="18"/>
  <c r="H709" i="18" s="1"/>
  <c r="E187" i="9"/>
  <c r="E179" i="9"/>
  <c r="E184" i="9"/>
  <c r="E181" i="9"/>
  <c r="E176" i="9"/>
  <c r="E186" i="9"/>
  <c r="E183" i="9"/>
  <c r="E175" i="9"/>
  <c r="E182" i="9"/>
  <c r="E178" i="9"/>
  <c r="E185" i="9"/>
  <c r="E188" i="9"/>
  <c r="E180" i="9"/>
  <c r="E177" i="9"/>
  <c r="D672" i="17"/>
  <c r="E119" i="8"/>
  <c r="K114" i="8" s="1"/>
  <c r="D263" i="21"/>
  <c r="K246" i="21" s="1"/>
  <c r="E147" i="11"/>
  <c r="E142" i="11"/>
  <c r="E152" i="11"/>
  <c r="E144" i="11"/>
  <c r="E139" i="11"/>
  <c r="E149" i="11"/>
  <c r="E151" i="11"/>
  <c r="E143" i="11"/>
  <c r="E138" i="11"/>
  <c r="E153" i="11"/>
  <c r="E145" i="11"/>
  <c r="E140" i="11"/>
  <c r="E146" i="11"/>
  <c r="E137" i="11"/>
  <c r="E150" i="11"/>
  <c r="E141" i="11"/>
  <c r="E148" i="11"/>
  <c r="D141" i="21"/>
  <c r="E168" i="11"/>
  <c r="E163" i="11"/>
  <c r="E170" i="11"/>
  <c r="E165" i="11"/>
  <c r="E172" i="11"/>
  <c r="E166" i="11"/>
  <c r="E164" i="11"/>
  <c r="E171" i="11"/>
  <c r="E167" i="11"/>
  <c r="E169" i="11"/>
  <c r="D168" i="17"/>
  <c r="D43" i="17"/>
  <c r="K30" i="9"/>
  <c r="E20" i="8"/>
  <c r="K9" i="8" s="1"/>
  <c r="K782" i="14"/>
  <c r="H781" i="14"/>
  <c r="E194" i="7"/>
  <c r="E191" i="7"/>
  <c r="E186" i="7"/>
  <c r="E196" i="7"/>
  <c r="E188" i="7"/>
  <c r="E193" i="7"/>
  <c r="E198" i="7"/>
  <c r="E190" i="7"/>
  <c r="E185" i="7"/>
  <c r="E195" i="7"/>
  <c r="E192" i="7"/>
  <c r="E187" i="7"/>
  <c r="E197" i="7"/>
  <c r="E189" i="7"/>
  <c r="E184" i="7"/>
  <c r="D218" i="14"/>
  <c r="D65" i="14"/>
  <c r="K61" i="11"/>
  <c r="E413" i="21"/>
  <c r="E45" i="11"/>
  <c r="E37" i="11"/>
  <c r="E32" i="11"/>
  <c r="E42" i="11"/>
  <c r="E34" i="11"/>
  <c r="E29" i="11"/>
  <c r="E39" i="11"/>
  <c r="E44" i="11"/>
  <c r="E36" i="11"/>
  <c r="E31" i="11"/>
  <c r="E41" i="11"/>
  <c r="E28" i="11"/>
  <c r="E38" i="11"/>
  <c r="E33" i="11"/>
  <c r="E43" i="11"/>
  <c r="E35" i="11"/>
  <c r="E30" i="11"/>
  <c r="E40" i="11"/>
  <c r="E423" i="19"/>
  <c r="H408" i="19" s="1"/>
  <c r="E20" i="11"/>
  <c r="E161" i="10"/>
  <c r="E166" i="10"/>
  <c r="E163" i="10"/>
  <c r="E158" i="10"/>
  <c r="E164" i="10"/>
  <c r="E159" i="10"/>
  <c r="E160" i="10"/>
  <c r="E162" i="10"/>
  <c r="E165" i="10"/>
  <c r="E157" i="10"/>
  <c r="E192" i="10"/>
  <c r="K181" i="10" s="1"/>
  <c r="D265" i="18"/>
  <c r="E916" i="18"/>
  <c r="H904" i="18" s="1"/>
  <c r="D281" i="17"/>
  <c r="K9" i="9"/>
  <c r="D748" i="14"/>
  <c r="E101" i="8"/>
  <c r="E46" i="8"/>
  <c r="K31" i="8" s="1"/>
  <c r="E74" i="7"/>
  <c r="E140" i="10"/>
  <c r="E135" i="10"/>
  <c r="E145" i="10"/>
  <c r="E137" i="10"/>
  <c r="E132" i="10"/>
  <c r="E142" i="10"/>
  <c r="E146" i="10"/>
  <c r="E138" i="10"/>
  <c r="E133" i="10"/>
  <c r="E143" i="10"/>
  <c r="E139" i="10"/>
  <c r="E147" i="10"/>
  <c r="E134" i="10"/>
  <c r="E141" i="10"/>
  <c r="E136" i="10"/>
  <c r="E144" i="10"/>
  <c r="E131" i="10"/>
  <c r="E118" i="10"/>
  <c r="E113" i="10"/>
  <c r="E115" i="10"/>
  <c r="E120" i="10"/>
  <c r="E116" i="10"/>
  <c r="E119" i="10"/>
  <c r="E114" i="10"/>
  <c r="E117" i="10"/>
  <c r="E112" i="10"/>
  <c r="E101" i="10"/>
  <c r="E98" i="10"/>
  <c r="E90" i="10"/>
  <c r="E85" i="10"/>
  <c r="E95" i="10"/>
  <c r="E92" i="10"/>
  <c r="E87" i="10"/>
  <c r="E100" i="10"/>
  <c r="E97" i="10"/>
  <c r="E89" i="10"/>
  <c r="E84" i="10"/>
  <c r="E94" i="10"/>
  <c r="E91" i="10"/>
  <c r="E86" i="10"/>
  <c r="E99" i="10"/>
  <c r="E96" i="10"/>
  <c r="E88" i="10"/>
  <c r="E93" i="10"/>
  <c r="E148" i="9"/>
  <c r="K135" i="9" s="1"/>
  <c r="E162" i="8"/>
  <c r="K155" i="8" s="1"/>
  <c r="E45" i="7"/>
  <c r="K30" i="7" s="1"/>
  <c r="E178" i="7"/>
  <c r="F165" i="21"/>
  <c r="H157" i="21" s="1"/>
  <c r="K157" i="21"/>
  <c r="K205" i="10"/>
  <c r="E91" i="9"/>
  <c r="E86" i="9"/>
  <c r="E99" i="9"/>
  <c r="E96" i="9"/>
  <c r="E88" i="9"/>
  <c r="E93" i="9"/>
  <c r="E101" i="9"/>
  <c r="E98" i="9"/>
  <c r="E90" i="9"/>
  <c r="E85" i="9"/>
  <c r="E95" i="9"/>
  <c r="E92" i="9"/>
  <c r="E87" i="9"/>
  <c r="E100" i="9"/>
  <c r="E97" i="9"/>
  <c r="E89" i="9"/>
  <c r="E84" i="9"/>
  <c r="E94" i="9"/>
  <c r="E825" i="17"/>
  <c r="D762" i="17"/>
  <c r="E541" i="17"/>
  <c r="H536" i="17" s="1"/>
  <c r="E74" i="9"/>
  <c r="E150" i="7"/>
  <c r="E145" i="7"/>
  <c r="E147" i="7"/>
  <c r="E152" i="7"/>
  <c r="E149" i="7"/>
  <c r="E144" i="7"/>
  <c r="E151" i="7"/>
  <c r="E146" i="7"/>
  <c r="E148" i="7"/>
  <c r="E143" i="7"/>
  <c r="E20" i="7"/>
  <c r="K9" i="7" s="1"/>
  <c r="K167" i="7"/>
  <c r="K756" i="21"/>
  <c r="E862" i="19"/>
  <c r="H851" i="19" s="1"/>
  <c r="E21" i="10"/>
  <c r="E460" i="19"/>
  <c r="H453" i="19" s="1"/>
  <c r="E234" i="10"/>
  <c r="E231" i="10"/>
  <c r="E226" i="10"/>
  <c r="E236" i="10"/>
  <c r="E228" i="10"/>
  <c r="E232" i="10"/>
  <c r="E227" i="10"/>
  <c r="E237" i="10"/>
  <c r="E229" i="10"/>
  <c r="E224" i="10"/>
  <c r="E235" i="10"/>
  <c r="E230" i="10"/>
  <c r="E225" i="10"/>
  <c r="E233" i="10"/>
  <c r="K512" i="19"/>
  <c r="H512" i="19"/>
  <c r="D765" i="18"/>
  <c r="E163" i="9"/>
  <c r="E158" i="9"/>
  <c r="E160" i="9"/>
  <c r="E165" i="9"/>
  <c r="E156" i="9"/>
  <c r="E159" i="9"/>
  <c r="E162" i="9"/>
  <c r="E161" i="9"/>
  <c r="E157" i="9"/>
  <c r="E164" i="9"/>
  <c r="D391" i="18"/>
  <c r="E215" i="10"/>
  <c r="E76" i="8"/>
  <c r="K57" i="8" s="1"/>
  <c r="K130" i="8"/>
  <c r="K55" i="7"/>
  <c r="E106" i="11"/>
  <c r="K93" i="11" s="1"/>
  <c r="E206" i="9"/>
  <c r="E203" i="9"/>
  <c r="E198" i="9"/>
  <c r="E208" i="9"/>
  <c r="E200" i="9"/>
  <c r="E205" i="9"/>
  <c r="E210" i="9"/>
  <c r="E204" i="9"/>
  <c r="E207" i="9"/>
  <c r="E196" i="9"/>
  <c r="E199" i="9"/>
  <c r="E202" i="9"/>
  <c r="E209" i="9"/>
  <c r="E201" i="9"/>
  <c r="E197" i="9"/>
  <c r="E821" i="21"/>
  <c r="H810" i="21" s="1"/>
  <c r="E233" i="11"/>
  <c r="E228" i="11"/>
  <c r="E238" i="11"/>
  <c r="E235" i="11"/>
  <c r="E230" i="11"/>
  <c r="E240" i="11"/>
  <c r="E232" i="11"/>
  <c r="E227" i="11"/>
  <c r="E237" i="11"/>
  <c r="E234" i="11"/>
  <c r="E229" i="11"/>
  <c r="E239" i="11"/>
  <c r="E231" i="11"/>
  <c r="E236" i="11"/>
  <c r="E122" i="11"/>
  <c r="E117" i="11"/>
  <c r="E119" i="11"/>
  <c r="E120" i="11"/>
  <c r="E115" i="11"/>
  <c r="E124" i="11" s="1"/>
  <c r="K119" i="11" s="1"/>
  <c r="E116" i="11"/>
  <c r="E123" i="11"/>
  <c r="E118" i="11"/>
  <c r="E121" i="11"/>
  <c r="E220" i="11"/>
  <c r="E212" i="11"/>
  <c r="E207" i="11"/>
  <c r="E217" i="11"/>
  <c r="E214" i="11"/>
  <c r="E209" i="11"/>
  <c r="E219" i="11"/>
  <c r="E211" i="11"/>
  <c r="E216" i="11"/>
  <c r="E213" i="11"/>
  <c r="E208" i="11"/>
  <c r="E218" i="11"/>
  <c r="E210" i="11"/>
  <c r="E215" i="11"/>
  <c r="E197" i="11"/>
  <c r="K189" i="11" s="1"/>
  <c r="E500" i="19"/>
  <c r="H493" i="19" s="1"/>
  <c r="E46" i="10"/>
  <c r="K31" i="10" s="1"/>
  <c r="D551" i="17"/>
  <c r="E391" i="18"/>
  <c r="H376" i="18" s="1"/>
  <c r="D144" i="18"/>
  <c r="E880" i="17"/>
  <c r="K86" i="8"/>
  <c r="E116" i="7"/>
  <c r="K110" i="7" s="1"/>
  <c r="E208" i="8" l="1"/>
  <c r="K196" i="8" s="1"/>
  <c r="E211" i="9"/>
  <c r="K199" i="9" s="1"/>
  <c r="E238" i="10"/>
  <c r="K227" i="10" s="1"/>
  <c r="E153" i="7"/>
  <c r="K146" i="7" s="1"/>
  <c r="E102" i="9"/>
  <c r="K87" i="9" s="1"/>
  <c r="E102" i="10"/>
  <c r="K87" i="10" s="1"/>
  <c r="E221" i="11"/>
  <c r="K210" i="11" s="1"/>
  <c r="E154" i="11"/>
  <c r="K142" i="11" s="1"/>
  <c r="E241" i="11"/>
  <c r="K230" i="11" s="1"/>
  <c r="E167" i="10"/>
  <c r="K159" i="10" s="1"/>
  <c r="E100" i="7"/>
  <c r="K84" i="7" s="1"/>
  <c r="K453" i="19"/>
  <c r="E166" i="9"/>
  <c r="K159" i="9" s="1"/>
  <c r="K376" i="18"/>
  <c r="E121" i="10"/>
  <c r="K114" i="10" s="1"/>
  <c r="E173" i="11"/>
  <c r="K165" i="11" s="1"/>
  <c r="E189" i="9"/>
  <c r="K178" i="9" s="1"/>
  <c r="E148" i="10"/>
  <c r="K135" i="10" s="1"/>
  <c r="E46" i="11"/>
  <c r="K33" i="11" s="1"/>
  <c r="E199" i="7"/>
  <c r="K187" i="7" s="1"/>
  <c r="E551" i="17"/>
</calcChain>
</file>

<file path=xl/sharedStrings.xml><?xml version="1.0" encoding="utf-8"?>
<sst xmlns="http://schemas.openxmlformats.org/spreadsheetml/2006/main" count="4125" uniqueCount="281">
  <si>
    <t>THOMAS MODEL EQUATION</t>
  </si>
  <si>
    <t>Q = 8 cm</t>
  </si>
  <si>
    <t>C0 = 100</t>
  </si>
  <si>
    <t>BH</t>
  </si>
  <si>
    <r>
      <rPr>
        <sz val="11"/>
        <color theme="1"/>
        <rFont val="Calibri"/>
        <charset val="134"/>
        <scheme val="minor"/>
      </rPr>
      <t>K</t>
    </r>
    <r>
      <rPr>
        <sz val="8"/>
        <color theme="1"/>
        <rFont val="Calibri"/>
        <charset val="134"/>
        <scheme val="minor"/>
      </rPr>
      <t>T</t>
    </r>
  </si>
  <si>
    <t>Ꚍ</t>
  </si>
  <si>
    <t>R2</t>
  </si>
  <si>
    <t xml:space="preserve">BH = 4 cm </t>
  </si>
  <si>
    <t>Q</t>
  </si>
  <si>
    <r>
      <rPr>
        <sz val="16"/>
        <color theme="1"/>
        <rFont val="Calibri"/>
        <charset val="134"/>
        <scheme val="minor"/>
      </rPr>
      <t>K</t>
    </r>
    <r>
      <rPr>
        <sz val="9"/>
        <color theme="1"/>
        <rFont val="Calibri"/>
        <charset val="134"/>
        <scheme val="minor"/>
      </rPr>
      <t>T</t>
    </r>
  </si>
  <si>
    <t>BH=4 cm</t>
  </si>
  <si>
    <t>Q= 8 mg/L</t>
  </si>
  <si>
    <t>C0</t>
  </si>
  <si>
    <t>YOON-NELSON  MODEL EQUATION</t>
  </si>
  <si>
    <t>Q= 8 mL/min  C0 =100mg/l</t>
  </si>
  <si>
    <t>Kyn</t>
  </si>
  <si>
    <t>BH= 4 cm,  Co = 100mg/l</t>
  </si>
  <si>
    <t>kyn</t>
  </si>
  <si>
    <t>BH=4 cm, Q = 8 ml/min</t>
  </si>
  <si>
    <t>DOSE-RESPONSE MODEL EQUATION</t>
  </si>
  <si>
    <t xml:space="preserve">BH </t>
  </si>
  <si>
    <t>α</t>
  </si>
  <si>
    <t>q0 or No</t>
  </si>
  <si>
    <t>pollutant</t>
  </si>
  <si>
    <t>sorbent</t>
  </si>
  <si>
    <t>bed hieght</t>
  </si>
  <si>
    <r>
      <rPr>
        <sz val="11"/>
        <color theme="1"/>
        <rFont val="Calibri"/>
        <charset val="134"/>
        <scheme val="minor"/>
      </rPr>
      <t>C</t>
    </r>
    <r>
      <rPr>
        <sz val="8"/>
        <color theme="1"/>
        <rFont val="Calibri"/>
        <charset val="134"/>
        <scheme val="minor"/>
      </rPr>
      <t>0 (mg/L)</t>
    </r>
  </si>
  <si>
    <r>
      <rPr>
        <sz val="11"/>
        <color theme="1"/>
        <rFont val="Calibri"/>
        <charset val="134"/>
        <scheme val="minor"/>
      </rPr>
      <t>C</t>
    </r>
    <r>
      <rPr>
        <sz val="8"/>
        <color theme="1"/>
        <rFont val="Calibri"/>
        <charset val="134"/>
        <scheme val="minor"/>
      </rPr>
      <t>t (mg/L)</t>
    </r>
  </si>
  <si>
    <t>bed mass</t>
  </si>
  <si>
    <t>t (min)</t>
  </si>
  <si>
    <t>pH</t>
  </si>
  <si>
    <r>
      <rPr>
        <sz val="11"/>
        <color theme="1"/>
        <rFont val="Calibri"/>
        <charset val="134"/>
        <scheme val="minor"/>
      </rPr>
      <t>V</t>
    </r>
    <r>
      <rPr>
        <sz val="8"/>
        <color theme="1"/>
        <rFont val="Calibri"/>
        <charset val="134"/>
        <scheme val="minor"/>
      </rPr>
      <t>eff</t>
    </r>
  </si>
  <si>
    <r>
      <rPr>
        <sz val="11"/>
        <color theme="1"/>
        <rFont val="Calibri"/>
        <charset val="134"/>
        <scheme val="minor"/>
      </rPr>
      <t>C</t>
    </r>
    <r>
      <rPr>
        <sz val="8"/>
        <color theme="1"/>
        <rFont val="Calibri"/>
        <charset val="134"/>
        <scheme val="minor"/>
      </rPr>
      <t>t</t>
    </r>
    <r>
      <rPr>
        <sz val="11"/>
        <color theme="1"/>
        <rFont val="Calibri"/>
        <charset val="134"/>
        <scheme val="minor"/>
      </rPr>
      <t>/ C</t>
    </r>
    <r>
      <rPr>
        <sz val="8"/>
        <color theme="1"/>
        <rFont val="Calibri"/>
        <charset val="134"/>
        <scheme val="minor"/>
      </rPr>
      <t>0</t>
    </r>
  </si>
  <si>
    <t>Q  (ml/min)</t>
  </si>
  <si>
    <r>
      <rPr>
        <sz val="11"/>
        <color theme="1"/>
        <rFont val="Calibri"/>
        <charset val="134"/>
        <scheme val="minor"/>
      </rPr>
      <t>C</t>
    </r>
    <r>
      <rPr>
        <sz val="8"/>
        <color theme="1"/>
        <rFont val="Calibri"/>
        <charset val="134"/>
        <scheme val="minor"/>
      </rPr>
      <t>R</t>
    </r>
  </si>
  <si>
    <r>
      <rPr>
        <sz val="11"/>
        <color theme="1"/>
        <rFont val="Calibri"/>
        <charset val="134"/>
        <scheme val="minor"/>
      </rPr>
      <t>Cd</t>
    </r>
    <r>
      <rPr>
        <sz val="9"/>
        <color theme="1"/>
        <rFont val="Calibri"/>
        <charset val="134"/>
        <scheme val="minor"/>
      </rPr>
      <t>2+</t>
    </r>
  </si>
  <si>
    <t>NCF</t>
  </si>
  <si>
    <t>Ni2+</t>
  </si>
  <si>
    <t>Pb2+</t>
  </si>
  <si>
    <t>Cr2+</t>
  </si>
  <si>
    <t>Effect of bed height variations on Co(II) ions adsorption by the synthesized nanocellulosic adsorbents</t>
  </si>
  <si>
    <t>BH=12 cm</t>
  </si>
  <si>
    <t>BH=8 cm</t>
  </si>
  <si>
    <t>qexp</t>
  </si>
  <si>
    <t>AUC</t>
  </si>
  <si>
    <t xml:space="preserve">AOC=70.845; qt=0.5668; </t>
  </si>
  <si>
    <t>qe=0.14169; mt=1.552; R=36.52%</t>
  </si>
  <si>
    <t>AOC=155.98, qt=1.248</t>
  </si>
  <si>
    <t>qe=0.1560; mt=2.328</t>
  </si>
  <si>
    <t>R=53.61%</t>
  </si>
  <si>
    <t>AOC=258.9, qt=2.0712, qe=0.2589,</t>
  </si>
  <si>
    <t xml:space="preserve">mt=2.949; R=70.23% </t>
  </si>
  <si>
    <t>Effect of different flow rates on Co(II) ion adsorption</t>
  </si>
  <si>
    <t>fr4ml/min</t>
  </si>
  <si>
    <t>fr8ml/min</t>
  </si>
  <si>
    <t>fr12ml/min</t>
  </si>
  <si>
    <t>AOC=28.905; qt=0.3467; qe=0.0872</t>
  </si>
  <si>
    <t>mt=1.397; R=28.84%</t>
  </si>
  <si>
    <t>qe=0.14169; mt=1.552;</t>
  </si>
  <si>
    <t xml:space="preserve"> R=36.52%</t>
  </si>
  <si>
    <t xml:space="preserve">AOC=190.875; qt=0.7635; qe=0.1909; </t>
  </si>
  <si>
    <t>mt=1.3192; R=58%</t>
  </si>
  <si>
    <t>Effect of different initial concentrations for Co(II) ion adsorption</t>
  </si>
  <si>
    <t>BH=4g</t>
  </si>
  <si>
    <t>50mg/l</t>
  </si>
  <si>
    <t>100mg/l</t>
  </si>
  <si>
    <t xml:space="preserve">  150mg/l</t>
  </si>
  <si>
    <t>AOC=21.425; qt=0.1714; qe=0.0426</t>
  </si>
  <si>
    <t>mt=0.988; R=17.34</t>
  </si>
  <si>
    <t>AOC=159.475; qt=1.2758; qe=0.3190;</t>
  </si>
  <si>
    <t>mt=2.2792; R=56%</t>
  </si>
  <si>
    <t>Effect of magnetically modified nanocellulosic  adsorbents (MNFC and MF-MNFC) on Ni(II) adsorption</t>
  </si>
  <si>
    <t>MF-MNFC</t>
  </si>
  <si>
    <t>C-MNFC</t>
  </si>
  <si>
    <t>C-NFC</t>
  </si>
  <si>
    <t>MF-NFC</t>
  </si>
  <si>
    <t>qt=0.4764; qe=0.1191</t>
  </si>
  <si>
    <t>R=31.16%</t>
  </si>
  <si>
    <t>mt=1.5288</t>
  </si>
  <si>
    <t>mt=1.397; R=24.82%</t>
  </si>
  <si>
    <t xml:space="preserve">AOC=119.1; </t>
  </si>
  <si>
    <t>AOC=59.16</t>
  </si>
  <si>
    <t>qt=0.71, qe=0.1775, mt= 1.746, R=41%</t>
  </si>
  <si>
    <t xml:space="preserve">qt= 1.43, qe=0.3573, </t>
  </si>
  <si>
    <t>mt=2.1534; R= 66.41%</t>
  </si>
  <si>
    <t>Summary of fixed bed adsorption parameters for Co(II) ion removal  by raw NFC, MNFC and MF/MNFC @ different operating conditions</t>
  </si>
  <si>
    <t>Adsorbent type</t>
  </si>
  <si>
    <t>m (g)</t>
  </si>
  <si>
    <t>H (cm)</t>
  </si>
  <si>
    <r>
      <rPr>
        <sz val="11"/>
        <color theme="1"/>
        <rFont val="Calibri"/>
        <charset val="134"/>
        <scheme val="minor"/>
      </rPr>
      <t>Q</t>
    </r>
    <r>
      <rPr>
        <sz val="8"/>
        <color theme="1"/>
        <rFont val="Calibri"/>
        <charset val="134"/>
        <scheme val="minor"/>
      </rPr>
      <t xml:space="preserve"> (ml/min)</t>
    </r>
  </si>
  <si>
    <t>C0 (mg/L)</t>
  </si>
  <si>
    <t>tb (min)</t>
  </si>
  <si>
    <t>te  (min)</t>
  </si>
  <si>
    <r>
      <rPr>
        <sz val="11"/>
        <color theme="1"/>
        <rFont val="Calibri"/>
        <charset val="134"/>
        <scheme val="minor"/>
      </rPr>
      <t>q</t>
    </r>
    <r>
      <rPr>
        <sz val="8"/>
        <color theme="1"/>
        <rFont val="Calibri"/>
        <charset val="134"/>
        <scheme val="minor"/>
      </rPr>
      <t>total</t>
    </r>
    <r>
      <rPr>
        <sz val="11"/>
        <color theme="1"/>
        <rFont val="Calibri"/>
        <charset val="134"/>
        <scheme val="minor"/>
      </rPr>
      <t xml:space="preserve">(mg) </t>
    </r>
  </si>
  <si>
    <r>
      <rPr>
        <sz val="11"/>
        <color theme="1"/>
        <rFont val="Calibri"/>
        <charset val="134"/>
        <scheme val="minor"/>
      </rPr>
      <t>q</t>
    </r>
    <r>
      <rPr>
        <sz val="8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>(mg/g)</t>
    </r>
  </si>
  <si>
    <r>
      <rPr>
        <sz val="11"/>
        <color theme="1"/>
        <rFont val="Calibri"/>
        <charset val="134"/>
        <scheme val="minor"/>
      </rPr>
      <t>m</t>
    </r>
    <r>
      <rPr>
        <sz val="8"/>
        <color theme="1"/>
        <rFont val="Calibri"/>
        <charset val="134"/>
        <scheme val="minor"/>
      </rPr>
      <t>total</t>
    </r>
    <r>
      <rPr>
        <sz val="11"/>
        <color theme="1"/>
        <rFont val="Calibri"/>
        <charset val="134"/>
        <scheme val="minor"/>
      </rPr>
      <t xml:space="preserve"> (mg)</t>
    </r>
  </si>
  <si>
    <t>%R (mass%)</t>
  </si>
  <si>
    <t>CMNFC</t>
  </si>
  <si>
    <t>THOMAS MODEL PARAMETERS FOR Co(II) ION ADSORPTION AT DIFFERENT BED HEIGHTS</t>
  </si>
  <si>
    <t>qcalc</t>
  </si>
  <si>
    <t>SSE</t>
  </si>
  <si>
    <t>SSEA</t>
  </si>
  <si>
    <t>KTH</t>
  </si>
  <si>
    <t>q0</t>
  </si>
  <si>
    <t>R^2</t>
  </si>
  <si>
    <t>m</t>
  </si>
  <si>
    <t>n</t>
  </si>
  <si>
    <t>p</t>
  </si>
  <si>
    <t>THOMAS MODEL PARAMETERS FOR Co(II) ADSORPTION AT DIFFERENT FLOW RATES</t>
  </si>
  <si>
    <t>Sum of the Squares of the Errors (ERRSQ /SSE)</t>
  </si>
  <si>
    <t>THOMAS MODEL PARAMETERS FOR Co(II) ADSORPTION WITH MODIFIED NANOCELLULOSE ADSORBENTS</t>
  </si>
  <si>
    <t>MNFC</t>
  </si>
  <si>
    <t xml:space="preserve">qcalc </t>
  </si>
  <si>
    <t xml:space="preserve">n </t>
  </si>
  <si>
    <t>C-MNFC   AND   MF-MNFC</t>
  </si>
  <si>
    <t xml:space="preserve">BH = 4 cm, C0 = 100mg/L,  Flow rate = 12 mL/min </t>
  </si>
  <si>
    <t>BH = 4 cm, C0 =100mg/L, Flow rate = 12 mL/min</t>
  </si>
  <si>
    <t>ERROR FUNCTIONS</t>
  </si>
  <si>
    <t>Marquardt’s Percent Standard Deviation (MPSD)</t>
  </si>
  <si>
    <t>qex-qca/qex</t>
  </si>
  <si>
    <t>error</t>
  </si>
  <si>
    <t>MPSD</t>
  </si>
  <si>
    <t>The Sum of Absolute Errors (SAE)</t>
  </si>
  <si>
    <t>abs(qex-qca)</t>
  </si>
  <si>
    <t>SAE (ObF</t>
  </si>
  <si>
    <t>Hybrid Fractional Error Function (HYBRID)</t>
  </si>
  <si>
    <t>HYBDRID</t>
  </si>
  <si>
    <t>Average Relative Error (ARE)</t>
  </si>
  <si>
    <t>errors</t>
  </si>
  <si>
    <t>ARE</t>
  </si>
  <si>
    <t>BH=8g</t>
  </si>
  <si>
    <t>abs-errors</t>
  </si>
  <si>
    <t>SAE</t>
  </si>
  <si>
    <t xml:space="preserve">Hybrid Fractional Error Function (HYBRID) </t>
  </si>
  <si>
    <t>HYBRID</t>
  </si>
  <si>
    <t>FLOW RATES</t>
  </si>
  <si>
    <t xml:space="preserve"> </t>
  </si>
  <si>
    <t>qex-qca</t>
  </si>
  <si>
    <r>
      <rPr>
        <b/>
        <sz val="12"/>
        <color theme="1"/>
        <rFont val="Calibri"/>
        <charset val="134"/>
        <scheme val="minor"/>
      </rPr>
      <t>Hybrid Fractional Error Function (HYBRID</t>
    </r>
    <r>
      <rPr>
        <sz val="11"/>
        <color theme="1"/>
        <rFont val="Calibri"/>
        <charset val="134"/>
        <scheme val="minor"/>
      </rPr>
      <t xml:space="preserve">) </t>
    </r>
  </si>
  <si>
    <t>err0r</t>
  </si>
  <si>
    <t>flow rate = 12ml/l</t>
  </si>
  <si>
    <r>
      <rPr>
        <b/>
        <sz val="12.55"/>
        <color rgb="FF231F20"/>
        <rFont val="Times#20New#20Roman"/>
        <charset val="134"/>
      </rPr>
      <t xml:space="preserve">Marquardt’s Percent </t>
    </r>
    <r>
      <rPr>
        <b/>
        <sz val="12.55"/>
        <color rgb="FF231F20"/>
        <rFont val="TimesNewRomanPS-BoldMT"/>
        <charset val="134"/>
      </rPr>
      <t>Standard Deviation (MPSD)</t>
    </r>
  </si>
  <si>
    <t>The sum of the squares of the errors (SSE)</t>
  </si>
  <si>
    <r>
      <rPr>
        <b/>
        <sz val="12"/>
        <color theme="1"/>
        <rFont val="Calibri"/>
        <charset val="134"/>
        <scheme val="minor"/>
      </rPr>
      <t>Sum of Absolute Errors (EABS/SAE)</t>
    </r>
    <r>
      <rPr>
        <sz val="11"/>
        <color theme="1"/>
        <rFont val="Calibri"/>
        <charset val="134"/>
        <scheme val="minor"/>
      </rPr>
      <t xml:space="preserve"> </t>
    </r>
  </si>
  <si>
    <t>Sum of Absolute Errors (EABS/SAE)</t>
  </si>
  <si>
    <r>
      <rPr>
        <b/>
        <sz val="12.55"/>
        <color rgb="FF231F20"/>
        <rFont val="Times#20New#20Roman"/>
        <charset val="134"/>
      </rPr>
      <t xml:space="preserve">Marquardt’s Percent </t>
    </r>
    <r>
      <rPr>
        <b/>
        <sz val="12.55"/>
        <color rgb="FF231F20"/>
        <rFont val="TimesNewRomanPS-BoldMT"/>
        <charset val="134"/>
      </rPr>
      <t xml:space="preserve">Standard Deviation (MPSD) </t>
    </r>
  </si>
  <si>
    <r>
      <rPr>
        <b/>
        <sz val="12.55"/>
        <color rgb="FF231F20"/>
        <rFont val="TimesNewRomanPS-BoldMT"/>
        <charset val="134"/>
      </rPr>
      <t>Sum of Absolute Errors (EABS/SAE)</t>
    </r>
    <r>
      <rPr>
        <sz val="12.55"/>
        <color rgb="FF231F20"/>
        <rFont val="TimesNewRomanPSMT"/>
        <charset val="134"/>
      </rPr>
      <t xml:space="preserve"> </t>
    </r>
  </si>
  <si>
    <t>qex-qac/qex</t>
  </si>
  <si>
    <t>SSE          =</t>
  </si>
  <si>
    <t>SUM         =</t>
  </si>
  <si>
    <t xml:space="preserve">SUM  ERR </t>
  </si>
  <si>
    <t xml:space="preserve">Summary of Thomas parameters for Co (II)  ion adsorption </t>
  </si>
  <si>
    <t xml:space="preserve"> at Bed height  of 4 cm.</t>
  </si>
  <si>
    <t>Error function</t>
  </si>
  <si>
    <r>
      <rPr>
        <sz val="12"/>
        <color theme="1"/>
        <rFont val="Times New Roman"/>
        <charset val="134"/>
      </rPr>
      <t>K</t>
    </r>
    <r>
      <rPr>
        <vertAlign val="subscript"/>
        <sz val="12"/>
        <color theme="1"/>
        <rFont val="Times New Roman"/>
        <charset val="134"/>
      </rPr>
      <t>TH</t>
    </r>
    <r>
      <rPr>
        <sz val="12"/>
        <color theme="1"/>
        <rFont val="Times New Roman"/>
        <charset val="134"/>
      </rPr>
      <t>(L/(mg.min)*10-3</t>
    </r>
  </si>
  <si>
    <t>N0 (mg/L)</t>
  </si>
  <si>
    <t>Objective function</t>
  </si>
  <si>
    <t>HYB</t>
  </si>
  <si>
    <t>at bed height of 8 cm</t>
  </si>
  <si>
    <t>R2/12cm</t>
  </si>
  <si>
    <t>at flow rate of 4 mL/min</t>
  </si>
  <si>
    <t>at flow rate of 12 mL/min</t>
  </si>
  <si>
    <t>at 50 mg/L initial concentration</t>
  </si>
  <si>
    <t>at 150 mg/L initial concentration</t>
  </si>
  <si>
    <t>For C-MNFC adsorbent [ 4 cm, 12 mL/min, 100mg/L]</t>
  </si>
  <si>
    <t>R</t>
  </si>
  <si>
    <t>for MF-MNFC adsorbent [4 cm, 12 mL/min, 100mg/L]</t>
  </si>
  <si>
    <t>YOON NELSON KINETIC MODEL PARAMETERs FOR Co(II) ION ADSORPTION AT DIFFERENT BED-HEIGHTS</t>
  </si>
  <si>
    <t>KYN</t>
  </si>
  <si>
    <t>τ</t>
  </si>
  <si>
    <t>τττττ</t>
  </si>
  <si>
    <t>BH=12g</t>
  </si>
  <si>
    <t>YOON NELSON KINETIC MODEL PARAMETER FOR Co(II) ION ADSORPTION AT DIFFERENT FLOW RATES</t>
  </si>
  <si>
    <t>YOON NELSON KINETIC MODEL PARAMETERS FOR  Co(II) ION ADSORPTION AT DIFFERENT INITIAL SOLUTE CONCENTRATION</t>
  </si>
  <si>
    <t xml:space="preserve">YOON-NELSON MODEL PARAMETERS FOR Co(II) ION ADSORPTION FOR THE MODIFIED NANOCELLULOSIC ADSORBENTS </t>
  </si>
  <si>
    <t>MF+MNFC</t>
  </si>
  <si>
    <t>YOON-NELSON  ERROR FUNCTIONS</t>
  </si>
  <si>
    <t xml:space="preserve">Sum of the Squares of the Errors (ERRSQ /SSE) </t>
  </si>
  <si>
    <t>SUM</t>
  </si>
  <si>
    <t>qex-qeca/qex</t>
  </si>
  <si>
    <t>SUM  ERR=</t>
  </si>
  <si>
    <t>AVERAGE RELATIVE ERROR</t>
  </si>
  <si>
    <t>qex-qcal/qex</t>
  </si>
  <si>
    <t>SUM ERR=</t>
  </si>
  <si>
    <r>
      <rPr>
        <b/>
        <sz val="12.55"/>
        <color rgb="FF231F20"/>
        <rFont val="TimesNewRomanPS-BoldMT"/>
        <charset val="134"/>
      </rPr>
      <t>Sum of Absolute Errors (EABS/SAE)</t>
    </r>
    <r>
      <rPr>
        <b/>
        <sz val="12.55"/>
        <color rgb="FF231F20"/>
        <rFont val="TimesNewRomanPSMT"/>
        <charset val="134"/>
      </rPr>
      <t xml:space="preserve"> </t>
    </r>
  </si>
  <si>
    <t>HYBID</t>
  </si>
  <si>
    <t>SUM ERR =</t>
  </si>
  <si>
    <t>SUM ERROR=</t>
  </si>
  <si>
    <t>SSE             =</t>
  </si>
  <si>
    <t>-</t>
  </si>
  <si>
    <r>
      <rPr>
        <b/>
        <sz val="12.55"/>
        <color rgb="FF231F20"/>
        <rFont val="Times#20New#20Roman"/>
        <charset val="134"/>
      </rPr>
      <t xml:space="preserve">Marquardt’s Percent </t>
    </r>
    <r>
      <rPr>
        <b/>
        <sz val="12.55"/>
        <color rgb="FF231F20"/>
        <rFont val="TimesNewRomanPS-BoldMT"/>
        <charset val="134"/>
      </rPr>
      <t>Standard Deviation (MPSD)</t>
    </r>
    <r>
      <rPr>
        <sz val="12.55"/>
        <color rgb="FF231F20"/>
        <rFont val="TimesNewRomanPS-BoldMT"/>
        <charset val="134"/>
      </rPr>
      <t xml:space="preserve"> </t>
    </r>
  </si>
  <si>
    <r>
      <rPr>
        <b/>
        <sz val="12.55"/>
        <color rgb="FF231F20"/>
        <rFont val="Times#20New#20Roman"/>
        <charset val="134"/>
      </rPr>
      <t xml:space="preserve">Marquardt’s Percent </t>
    </r>
    <r>
      <rPr>
        <b/>
        <sz val="12.55"/>
        <color rgb="FF231F20"/>
        <rFont val="TimesNewRomanPS-BoldMT"/>
        <charset val="134"/>
      </rPr>
      <t>Standard Deviation (MPSD</t>
    </r>
    <r>
      <rPr>
        <sz val="12.55"/>
        <color rgb="FF231F20"/>
        <rFont val="TimesNewRomanPS-BoldMT"/>
        <charset val="134"/>
      </rPr>
      <t xml:space="preserve">) </t>
    </r>
  </si>
  <si>
    <t>MNFC   AND  MF-MNFC</t>
  </si>
  <si>
    <t>qex-qex</t>
  </si>
  <si>
    <t xml:space="preserve">Summary of Yoo-Nelson model parameters for Co (II)  ion adsorption </t>
  </si>
  <si>
    <t>Error Function</t>
  </si>
  <si>
    <t>KYN(L/min)</t>
  </si>
  <si>
    <t>τ (min)</t>
  </si>
  <si>
    <t xml:space="preserve"> at Bed height  of 8 cm.</t>
  </si>
  <si>
    <t xml:space="preserve"> at Bed height  of 12 cm.</t>
  </si>
  <si>
    <t>at the flow rate of 4 mL/min</t>
  </si>
  <si>
    <t>at the flow rate of 12 mL/min</t>
  </si>
  <si>
    <t>at the initial adsobate concentration of 50mg/L</t>
  </si>
  <si>
    <t>at the initial adsobate concentration of 150mg/L</t>
  </si>
  <si>
    <t>Yoon-Nelson Parameters for C-MNFC adsorbent [ 4 cm, 12 mL/min, 100mg/L]</t>
  </si>
  <si>
    <t>Yoon-Nelson Parameters for MF-MNFC adsorbent [ 4 cm, 12 mL/min, 100mg/L]</t>
  </si>
  <si>
    <t>WOLBORSKA KINETIC MODEL PARAMETERS FOR Co(II) ION ADSORPTION AT DIFFERENT BED-HEIGHTS</t>
  </si>
  <si>
    <t>β</t>
  </si>
  <si>
    <t>N0</t>
  </si>
  <si>
    <t>H</t>
  </si>
  <si>
    <t>ν</t>
  </si>
  <si>
    <t>βββββ</t>
  </si>
  <si>
    <t>ννννν</t>
  </si>
  <si>
    <t xml:space="preserve">WOLBORSKA MODEL PARAMETERS FOR C0(II) ION ADSORPTION AT DIFFERENT FLOW RATES </t>
  </si>
  <si>
    <t>WOLBORSKA PARAMETERS FOR Co(II) ION ADSORPTION AT DIFFERENT INITIAL SOLUTE CONCENTRATIONS</t>
  </si>
  <si>
    <t>WOLBORSKA MODEL PARAMETERS FOR MODIFIED NANOCELLULOSE ADSORBENTS IN Co(II) ADSORPTION</t>
  </si>
  <si>
    <t>WOLBOSKA ERROR FUNCTIONS</t>
  </si>
  <si>
    <t xml:space="preserve"> Sum of the Squares of the Errors (ERRSQ /SSE)</t>
  </si>
  <si>
    <t>BED-HIEIGHTS</t>
  </si>
  <si>
    <t>)</t>
  </si>
  <si>
    <t>qex-qca/qca</t>
  </si>
  <si>
    <t>FOR THE MODIFIED NANOCELLULOSE ADSORBENTS</t>
  </si>
  <si>
    <t>Summary of Wolborska model parameters for Co(II) ion adsorption</t>
  </si>
  <si>
    <t>Wolborska parameters at BH=4cm</t>
  </si>
  <si>
    <t xml:space="preserve">Error Function </t>
  </si>
  <si>
    <t>β (min-1)</t>
  </si>
  <si>
    <t>Wolborska parameters at BH= 8 cm</t>
  </si>
  <si>
    <t>Wolborska parameters a BH= 12 cm</t>
  </si>
  <si>
    <t>Wolborska parameters at flow rate of 4 mL/min</t>
  </si>
  <si>
    <t>Wolborska parameters at flow rate of 12 mL/min</t>
  </si>
  <si>
    <t>Wolborska parameters at initial concentration of 50 mg/L</t>
  </si>
  <si>
    <t>Wolborska parameters at initial concentration of 150 mg/L</t>
  </si>
  <si>
    <t xml:space="preserve">Wolborska parameters for C-MNFC </t>
  </si>
  <si>
    <t>[ at 4 cm, 12 mL/min and 100 mg/L]</t>
  </si>
  <si>
    <t xml:space="preserve">Wolborska parameters for MF-MNFC </t>
  </si>
  <si>
    <t>BOHART-ADAMS  PARAMETERS  FOR Co(II) ION BASED ON ADSORPTION BED HEIGHT VARIATIONS</t>
  </si>
  <si>
    <t>KBA</t>
  </si>
  <si>
    <t>BOHART-ADAMS KINETIC MODEL PARAMETERS FOR Co(II) ION ADSORPTION BASED ON FLOW RATE VARIATIONS</t>
  </si>
  <si>
    <t>BOHART-ADAMS KINETIC PARAMETERS FOR Co(II) BASED ON INITIAL SOLUTE CONCENTRATION VARIATIONS</t>
  </si>
  <si>
    <t>BOHART-ADAMS KINETIC PARAMETERS Pb(II) ION ADSORPTION  USING MNFC</t>
  </si>
  <si>
    <r>
      <rPr>
        <b/>
        <sz val="12.55"/>
        <color rgb="FF231F20"/>
        <rFont val="TimesNewRomanPS-BoldMT"/>
        <charset val="134"/>
      </rPr>
      <t>Sum of the Squares of the Errors (ERRSQ /SSE)</t>
    </r>
    <r>
      <rPr>
        <sz val="12.55"/>
        <color rgb="FF231F20"/>
        <rFont val="TimesNewRomanPS-BoldMT"/>
        <charset val="134"/>
      </rPr>
      <t xml:space="preserve"> </t>
    </r>
  </si>
  <si>
    <t>check Turkey ournal</t>
  </si>
  <si>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Hybrid Fractional Error Function (HYBRID)</t>
    </r>
  </si>
  <si>
    <t>qex-qcq/qex</t>
  </si>
  <si>
    <t xml:space="preserve">Summary of Bohart-Adams model parameters for Co (II)  ion adsorption </t>
  </si>
  <si>
    <t xml:space="preserve"> Bohart-Adams parameter at Bed height  of 4 cm.</t>
  </si>
  <si>
    <t>KBA(L/(mg.min x 10-3)</t>
  </si>
  <si>
    <t xml:space="preserve"> Bohart-Adams parameter at Bed height  of 8 cm.</t>
  </si>
  <si>
    <t xml:space="preserve"> Bohart-Adams parameter at Bed height  of 12 cm.</t>
  </si>
  <si>
    <t xml:space="preserve"> Bohart-Adams parameter at flow rate of 4 mL/min</t>
  </si>
  <si>
    <t>9.13E - 05</t>
  </si>
  <si>
    <t xml:space="preserve"> Bohart-Adams parameter at flow rate of 12 mL/min</t>
  </si>
  <si>
    <t>Bohart-Adams parameter at 50mg/L initial adsorbent concentration</t>
  </si>
  <si>
    <t xml:space="preserve">for   </t>
  </si>
  <si>
    <t>Bohart-Adams parameter at 150mg/L initial adsorbent concentration</t>
  </si>
  <si>
    <t>Bohart-Adams parameter for C-MNFC</t>
  </si>
  <si>
    <t>Bohart-Adams parameter for MF-MNFC</t>
  </si>
  <si>
    <t>NFC</t>
  </si>
  <si>
    <t>DOSE-RESPONSE MODEL  PARAMETERS  FOR Co(II) ION BASED ON ADSORPTION BED HEIGHT VARIATIONS</t>
  </si>
  <si>
    <t xml:space="preserve"> DOSE-RESPONSE MODEL PARAMETERS FOR C0(II) ION ADSORPTION AT DIFFERENT FLOW RATES </t>
  </si>
  <si>
    <t>DOSE-RESPONSE KINETIC MODEL PARAMETERS FOR VARIOUS INITIAL SOLUTE CONCENTRATIONS</t>
  </si>
  <si>
    <t>DOSE-RESPONSE MODEL PARAMETERS FOR Co(II) ADSORPTION WITH MODIFIED NANOADSORBENT TYPES</t>
  </si>
  <si>
    <t>DOSE-RESPONSE MODEL ERRORS</t>
  </si>
  <si>
    <r>
      <rPr>
        <sz val="12.55"/>
        <color rgb="FF231F20"/>
        <rFont val="Times#20New#20Roman"/>
        <charset val="134"/>
      </rPr>
      <t xml:space="preserve">Marquardt’s Percent </t>
    </r>
    <r>
      <rPr>
        <sz val="12.55"/>
        <color rgb="FF231F20"/>
        <rFont val="TimesNewRomanPS-BoldMT"/>
        <charset val="134"/>
      </rPr>
      <t xml:space="preserve">Standard Deviation (MPSD) </t>
    </r>
  </si>
  <si>
    <r>
      <rPr>
        <sz val="12.55"/>
        <color rgb="FF231F20"/>
        <rFont val="TimesNewRomanPS-BoldMT"/>
        <charset val="134"/>
      </rPr>
      <t>Sum of Absolute Errors (EABS/SAE)</t>
    </r>
    <r>
      <rPr>
        <sz val="12.55"/>
        <color rgb="FF231F20"/>
        <rFont val="TimesNewRomanPSMT"/>
        <charset val="134"/>
      </rPr>
      <t xml:space="preserve"> </t>
    </r>
  </si>
  <si>
    <r>
      <rPr>
        <sz val="11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Sum of the Squares of the Errors (ERRSQ /SSE)</t>
    </r>
  </si>
  <si>
    <t>Sqex-qca/qexA</t>
  </si>
  <si>
    <r>
      <rPr>
        <sz val="12.55"/>
        <color rgb="FF231F20"/>
        <rFont val="Times#20New#20Roman"/>
        <charset val="134"/>
      </rPr>
      <t xml:space="preserve">Marquardt’s Percent </t>
    </r>
    <r>
      <rPr>
        <sz val="12.55"/>
        <color rgb="FF231F20"/>
        <rFont val="TimesNewRomanPS-BoldMT"/>
        <charset val="134"/>
      </rPr>
      <t>Standard Deviation (MPSD)</t>
    </r>
  </si>
  <si>
    <t xml:space="preserve">Sum of Absolute Errors (EABS/SAE) </t>
  </si>
  <si>
    <t xml:space="preserve">Summary of Dose-Response model parameters for Co (II)  ion adsorption </t>
  </si>
  <si>
    <t>Dose-Response parameter at Bed height  of 4 cm.</t>
  </si>
  <si>
    <t>N0 (mg/g)</t>
  </si>
  <si>
    <t>Dose-Response parameter at Bed height  of 8 cm.</t>
  </si>
  <si>
    <t>Dose-Response parameter at Bed height  of 12 cm.</t>
  </si>
  <si>
    <t>Dose-Response parameter for flow rate  of  4mL/min</t>
  </si>
  <si>
    <t>Dose-Response parameter for flow rate  of  12 mL/min</t>
  </si>
  <si>
    <t>Dose-Response parameter at 50 mg/L initial concentration</t>
  </si>
  <si>
    <t>Dose-Response parameter at 150 mg/L initial concentration</t>
  </si>
  <si>
    <t>Dose-Response parameter for C-MNFC</t>
  </si>
  <si>
    <t>Dose-Response parameter for MF-MNFC</t>
  </si>
  <si>
    <r>
      <t>K</t>
    </r>
    <r>
      <rPr>
        <vertAlign val="subscript"/>
        <sz val="12"/>
        <color theme="1"/>
        <rFont val="Times New Roman"/>
        <charset val="134"/>
      </rPr>
      <t>TH</t>
    </r>
    <r>
      <rPr>
        <sz val="12"/>
        <color theme="1"/>
        <rFont val="Times New Roman"/>
        <charset val="134"/>
      </rPr>
      <t>(L/(mg.min)*10-3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</si>
</sst>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charset val="134"/>
      <scheme val="minor"/>
    </font>
    <font>
      <b/>
      <sz val="12.55"/>
      <color rgb="FF231F20"/>
      <name val="TimesNewRomanPS-BoldMT"/>
      <charset val="134"/>
    </font>
    <font>
      <sz val="12.55"/>
      <color rgb="FF231F20"/>
      <name val="TimesNewRomanPS-BoldMT"/>
      <charset val="134"/>
    </font>
    <font>
      <sz val="12.55"/>
      <color rgb="FF231F20"/>
      <name val="Times#20New#20Roman"/>
      <charset val="134"/>
    </font>
    <font>
      <sz val="12"/>
      <color theme="1"/>
      <name val="Times New Roman"/>
      <charset val="134"/>
    </font>
    <font>
      <b/>
      <sz val="12.55"/>
      <color rgb="FF231F20"/>
      <name val="Times#20New#20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.55"/>
      <color rgb="FF231F20"/>
      <name val="TimesNewRomanPSMT"/>
      <charset val="134"/>
    </font>
    <font>
      <b/>
      <sz val="12.55"/>
      <color rgb="FF231F20"/>
      <name val="TimesNewRomanPSMT"/>
      <charset val="134"/>
    </font>
    <font>
      <vertAlign val="subscript"/>
      <sz val="12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9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6" fillId="0" borderId="0" xfId="0" applyFont="1"/>
    <xf numFmtId="3" fontId="4" fillId="0" borderId="0" xfId="0" applyNumberFormat="1" applyFont="1"/>
    <xf numFmtId="0" fontId="7" fillId="0" borderId="0" xfId="0" applyFont="1"/>
    <xf numFmtId="0" fontId="8" fillId="3" borderId="0" xfId="0" applyFont="1" applyFill="1"/>
    <xf numFmtId="0" fontId="1" fillId="6" borderId="0" xfId="0" applyFont="1" applyFill="1"/>
    <xf numFmtId="0" fontId="0" fillId="6" borderId="0" xfId="0" applyFill="1"/>
    <xf numFmtId="0" fontId="5" fillId="6" borderId="0" xfId="0" applyFont="1" applyFill="1"/>
    <xf numFmtId="0" fontId="9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 applyFont="1"/>
    <xf numFmtId="0" fontId="0" fillId="7" borderId="0" xfId="0" applyFill="1"/>
    <xf numFmtId="0" fontId="11" fillId="0" borderId="0" xfId="0" applyFont="1"/>
    <xf numFmtId="0" fontId="0" fillId="0" borderId="0" xfId="0" applyFont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0" fillId="1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effect based on time</a:t>
            </a:r>
          </a:p>
        </c:rich>
      </c:tx>
      <c:layout>
        <c:manualLayout>
          <c:xMode val="edge"/>
          <c:yMode val="edge"/>
          <c:x val="0.28971522309711301"/>
          <c:y val="2.82187105604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 effect on adsorrption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pH!$G$2:$G$15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140</c:v>
                </c:pt>
              </c:numCache>
            </c:numRef>
          </c:xVal>
          <c:yVal>
            <c:numRef>
              <c:f>pH!$J$2:$J$15</c:f>
              <c:numCache>
                <c:formatCode>General</c:formatCode>
                <c:ptCount val="14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4.4000000000000004E-2</c:v>
                </c:pt>
                <c:pt idx="4">
                  <c:v>7.2000000000000008E-2</c:v>
                </c:pt>
                <c:pt idx="5">
                  <c:v>9.1999999999999998E-2</c:v>
                </c:pt>
                <c:pt idx="6">
                  <c:v>0.13200000000000001</c:v>
                </c:pt>
                <c:pt idx="7">
                  <c:v>0.156</c:v>
                </c:pt>
                <c:pt idx="8">
                  <c:v>0.20399999999999999</c:v>
                </c:pt>
                <c:pt idx="9">
                  <c:v>0.252</c:v>
                </c:pt>
                <c:pt idx="10">
                  <c:v>0.26</c:v>
                </c:pt>
                <c:pt idx="11">
                  <c:v>0.26400000000000001</c:v>
                </c:pt>
                <c:pt idx="12">
                  <c:v>0.26400000000000001</c:v>
                </c:pt>
                <c:pt idx="13">
                  <c:v>0.26800000000000002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F-4519-BA4C-DC5BF3EE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52672"/>
        <c:axId val="221684488"/>
      </c:scatterChart>
      <c:valAx>
        <c:axId val="221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84488"/>
        <c:crosses val="autoZero"/>
        <c:crossBetween val="midCat"/>
      </c:valAx>
      <c:valAx>
        <c:axId val="221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'THOMAS MODEL-Co(II) ION'!$B$51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ION'!$A$52:$A$73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'THOMAS MODEL-Co(II) ION'!$B$52:$B$73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0.08</c:v>
                </c:pt>
                <c:pt idx="12">
                  <c:v>0.21</c:v>
                </c:pt>
                <c:pt idx="13">
                  <c:v>0.3</c:v>
                </c:pt>
                <c:pt idx="14">
                  <c:v>0.35</c:v>
                </c:pt>
                <c:pt idx="15">
                  <c:v>0.49</c:v>
                </c:pt>
                <c:pt idx="16">
                  <c:v>0.68</c:v>
                </c:pt>
                <c:pt idx="17">
                  <c:v>0.8</c:v>
                </c:pt>
                <c:pt idx="18">
                  <c:v>0.84</c:v>
                </c:pt>
                <c:pt idx="19">
                  <c:v>0.87</c:v>
                </c:pt>
                <c:pt idx="20">
                  <c:v>0.89</c:v>
                </c:pt>
                <c:pt idx="2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C-4F15-ACB7-1BD65AF5DE8A}"/>
            </c:ext>
          </c:extLst>
        </c:ser>
        <c:ser>
          <c:idx val="1"/>
          <c:order val="1"/>
          <c:tx>
            <c:strRef>
              <c:f>'THOMAS MODEL-Co(II) ION'!$C$51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ION'!$A$52:$A$73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'THOMAS MODEL-Co(II) ION'!$C$52:$C$73</c:f>
              <c:numCache>
                <c:formatCode>General</c:formatCode>
                <c:ptCount val="22"/>
                <c:pt idx="0">
                  <c:v>8.8412100041098174E-6</c:v>
                </c:pt>
                <c:pt idx="1">
                  <c:v>1.8432808264731135E-5</c:v>
                </c:pt>
                <c:pt idx="2">
                  <c:v>2.6615212280596108E-5</c:v>
                </c:pt>
                <c:pt idx="3">
                  <c:v>3.842968155401822E-5</c:v>
                </c:pt>
                <c:pt idx="4">
                  <c:v>5.5488292312607179E-5</c:v>
                </c:pt>
                <c:pt idx="5">
                  <c:v>8.0118469479775498E-5</c:v>
                </c:pt>
                <c:pt idx="6">
                  <c:v>1.6702399293664331E-4</c:v>
                </c:pt>
                <c:pt idx="7">
                  <c:v>3.4816422046356064E-4</c:v>
                </c:pt>
                <c:pt idx="8">
                  <c:v>1.51163280961304E-3</c:v>
                </c:pt>
                <c:pt idx="9">
                  <c:v>6.5376646005259574E-3</c:v>
                </c:pt>
                <c:pt idx="10">
                  <c:v>3.9664687804655797E-2</c:v>
                </c:pt>
                <c:pt idx="11">
                  <c:v>9.3772077417853941E-2</c:v>
                </c:pt>
                <c:pt idx="12">
                  <c:v>0.2058660820937607</c:v>
                </c:pt>
                <c:pt idx="13">
                  <c:v>0.2947427783810927</c:v>
                </c:pt>
                <c:pt idx="14">
                  <c:v>0.3508492655096549</c:v>
                </c:pt>
                <c:pt idx="15">
                  <c:v>0.48393808530834859</c:v>
                </c:pt>
                <c:pt idx="16">
                  <c:v>0.67785245831927077</c:v>
                </c:pt>
                <c:pt idx="17">
                  <c:v>0.79712642496721042</c:v>
                </c:pt>
                <c:pt idx="18">
                  <c:v>0.84054885228789777</c:v>
                </c:pt>
                <c:pt idx="19">
                  <c:v>0.87612162390239212</c:v>
                </c:pt>
                <c:pt idx="20">
                  <c:v>0.89471970023498093</c:v>
                </c:pt>
                <c:pt idx="21">
                  <c:v>0.91080986008461939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C-4F15-ACB7-1BD65AF5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7256"/>
        <c:axId val="222987648"/>
      </c:scatterChart>
      <c:valAx>
        <c:axId val="22298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7648"/>
        <c:crosses val="autoZero"/>
        <c:crossBetween val="midCat"/>
      </c:valAx>
      <c:valAx>
        <c:axId val="222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ION'!$A$82:$A$99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'THOMAS MODEL-Co(II) ION'!$B$82:$B$99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0.63</c:v>
                </c:pt>
                <c:pt idx="11">
                  <c:v>0.74</c:v>
                </c:pt>
                <c:pt idx="12">
                  <c:v>0.79</c:v>
                </c:pt>
                <c:pt idx="13">
                  <c:v>0.83</c:v>
                </c:pt>
                <c:pt idx="14">
                  <c:v>0.87</c:v>
                </c:pt>
                <c:pt idx="15">
                  <c:v>0.88</c:v>
                </c:pt>
                <c:pt idx="16">
                  <c:v>0.89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A-486A-BD86-91F763B88317}"/>
            </c:ext>
          </c:extLst>
        </c:ser>
        <c:ser>
          <c:idx val="1"/>
          <c:order val="1"/>
          <c:tx>
            <c:strRef>
              <c:f>'THOMAS MODEL-Co(II) ION'!$C$81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ION'!$A$82:$A$99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'THOMAS MODEL-Co(II) ION'!$C$82:$C$99</c:f>
              <c:numCache>
                <c:formatCode>General</c:formatCode>
                <c:ptCount val="18"/>
                <c:pt idx="0">
                  <c:v>1.2351544107932987E-3</c:v>
                </c:pt>
                <c:pt idx="1">
                  <c:v>2.139622515291094E-3</c:v>
                </c:pt>
                <c:pt idx="2">
                  <c:v>2.8154486473182402E-3</c:v>
                </c:pt>
                <c:pt idx="3">
                  <c:v>3.7039504191588701E-3</c:v>
                </c:pt>
                <c:pt idx="4">
                  <c:v>4.8714765750082333E-3</c:v>
                </c:pt>
                <c:pt idx="5">
                  <c:v>6.4046541083209061E-3</c:v>
                </c:pt>
                <c:pt idx="6">
                  <c:v>1.4502922790554304E-2</c:v>
                </c:pt>
                <c:pt idx="7">
                  <c:v>7.1241205408253197E-2</c:v>
                </c:pt>
                <c:pt idx="8">
                  <c:v>0.28561864605382753</c:v>
                </c:pt>
                <c:pt idx="9">
                  <c:v>0.44303956371259917</c:v>
                </c:pt>
                <c:pt idx="10">
                  <c:v>0.61279807445199108</c:v>
                </c:pt>
                <c:pt idx="11">
                  <c:v>0.73290830501890825</c:v>
                </c:pt>
                <c:pt idx="12">
                  <c:v>0.78323148951735011</c:v>
                </c:pt>
                <c:pt idx="13">
                  <c:v>0.82632005949592024</c:v>
                </c:pt>
                <c:pt idx="14">
                  <c:v>0.87788180351098888</c:v>
                </c:pt>
                <c:pt idx="15">
                  <c:v>0.89188169215809621</c:v>
                </c:pt>
                <c:pt idx="16">
                  <c:v>0.91569769946922763</c:v>
                </c:pt>
                <c:pt idx="17">
                  <c:v>0.93465196416192153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A-486A-BD86-91F763B8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8432"/>
        <c:axId val="222988824"/>
      </c:scatterChart>
      <c:valAx>
        <c:axId val="2229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8824"/>
        <c:crosses val="autoZero"/>
        <c:crossBetween val="midCat"/>
      </c:valAx>
      <c:valAx>
        <c:axId val="2229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'THOMAS MODEL-Co(II) ION'!$B$142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ION'!$A$143:$A$152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95</c:v>
                </c:pt>
              </c:numCache>
            </c:numRef>
          </c:xVal>
          <c:yVal>
            <c:numRef>
              <c:f>'THOMAS MODEL-Co(II) ION'!$B$143:$B$152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</c:v>
                </c:pt>
                <c:pt idx="4">
                  <c:v>0.48</c:v>
                </c:pt>
                <c:pt idx="5">
                  <c:v>0.69</c:v>
                </c:pt>
                <c:pt idx="6">
                  <c:v>0.83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B-44FC-AFF5-3275DCD745BB}"/>
            </c:ext>
          </c:extLst>
        </c:ser>
        <c:ser>
          <c:idx val="1"/>
          <c:order val="1"/>
          <c:tx>
            <c:strRef>
              <c:f>'THOMAS MODEL-Co(II) ION'!$C$142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ION'!$A$143:$A$152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95</c:v>
                </c:pt>
              </c:numCache>
            </c:numRef>
          </c:xVal>
          <c:yVal>
            <c:numRef>
              <c:f>'THOMAS MODEL-Co(II) ION'!$C$143:$C$152</c:f>
              <c:numCache>
                <c:formatCode>General</c:formatCode>
                <c:ptCount val="10"/>
                <c:pt idx="0">
                  <c:v>2.2776532621103112E-2</c:v>
                </c:pt>
                <c:pt idx="1">
                  <c:v>5.3796489480314756E-2</c:v>
                </c:pt>
                <c:pt idx="2">
                  <c:v>8.1556685617690111E-2</c:v>
                </c:pt>
                <c:pt idx="3">
                  <c:v>0.17804538071040138</c:v>
                </c:pt>
                <c:pt idx="4">
                  <c:v>0.4521360199439346</c:v>
                </c:pt>
                <c:pt idx="5">
                  <c:v>0.66811929893893951</c:v>
                </c:pt>
                <c:pt idx="6">
                  <c:v>0.83081668423059007</c:v>
                </c:pt>
                <c:pt idx="7">
                  <c:v>0.92295291542696278</c:v>
                </c:pt>
                <c:pt idx="8">
                  <c:v>0.9492629330988841</c:v>
                </c:pt>
                <c:pt idx="9">
                  <c:v>0.9910976642680619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B-44FC-AFF5-3275DCD7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9608"/>
        <c:axId val="222848944"/>
      </c:scatterChart>
      <c:valAx>
        <c:axId val="22298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>
            <c:manualLayout>
              <c:xMode val="edge"/>
              <c:yMode val="edge"/>
              <c:x val="0.40021655412731499"/>
              <c:y val="0.89930820607078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48944"/>
        <c:crosses val="autoZero"/>
        <c:crossBetween val="midCat"/>
      </c:valAx>
      <c:valAx>
        <c:axId val="222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80534576035"/>
          <c:y val="6.9861111111111096E-2"/>
          <c:w val="0.783649900905244"/>
          <c:h val="0.83659703995333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'THOMAS MODEL-Co(II) ION'!$B$122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ION'!$A$123:$A$139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'THOMAS MODEL-Co(II) ION'!$B$123:$B$139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0.26</c:v>
                </c:pt>
                <c:pt idx="10">
                  <c:v>0.54</c:v>
                </c:pt>
                <c:pt idx="11">
                  <c:v>0.66</c:v>
                </c:pt>
                <c:pt idx="12">
                  <c:v>0.79</c:v>
                </c:pt>
                <c:pt idx="13">
                  <c:v>0.83</c:v>
                </c:pt>
                <c:pt idx="14">
                  <c:v>0.86</c:v>
                </c:pt>
                <c:pt idx="15">
                  <c:v>0.88</c:v>
                </c:pt>
                <c:pt idx="1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1-4535-83DD-353ACE11B270}"/>
            </c:ext>
          </c:extLst>
        </c:ser>
        <c:ser>
          <c:idx val="1"/>
          <c:order val="1"/>
          <c:tx>
            <c:strRef>
              <c:f>'THOMAS MODEL-Co(II) ION'!$C$122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ION'!$A$123:$A$139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'THOMAS MODEL-Co(II) ION'!$C$123:$C$139</c:f>
              <c:numCache>
                <c:formatCode>General</c:formatCode>
                <c:ptCount val="17"/>
                <c:pt idx="0">
                  <c:v>1.2148493262990513E-2</c:v>
                </c:pt>
                <c:pt idx="1">
                  <c:v>1.4907653830641607E-2</c:v>
                </c:pt>
                <c:pt idx="2">
                  <c:v>1.9041661601707983E-2</c:v>
                </c:pt>
                <c:pt idx="3">
                  <c:v>2.2402457604440883E-2</c:v>
                </c:pt>
                <c:pt idx="4">
                  <c:v>2.798468578035317E-2</c:v>
                </c:pt>
                <c:pt idx="5">
                  <c:v>3.3536984520429851E-2</c:v>
                </c:pt>
                <c:pt idx="6">
                  <c:v>4.0952506691984206E-2</c:v>
                </c:pt>
                <c:pt idx="7">
                  <c:v>6.0734039457547899E-2</c:v>
                </c:pt>
                <c:pt idx="8">
                  <c:v>8.918222240289024E-2</c:v>
                </c:pt>
                <c:pt idx="9">
                  <c:v>0.2345859695052244</c:v>
                </c:pt>
                <c:pt idx="10">
                  <c:v>0.48961938749353612</c:v>
                </c:pt>
                <c:pt idx="11">
                  <c:v>0.64126789409112939</c:v>
                </c:pt>
                <c:pt idx="12">
                  <c:v>0.80388229688395363</c:v>
                </c:pt>
                <c:pt idx="13">
                  <c:v>0.86124522093170919</c:v>
                </c:pt>
                <c:pt idx="14">
                  <c:v>0.90383699413729923</c:v>
                </c:pt>
                <c:pt idx="15">
                  <c:v>0.93435147338033198</c:v>
                </c:pt>
                <c:pt idx="16">
                  <c:v>0.96366412782799826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1-4535-83DD-353ACE11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24960"/>
        <c:axId val="2098978416"/>
      </c:scatterChart>
      <c:valAx>
        <c:axId val="1885024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78416"/>
        <c:crosses val="autoZero"/>
        <c:crossBetween val="midCat"/>
      </c:valAx>
      <c:valAx>
        <c:axId val="20989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'YOON-NELSON_Co(II) ION'!$B$53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'YOON-NELSON_Co(II) ION'!$A$54:$A$75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'YOON-NELSON_Co(II) ION'!$B$54:$B$75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0.08</c:v>
                </c:pt>
                <c:pt idx="12">
                  <c:v>0.21</c:v>
                </c:pt>
                <c:pt idx="13">
                  <c:v>0.3</c:v>
                </c:pt>
                <c:pt idx="14">
                  <c:v>0.35</c:v>
                </c:pt>
                <c:pt idx="15">
                  <c:v>0.49</c:v>
                </c:pt>
                <c:pt idx="16">
                  <c:v>0.68</c:v>
                </c:pt>
                <c:pt idx="17">
                  <c:v>0.8</c:v>
                </c:pt>
                <c:pt idx="18">
                  <c:v>0.84</c:v>
                </c:pt>
                <c:pt idx="19">
                  <c:v>0.87</c:v>
                </c:pt>
                <c:pt idx="20">
                  <c:v>0.89</c:v>
                </c:pt>
                <c:pt idx="2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E-4145-8FA8-39C886F9D268}"/>
            </c:ext>
          </c:extLst>
        </c:ser>
        <c:ser>
          <c:idx val="1"/>
          <c:order val="1"/>
          <c:tx>
            <c:strRef>
              <c:f>'YOON-NELSON_Co(II) ION'!$C$53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'YOON-NELSON_Co(II) ION'!$A$54:$A$75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'YOON-NELSON_Co(II) ION'!$C$54:$C$75</c:f>
              <c:numCache>
                <c:formatCode>General</c:formatCode>
                <c:ptCount val="22"/>
                <c:pt idx="0">
                  <c:v>8.8413438830438522E-6</c:v>
                </c:pt>
                <c:pt idx="1">
                  <c:v>1.8433061277224744E-5</c:v>
                </c:pt>
                <c:pt idx="2">
                  <c:v>2.6615558756681056E-5</c:v>
                </c:pt>
                <c:pt idx="3">
                  <c:v>3.8430154612128591E-5</c:v>
                </c:pt>
                <c:pt idx="4">
                  <c:v>5.5488936054371189E-5</c:v>
                </c:pt>
                <c:pt idx="5">
                  <c:v>8.0119342212783132E-5</c:v>
                </c:pt>
                <c:pt idx="6">
                  <c:v>1.6702557566396635E-4</c:v>
                </c:pt>
                <c:pt idx="7">
                  <c:v>3.4816702616319111E-4</c:v>
                </c:pt>
                <c:pt idx="8">
                  <c:v>1.5116407017239074E-3</c:v>
                </c:pt>
                <c:pt idx="9">
                  <c:v>6.537680164265397E-3</c:v>
                </c:pt>
                <c:pt idx="10">
                  <c:v>3.966464421449023E-2</c:v>
                </c:pt>
                <c:pt idx="11">
                  <c:v>9.377182973177968E-2</c:v>
                </c:pt>
                <c:pt idx="12">
                  <c:v>0.20586531616556339</c:v>
                </c:pt>
                <c:pt idx="13">
                  <c:v>0.29474161315471786</c:v>
                </c:pt>
                <c:pt idx="14">
                  <c:v>0.35084787592312056</c:v>
                </c:pt>
                <c:pt idx="15">
                  <c:v>0.48393629629185492</c:v>
                </c:pt>
                <c:pt idx="16">
                  <c:v>0.67785055384945858</c:v>
                </c:pt>
                <c:pt idx="17">
                  <c:v>0.7971248199057106</c:v>
                </c:pt>
                <c:pt idx="18">
                  <c:v>0.84054744612154664</c:v>
                </c:pt>
                <c:pt idx="19">
                  <c:v>0.87612042372611643</c:v>
                </c:pt>
                <c:pt idx="20">
                  <c:v>0.89471862523902357</c:v>
                </c:pt>
                <c:pt idx="21">
                  <c:v>0.91080890424147098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E-4145-8FA8-39C886F9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49728"/>
        <c:axId val="222850120"/>
      </c:scatterChart>
      <c:valAx>
        <c:axId val="2228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0120"/>
        <c:crosses val="autoZero"/>
        <c:crossBetween val="midCat"/>
      </c:valAx>
      <c:valAx>
        <c:axId val="2228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'YOON-NELSON_Co(II) ION'!$B$82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'YOON-NELSON_Co(II) ION'!$A$83:$A$100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'YOON-NELSON_Co(II) ION'!$B$83:$B$100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0.63</c:v>
                </c:pt>
                <c:pt idx="11">
                  <c:v>0.74</c:v>
                </c:pt>
                <c:pt idx="12">
                  <c:v>0.79</c:v>
                </c:pt>
                <c:pt idx="13">
                  <c:v>0.83</c:v>
                </c:pt>
                <c:pt idx="14">
                  <c:v>0.87</c:v>
                </c:pt>
                <c:pt idx="15">
                  <c:v>0.88</c:v>
                </c:pt>
                <c:pt idx="16">
                  <c:v>0.89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EDC-8B3D-51B64D7EF2B7}"/>
            </c:ext>
          </c:extLst>
        </c:ser>
        <c:ser>
          <c:idx val="1"/>
          <c:order val="1"/>
          <c:tx>
            <c:strRef>
              <c:f>'YOON-NELSON_Co(II) ION'!$C$82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'YOON-NELSON_Co(II) ION'!$A$83:$A$100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'YOON-NELSON_Co(II) ION'!$C$83:$C$100</c:f>
              <c:numCache>
                <c:formatCode>General</c:formatCode>
                <c:ptCount val="18"/>
                <c:pt idx="0">
                  <c:v>1.2350738889702602E-3</c:v>
                </c:pt>
                <c:pt idx="1">
                  <c:v>2.1394964830640621E-3</c:v>
                </c:pt>
                <c:pt idx="2">
                  <c:v>2.8152916809946089E-3</c:v>
                </c:pt>
                <c:pt idx="3">
                  <c:v>3.7037556186891711E-3</c:v>
                </c:pt>
                <c:pt idx="4">
                  <c:v>4.8712358016577747E-3</c:v>
                </c:pt>
                <c:pt idx="5">
                  <c:v>6.4043579065814656E-3</c:v>
                </c:pt>
                <c:pt idx="6">
                  <c:v>1.4502391353420805E-2</c:v>
                </c:pt>
                <c:pt idx="7">
                  <c:v>7.1239984260274336E-2</c:v>
                </c:pt>
                <c:pt idx="8">
                  <c:v>0.28561870142715406</c:v>
                </c:pt>
                <c:pt idx="9">
                  <c:v>0.44304155613088492</c:v>
                </c:pt>
                <c:pt idx="10">
                  <c:v>0.61280184181273845</c:v>
                </c:pt>
                <c:pt idx="11">
                  <c:v>0.73291263506810544</c:v>
                </c:pt>
                <c:pt idx="12">
                  <c:v>0.78323577494015173</c:v>
                </c:pt>
                <c:pt idx="13">
                  <c:v>0.82632412990238668</c:v>
                </c:pt>
                <c:pt idx="14">
                  <c:v>0.87788534599245627</c:v>
                </c:pt>
                <c:pt idx="15">
                  <c:v>0.89188502902136768</c:v>
                </c:pt>
                <c:pt idx="16">
                  <c:v>0.91570061170944217</c:v>
                </c:pt>
                <c:pt idx="17">
                  <c:v>0.93465445898027855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EDC-8B3D-51B64D7E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50904"/>
        <c:axId val="222851296"/>
      </c:scatterChart>
      <c:valAx>
        <c:axId val="22285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1296"/>
        <c:crosses val="autoZero"/>
        <c:crossBetween val="midCat"/>
      </c:valAx>
      <c:valAx>
        <c:axId val="2228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'YOON-NELSON_Co(II) ION'!$B$192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'YOON-NELSON_Co(II) ION'!$A$193:$A$207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</c:numCache>
            </c:numRef>
          </c:xVal>
          <c:yVal>
            <c:numRef>
              <c:f>'YOON-NELSON_Co(II) ION'!$B$193:$B$207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0.09</c:v>
                </c:pt>
                <c:pt idx="8">
                  <c:v>0.21</c:v>
                </c:pt>
                <c:pt idx="9">
                  <c:v>0.36</c:v>
                </c:pt>
                <c:pt idx="10">
                  <c:v>0.46</c:v>
                </c:pt>
                <c:pt idx="11">
                  <c:v>0.72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2-4546-AB02-C89E4CB9BB1B}"/>
            </c:ext>
          </c:extLst>
        </c:ser>
        <c:ser>
          <c:idx val="1"/>
          <c:order val="1"/>
          <c:tx>
            <c:strRef>
              <c:f>'YOON-NELSON_Co(II) ION'!$C$192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'YOON-NELSON_Co(II) ION'!$A$193:$A$207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</c:numCache>
            </c:numRef>
          </c:xVal>
          <c:yVal>
            <c:numRef>
              <c:f>'YOON-NELSON_Co(II) ION'!$C$193:$C$207</c:f>
              <c:numCache>
                <c:formatCode>General</c:formatCode>
                <c:ptCount val="15"/>
                <c:pt idx="0">
                  <c:v>7.7320590277781833E-4</c:v>
                </c:pt>
                <c:pt idx="1">
                  <c:v>2.0985547773595009E-3</c:v>
                </c:pt>
                <c:pt idx="2">
                  <c:v>5.6827584558347272E-3</c:v>
                </c:pt>
                <c:pt idx="3">
                  <c:v>9.3338823100347114E-3</c:v>
                </c:pt>
                <c:pt idx="4">
                  <c:v>1.529473841330793E-2</c:v>
                </c:pt>
                <c:pt idx="5">
                  <c:v>2.4966413281610769E-2</c:v>
                </c:pt>
                <c:pt idx="6">
                  <c:v>4.0502444555421069E-2</c:v>
                </c:pt>
                <c:pt idx="7">
                  <c:v>0.10291369232881337</c:v>
                </c:pt>
                <c:pt idx="8">
                  <c:v>0.19538029917017397</c:v>
                </c:pt>
                <c:pt idx="9">
                  <c:v>0.33948674488606745</c:v>
                </c:pt>
                <c:pt idx="10">
                  <c:v>0.45867218936755921</c:v>
                </c:pt>
                <c:pt idx="11">
                  <c:v>0.74725838012024171</c:v>
                </c:pt>
                <c:pt idx="12">
                  <c:v>0.86222363631668686</c:v>
                </c:pt>
                <c:pt idx="13">
                  <c:v>0.88932151602443232</c:v>
                </c:pt>
                <c:pt idx="14">
                  <c:v>0.91163597961853438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02-4546-AB02-C89E4CB9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52080"/>
        <c:axId val="222852472"/>
      </c:scatterChart>
      <c:valAx>
        <c:axId val="22285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2472"/>
        <c:crosses val="autoZero"/>
        <c:crossBetween val="midCat"/>
      </c:valAx>
      <c:valAx>
        <c:axId val="2228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'YOON-NELSON_Co(II) ION'!$B$170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'YOON-NELSON_Co(II) ION'!$A$171:$A$184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96</c:v>
                </c:pt>
                <c:pt idx="8">
                  <c:v>105</c:v>
                </c:pt>
                <c:pt idx="9">
                  <c:v>122</c:v>
                </c:pt>
                <c:pt idx="10">
                  <c:v>132</c:v>
                </c:pt>
                <c:pt idx="11">
                  <c:v>138</c:v>
                </c:pt>
                <c:pt idx="12">
                  <c:v>143</c:v>
                </c:pt>
                <c:pt idx="13">
                  <c:v>150</c:v>
                </c:pt>
              </c:numCache>
            </c:numRef>
          </c:xVal>
          <c:yVal>
            <c:numRef>
              <c:f>'YOON-NELSON_Co(II) ION'!$B$171:$B$184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0.32</c:v>
                </c:pt>
                <c:pt idx="7">
                  <c:v>0.52</c:v>
                </c:pt>
                <c:pt idx="8">
                  <c:v>0.62</c:v>
                </c:pt>
                <c:pt idx="9">
                  <c:v>0.81</c:v>
                </c:pt>
                <c:pt idx="10">
                  <c:v>0.86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5-4FCE-BA2C-FE058CB0ECE7}"/>
            </c:ext>
          </c:extLst>
        </c:ser>
        <c:ser>
          <c:idx val="1"/>
          <c:order val="1"/>
          <c:tx>
            <c:strRef>
              <c:f>'YOON-NELSON_Co(II) ION'!$C$170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'YOON-NELSON_Co(II) ION'!$A$171:$A$184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96</c:v>
                </c:pt>
                <c:pt idx="8">
                  <c:v>105</c:v>
                </c:pt>
                <c:pt idx="9">
                  <c:v>122</c:v>
                </c:pt>
                <c:pt idx="10">
                  <c:v>132</c:v>
                </c:pt>
                <c:pt idx="11">
                  <c:v>138</c:v>
                </c:pt>
                <c:pt idx="12">
                  <c:v>143</c:v>
                </c:pt>
                <c:pt idx="13">
                  <c:v>150</c:v>
                </c:pt>
              </c:numCache>
            </c:numRef>
          </c:xVal>
          <c:yVal>
            <c:numRef>
              <c:f>'YOON-NELSON_Co(II) ION'!$C$171:$C$184</c:f>
              <c:numCache>
                <c:formatCode>General</c:formatCode>
                <c:ptCount val="14"/>
                <c:pt idx="0">
                  <c:v>5.3072098963482129E-3</c:v>
                </c:pt>
                <c:pt idx="1">
                  <c:v>1.5531370937269152E-2</c:v>
                </c:pt>
                <c:pt idx="2">
                  <c:v>2.6411830817561349E-2</c:v>
                </c:pt>
                <c:pt idx="3">
                  <c:v>4.4569486886753766E-2</c:v>
                </c:pt>
                <c:pt idx="4">
                  <c:v>7.4258087861281741E-2</c:v>
                </c:pt>
                <c:pt idx="5">
                  <c:v>0.12121387500800659</c:v>
                </c:pt>
                <c:pt idx="6">
                  <c:v>0.28969672119414458</c:v>
                </c:pt>
                <c:pt idx="7">
                  <c:v>0.49261168831744973</c:v>
                </c:pt>
                <c:pt idx="8">
                  <c:v>0.6126112869876319</c:v>
                </c:pt>
                <c:pt idx="9">
                  <c:v>0.79896055257682985</c:v>
                </c:pt>
                <c:pt idx="10">
                  <c:v>0.87234728653770255</c:v>
                </c:pt>
                <c:pt idx="11">
                  <c:v>0.90440117204444015</c:v>
                </c:pt>
                <c:pt idx="12">
                  <c:v>0.92540405892342437</c:v>
                </c:pt>
                <c:pt idx="13">
                  <c:v>0.94772712439635942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5-4FCE-BA2C-FE058CB0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26912"/>
        <c:axId val="223227304"/>
      </c:scatterChart>
      <c:valAx>
        <c:axId val="22322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7304"/>
        <c:crosses val="autoZero"/>
        <c:crossBetween val="midCat"/>
      </c:valAx>
      <c:valAx>
        <c:axId val="2232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'BOHART-ADAMS  MODEL Co(II)'!$B$130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'BOHART-ADAMS  MODEL Co(II)'!$A$131:$A$147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'BOHART-ADAMS  MODEL Co(II)'!$B$131:$B$147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0.26</c:v>
                </c:pt>
                <c:pt idx="10">
                  <c:v>0.54</c:v>
                </c:pt>
                <c:pt idx="11">
                  <c:v>0.66</c:v>
                </c:pt>
                <c:pt idx="12">
                  <c:v>0.79</c:v>
                </c:pt>
                <c:pt idx="13">
                  <c:v>0.83</c:v>
                </c:pt>
                <c:pt idx="14">
                  <c:v>0.86</c:v>
                </c:pt>
                <c:pt idx="15">
                  <c:v>0.88</c:v>
                </c:pt>
                <c:pt idx="1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8-4799-8904-781161E5DDE0}"/>
            </c:ext>
          </c:extLst>
        </c:ser>
        <c:ser>
          <c:idx val="1"/>
          <c:order val="1"/>
          <c:tx>
            <c:strRef>
              <c:f>'BOHART-ADAMS  MODEL Co(II)'!$C$130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'BOHART-ADAMS  MODEL Co(II)'!$A$131:$A$147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'BOHART-ADAMS  MODEL Co(II)'!$C$131:$C$147</c:f>
              <c:numCache>
                <c:formatCode>General</c:formatCode>
                <c:ptCount val="17"/>
                <c:pt idx="0">
                  <c:v>8.9618087163385915E-2</c:v>
                </c:pt>
                <c:pt idx="1">
                  <c:v>9.5968812721988303E-2</c:v>
                </c:pt>
                <c:pt idx="2">
                  <c:v>0.10418650374513701</c:v>
                </c:pt>
                <c:pt idx="3">
                  <c:v>0.11005227531909867</c:v>
                </c:pt>
                <c:pt idx="4">
                  <c:v>0.11866070469763179</c:v>
                </c:pt>
                <c:pt idx="5">
                  <c:v>0.12620249182405188</c:v>
                </c:pt>
                <c:pt idx="6">
                  <c:v>0.13514574664855078</c:v>
                </c:pt>
                <c:pt idx="7">
                  <c:v>0.15497844035496497</c:v>
                </c:pt>
                <c:pt idx="8">
                  <c:v>0.17772158999067536</c:v>
                </c:pt>
                <c:pt idx="9">
                  <c:v>0.25898802038281649</c:v>
                </c:pt>
                <c:pt idx="10">
                  <c:v>0.37741500458852201</c:v>
                </c:pt>
                <c:pt idx="11">
                  <c:v>0.46347094999707239</c:v>
                </c:pt>
                <c:pt idx="12">
                  <c:v>0.60948121706094238</c:v>
                </c:pt>
                <c:pt idx="13">
                  <c:v>0.69892283544362366</c:v>
                </c:pt>
                <c:pt idx="14">
                  <c:v>0.80149004797913226</c:v>
                </c:pt>
                <c:pt idx="15">
                  <c:v>0.91910904098855661</c:v>
                </c:pt>
                <c:pt idx="16">
                  <c:v>1.1286788686165008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8-4799-8904-781161E5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0000"/>
        <c:axId val="117884384"/>
      </c:scatterChart>
      <c:valAx>
        <c:axId val="1184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384"/>
        <c:crosses val="autoZero"/>
        <c:crossBetween val="midCat"/>
      </c:valAx>
      <c:valAx>
        <c:axId val="1178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26163075769401"/>
          <c:y val="2.7600977466287702E-2"/>
          <c:w val="0.67370540220933905"/>
          <c:h val="0.92099253535529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'DOSE-RESPONSE-Co(II)'!$B$5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'DOSE-RESPONSE-Co(II)'!$A$6:$A$19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'DOSE-RESPONSE-Co(II)'!$B$6:$B$19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0.24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0.7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8-4C23-9149-38A3D7C1B341}"/>
            </c:ext>
          </c:extLst>
        </c:ser>
        <c:ser>
          <c:idx val="1"/>
          <c:order val="1"/>
          <c:tx>
            <c:strRef>
              <c:f>'DOSE-RESPONSE-Co(II)'!$C$5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'DOSE-RESPONSE-Co(II)'!$A$6:$A$19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'DOSE-RESPONSE-Co(II)'!$C$6:$C$19</c:f>
              <c:numCache>
                <c:formatCode>General</c:formatCode>
                <c:ptCount val="14"/>
                <c:pt idx="0">
                  <c:v>0</c:v>
                </c:pt>
                <c:pt idx="1">
                  <c:v>3.8148203066334929E-4</c:v>
                </c:pt>
                <c:pt idx="2">
                  <c:v>1.5172718172515864E-3</c:v>
                </c:pt>
                <c:pt idx="3">
                  <c:v>4.0339736043760732E-3</c:v>
                </c:pt>
                <c:pt idx="4">
                  <c:v>8.5899644676808995E-3</c:v>
                </c:pt>
                <c:pt idx="5">
                  <c:v>4.1215290208116095E-2</c:v>
                </c:pt>
                <c:pt idx="6">
                  <c:v>0.22447063488464714</c:v>
                </c:pt>
                <c:pt idx="7">
                  <c:v>0.42348748381784995</c:v>
                </c:pt>
                <c:pt idx="8">
                  <c:v>0.57455790311309507</c:v>
                </c:pt>
                <c:pt idx="9">
                  <c:v>0.70469538646567398</c:v>
                </c:pt>
                <c:pt idx="10">
                  <c:v>0.8288289941349356</c:v>
                </c:pt>
                <c:pt idx="11">
                  <c:v>0.87854585184140355</c:v>
                </c:pt>
                <c:pt idx="12">
                  <c:v>0.8968756179373264</c:v>
                </c:pt>
                <c:pt idx="13">
                  <c:v>0.91195787491964753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8-4C23-9149-38A3D7C1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28088"/>
        <c:axId val="224038648"/>
      </c:scatterChart>
      <c:valAx>
        <c:axId val="2232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8648"/>
        <c:crosses val="autoZero"/>
        <c:crossBetween val="midCat"/>
      </c:valAx>
      <c:valAx>
        <c:axId val="2240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 effect based on Veff  </a:t>
            </a:r>
          </a:p>
        </c:rich>
      </c:tx>
      <c:layout>
        <c:manualLayout>
          <c:xMode val="edge"/>
          <c:yMode val="edge"/>
          <c:x val="0.431019283746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pH!$I$2:$I$15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420</c:v>
                </c:pt>
              </c:numCache>
            </c:numRef>
          </c:xVal>
          <c:yVal>
            <c:numRef>
              <c:f>pH!$J$2:$J$15</c:f>
              <c:numCache>
                <c:formatCode>General</c:formatCode>
                <c:ptCount val="14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4.4000000000000004E-2</c:v>
                </c:pt>
                <c:pt idx="4">
                  <c:v>7.2000000000000008E-2</c:v>
                </c:pt>
                <c:pt idx="5">
                  <c:v>9.1999999999999998E-2</c:v>
                </c:pt>
                <c:pt idx="6">
                  <c:v>0.13200000000000001</c:v>
                </c:pt>
                <c:pt idx="7">
                  <c:v>0.156</c:v>
                </c:pt>
                <c:pt idx="8">
                  <c:v>0.20399999999999999</c:v>
                </c:pt>
                <c:pt idx="9">
                  <c:v>0.252</c:v>
                </c:pt>
                <c:pt idx="10">
                  <c:v>0.26</c:v>
                </c:pt>
                <c:pt idx="11">
                  <c:v>0.26400000000000001</c:v>
                </c:pt>
                <c:pt idx="12">
                  <c:v>0.26400000000000001</c:v>
                </c:pt>
                <c:pt idx="13">
                  <c:v>0.26800000000000002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4-481A-8246-DFAD8A95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37456"/>
        <c:axId val="221963832"/>
      </c:scatterChart>
      <c:valAx>
        <c:axId val="2226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63832"/>
        <c:crosses val="autoZero"/>
        <c:crossBetween val="midCat"/>
      </c:valAx>
      <c:valAx>
        <c:axId val="2219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58773208904401"/>
          <c:y val="4.6418439716312099E-2"/>
          <c:w val="0.72815300865169597"/>
          <c:h val="0.89966298095716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'DOSE-RESPONSE-Co(II)'!$B$27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'DOSE-RESPONSE-Co(II)'!$A$28:$A$45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115</c:v>
                </c:pt>
                <c:pt idx="9">
                  <c:v>140</c:v>
                </c:pt>
                <c:pt idx="10">
                  <c:v>170</c:v>
                </c:pt>
                <c:pt idx="11">
                  <c:v>195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</c:numCache>
            </c:numRef>
          </c:xVal>
          <c:yVal>
            <c:numRef>
              <c:f>'DOSE-RESPONSE-Co(II)'!$B$28:$B$45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0.08</c:v>
                </c:pt>
                <c:pt idx="10">
                  <c:v>0.3</c:v>
                </c:pt>
                <c:pt idx="11">
                  <c:v>0.49</c:v>
                </c:pt>
                <c:pt idx="12">
                  <c:v>0.6</c:v>
                </c:pt>
                <c:pt idx="13">
                  <c:v>0.71</c:v>
                </c:pt>
                <c:pt idx="14">
                  <c:v>0.8</c:v>
                </c:pt>
                <c:pt idx="15">
                  <c:v>0.85</c:v>
                </c:pt>
                <c:pt idx="16">
                  <c:v>0.87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5-47A3-BC30-8110B022D8FE}"/>
            </c:ext>
          </c:extLst>
        </c:ser>
        <c:ser>
          <c:idx val="1"/>
          <c:order val="1"/>
          <c:tx>
            <c:strRef>
              <c:f>'DOSE-RESPONSE-Co(II)'!$C$27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'DOSE-RESPONSE-Co(II)'!$A$28:$A$45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115</c:v>
                </c:pt>
                <c:pt idx="9">
                  <c:v>140</c:v>
                </c:pt>
                <c:pt idx="10">
                  <c:v>170</c:v>
                </c:pt>
                <c:pt idx="11">
                  <c:v>195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</c:numCache>
            </c:numRef>
          </c:xVal>
          <c:yVal>
            <c:numRef>
              <c:f>'DOSE-RESPONSE-Co(II)'!$C$28:$C$45</c:f>
              <c:numCache>
                <c:formatCode>General</c:formatCode>
                <c:ptCount val="18"/>
                <c:pt idx="0">
                  <c:v>0</c:v>
                </c:pt>
                <c:pt idx="1">
                  <c:v>1.3861160761408087E-6</c:v>
                </c:pt>
                <c:pt idx="2">
                  <c:v>1.5060484763296245E-5</c:v>
                </c:pt>
                <c:pt idx="3">
                  <c:v>8.182684087421066E-5</c:v>
                </c:pt>
                <c:pt idx="4">
                  <c:v>3.0407177794977702E-4</c:v>
                </c:pt>
                <c:pt idx="5">
                  <c:v>8.8836334236652714E-4</c:v>
                </c:pt>
                <c:pt idx="6">
                  <c:v>2.1973912237218673E-3</c:v>
                </c:pt>
                <c:pt idx="7">
                  <c:v>4.8080535514924971E-3</c:v>
                </c:pt>
                <c:pt idx="8">
                  <c:v>3.9261293621998261E-2</c:v>
                </c:pt>
                <c:pt idx="9">
                  <c:v>0.11505609110177351</c:v>
                </c:pt>
                <c:pt idx="10">
                  <c:v>0.28950816424921122</c:v>
                </c:pt>
                <c:pt idx="11">
                  <c:v>0.4773800693995639</c:v>
                </c:pt>
                <c:pt idx="12">
                  <c:v>0.58552056180390233</c:v>
                </c:pt>
                <c:pt idx="13">
                  <c:v>0.70697073341768335</c:v>
                </c:pt>
                <c:pt idx="14">
                  <c:v>0.7975898375798407</c:v>
                </c:pt>
                <c:pt idx="15">
                  <c:v>0.86105784879543035</c:v>
                </c:pt>
                <c:pt idx="16">
                  <c:v>0.89493880158238548</c:v>
                </c:pt>
                <c:pt idx="17">
                  <c:v>0.92012157488111868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5-47A3-BC30-8110B022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39432"/>
        <c:axId val="224039824"/>
      </c:scatterChart>
      <c:valAx>
        <c:axId val="22403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9824"/>
        <c:crosses val="autoZero"/>
        <c:crossBetween val="midCat"/>
      </c:valAx>
      <c:valAx>
        <c:axId val="2240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09789152047699"/>
          <c:y val="2.3226863226863199E-2"/>
          <c:w val="0.75843600833054603"/>
          <c:h val="0.953169404193025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'DOSE-RESPONSE-Co(II)'!$B$55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'DOSE-RESPONSE-Co(II)'!$A$56:$A$77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'DOSE-RESPONSE-Co(II)'!$B$56:$B$77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0.08</c:v>
                </c:pt>
                <c:pt idx="12">
                  <c:v>0.21</c:v>
                </c:pt>
                <c:pt idx="13">
                  <c:v>0.3</c:v>
                </c:pt>
                <c:pt idx="14">
                  <c:v>0.35</c:v>
                </c:pt>
                <c:pt idx="15">
                  <c:v>0.49</c:v>
                </c:pt>
                <c:pt idx="16">
                  <c:v>0.68</c:v>
                </c:pt>
                <c:pt idx="17">
                  <c:v>0.8</c:v>
                </c:pt>
                <c:pt idx="18">
                  <c:v>0.84</c:v>
                </c:pt>
                <c:pt idx="19">
                  <c:v>0.87</c:v>
                </c:pt>
                <c:pt idx="20">
                  <c:v>0.89</c:v>
                </c:pt>
                <c:pt idx="2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B-4A1B-A185-EF2D23AABB61}"/>
            </c:ext>
          </c:extLst>
        </c:ser>
        <c:ser>
          <c:idx val="1"/>
          <c:order val="1"/>
          <c:tx>
            <c:strRef>
              <c:f>'DOSE-RESPONSE-Co(II)'!$C$55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'DOSE-RESPONSE-Co(II)'!$A$56:$A$77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'DOSE-RESPONSE-Co(II)'!$C$56:$C$77</c:f>
              <c:numCache>
                <c:formatCode>General</c:formatCode>
                <c:ptCount val="22"/>
                <c:pt idx="0">
                  <c:v>0</c:v>
                </c:pt>
                <c:pt idx="1">
                  <c:v>8.2156503822261584E-15</c:v>
                </c:pt>
                <c:pt idx="2">
                  <c:v>9.6345154076971085E-13</c:v>
                </c:pt>
                <c:pt idx="3">
                  <c:v>2.8403945862010005E-11</c:v>
                </c:pt>
                <c:pt idx="4">
                  <c:v>3.9193737144671559E-10</c:v>
                </c:pt>
                <c:pt idx="5">
                  <c:v>3.3460374471161458E-9</c:v>
                </c:pt>
                <c:pt idx="6">
                  <c:v>9.8635996925722225E-8</c:v>
                </c:pt>
                <c:pt idx="7">
                  <c:v>1.3610412171738417E-6</c:v>
                </c:pt>
                <c:pt idx="8">
                  <c:v>7.1214751687254108E-5</c:v>
                </c:pt>
                <c:pt idx="9">
                  <c:v>1.3669180658928415E-3</c:v>
                </c:pt>
                <c:pt idx="10">
                  <c:v>2.3875274544656766E-2</c:v>
                </c:pt>
                <c:pt idx="11">
                  <c:v>7.60607171523352E-2</c:v>
                </c:pt>
                <c:pt idx="12">
                  <c:v>0.1982799678088939</c:v>
                </c:pt>
                <c:pt idx="13">
                  <c:v>0.29665169469976238</c:v>
                </c:pt>
                <c:pt idx="14">
                  <c:v>0.35764529455639271</c:v>
                </c:pt>
                <c:pt idx="15">
                  <c:v>0.49706535808680108</c:v>
                </c:pt>
                <c:pt idx="16">
                  <c:v>0.68617646198321025</c:v>
                </c:pt>
                <c:pt idx="17">
                  <c:v>0.79594639356110652</c:v>
                </c:pt>
                <c:pt idx="18">
                  <c:v>0.83534516069747577</c:v>
                </c:pt>
                <c:pt idx="19">
                  <c:v>0.86773655264320504</c:v>
                </c:pt>
                <c:pt idx="20">
                  <c:v>0.88482847956326216</c:v>
                </c:pt>
                <c:pt idx="21">
                  <c:v>0.89977788389528857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B-4A1B-A185-EF2D23AA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0608"/>
        <c:axId val="224041000"/>
      </c:scatterChart>
      <c:valAx>
        <c:axId val="2240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1000"/>
        <c:crosses val="autoZero"/>
        <c:crossBetween val="midCat"/>
      </c:valAx>
      <c:valAx>
        <c:axId val="2240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'DOSE-RESPONSE-Co(II)'!$B$114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'DOSE-RESPONSE-Co(II)'!$A$115:$A$123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85</c:v>
                </c:pt>
                <c:pt idx="7">
                  <c:v>100</c:v>
                </c:pt>
                <c:pt idx="8">
                  <c:v>120</c:v>
                </c:pt>
              </c:numCache>
            </c:numRef>
          </c:xVal>
          <c:yVal>
            <c:numRef>
              <c:f>'DOSE-RESPONSE-Co(II)'!$B$115:$B$123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0.32</c:v>
                </c:pt>
                <c:pt idx="4">
                  <c:v>0.62</c:v>
                </c:pt>
                <c:pt idx="5">
                  <c:v>0.74</c:v>
                </c:pt>
                <c:pt idx="6">
                  <c:v>0.86</c:v>
                </c:pt>
                <c:pt idx="7">
                  <c:v>0.89</c:v>
                </c:pt>
                <c:pt idx="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3-4105-807F-D8AB929BF5DB}"/>
            </c:ext>
          </c:extLst>
        </c:ser>
        <c:ser>
          <c:idx val="1"/>
          <c:order val="1"/>
          <c:tx>
            <c:strRef>
              <c:f>'DOSE-RESPONSE-Co(II)'!$C$114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'DOSE-RESPONSE-Co(II)'!$A$115:$A$123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85</c:v>
                </c:pt>
                <c:pt idx="7">
                  <c:v>100</c:v>
                </c:pt>
                <c:pt idx="8">
                  <c:v>120</c:v>
                </c:pt>
              </c:numCache>
            </c:numRef>
          </c:xVal>
          <c:yVal>
            <c:numRef>
              <c:f>'DOSE-RESPONSE-Co(II)'!$C$115:$C$123</c:f>
              <c:numCache>
                <c:formatCode>General</c:formatCode>
                <c:ptCount val="9"/>
                <c:pt idx="0">
                  <c:v>0</c:v>
                </c:pt>
                <c:pt idx="1">
                  <c:v>2.302475205348864E-2</c:v>
                </c:pt>
                <c:pt idx="2">
                  <c:v>0.1284351248057588</c:v>
                </c:pt>
                <c:pt idx="3">
                  <c:v>0.30098422858941798</c:v>
                </c:pt>
                <c:pt idx="4">
                  <c:v>0.59876151201793582</c:v>
                </c:pt>
                <c:pt idx="5">
                  <c:v>0.72916883300464352</c:v>
                </c:pt>
                <c:pt idx="6">
                  <c:v>0.87118817914576785</c:v>
                </c:pt>
                <c:pt idx="7">
                  <c:v>0.91223910472049907</c:v>
                </c:pt>
                <c:pt idx="8">
                  <c:v>0.94392913650650734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3-4105-807F-D8AB929B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1784"/>
        <c:axId val="224042176"/>
      </c:scatterChart>
      <c:valAx>
        <c:axId val="22404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2176"/>
        <c:crosses val="autoZero"/>
        <c:crossBetween val="midCat"/>
      </c:valAx>
      <c:valAx>
        <c:axId val="2240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'DOSE-RESPONSE-Co(II)'!$B$87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'DOSE-RESPONSE-Co(II)'!$A$88:$A$105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'DOSE-RESPONSE-Co(II)'!$B$88:$B$105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0.63</c:v>
                </c:pt>
                <c:pt idx="11">
                  <c:v>0.74</c:v>
                </c:pt>
                <c:pt idx="12">
                  <c:v>0.79</c:v>
                </c:pt>
                <c:pt idx="13">
                  <c:v>0.83</c:v>
                </c:pt>
                <c:pt idx="14">
                  <c:v>0.87</c:v>
                </c:pt>
                <c:pt idx="15">
                  <c:v>0.88</c:v>
                </c:pt>
                <c:pt idx="16">
                  <c:v>0.89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8-4B3B-8B9A-291A4A289003}"/>
            </c:ext>
          </c:extLst>
        </c:ser>
        <c:ser>
          <c:idx val="1"/>
          <c:order val="1"/>
          <c:tx>
            <c:strRef>
              <c:f>'DOSE-RESPONSE-Co(II)'!$C$87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'DOSE-RESPONSE-Co(II)'!$A$88:$A$105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'DOSE-RESPONSE-Co(II)'!$C$88:$C$105</c:f>
              <c:numCache>
                <c:formatCode>General</c:formatCode>
                <c:ptCount val="18"/>
                <c:pt idx="0">
                  <c:v>0</c:v>
                </c:pt>
                <c:pt idx="1">
                  <c:v>3.2887665035730151E-8</c:v>
                </c:pt>
                <c:pt idx="2">
                  <c:v>5.4529303472605761E-7</c:v>
                </c:pt>
                <c:pt idx="3">
                  <c:v>3.9989537972129341E-6</c:v>
                </c:pt>
                <c:pt idx="4">
                  <c:v>1.8755675642356806E-5</c:v>
                </c:pt>
                <c:pt idx="5">
                  <c:v>6.630044760047582E-5</c:v>
                </c:pt>
                <c:pt idx="6">
                  <c:v>1.0981589385600232E-3</c:v>
                </c:pt>
                <c:pt idx="7">
                  <c:v>3.6436237005007976E-2</c:v>
                </c:pt>
                <c:pt idx="8">
                  <c:v>0.27995415356537723</c:v>
                </c:pt>
                <c:pt idx="9">
                  <c:v>0.458676102262352</c:v>
                </c:pt>
                <c:pt idx="10">
                  <c:v>0.63053483208358296</c:v>
                </c:pt>
                <c:pt idx="11">
                  <c:v>0.74034820651731514</c:v>
                </c:pt>
                <c:pt idx="12">
                  <c:v>0.78428585739045431</c:v>
                </c:pt>
                <c:pt idx="13">
                  <c:v>0.82136448954505903</c:v>
                </c:pt>
                <c:pt idx="14">
                  <c:v>0.86570869836543063</c:v>
                </c:pt>
                <c:pt idx="15">
                  <c:v>0.87789110012871563</c:v>
                </c:pt>
                <c:pt idx="16">
                  <c:v>0.89896089217533182</c:v>
                </c:pt>
                <c:pt idx="17">
                  <c:v>0.91625295977952159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8-4B3B-8B9A-291A4A28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50992"/>
        <c:axId val="225051384"/>
      </c:scatterChart>
      <c:valAx>
        <c:axId val="2250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1384"/>
        <c:crosses val="autoZero"/>
        <c:crossBetween val="midCat"/>
      </c:valAx>
      <c:valAx>
        <c:axId val="2250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'DOSE-RESPONSE-Co(II)'!$B$136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'DOSE-RESPONSE-Co(II)'!$A$137:$A$153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'DOSE-RESPONSE-Co(II)'!$B$137:$B$153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0.26</c:v>
                </c:pt>
                <c:pt idx="10">
                  <c:v>0.54</c:v>
                </c:pt>
                <c:pt idx="11">
                  <c:v>0.66</c:v>
                </c:pt>
                <c:pt idx="12">
                  <c:v>0.79</c:v>
                </c:pt>
                <c:pt idx="13">
                  <c:v>0.83</c:v>
                </c:pt>
                <c:pt idx="14">
                  <c:v>0.86</c:v>
                </c:pt>
                <c:pt idx="15">
                  <c:v>0.88</c:v>
                </c:pt>
                <c:pt idx="1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1-4E5C-8F2D-F54BDF5DF5C9}"/>
            </c:ext>
          </c:extLst>
        </c:ser>
        <c:ser>
          <c:idx val="1"/>
          <c:order val="1"/>
          <c:tx>
            <c:strRef>
              <c:f>'DOSE-RESPONSE-Co(II)'!$C$136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'DOSE-RESPONSE-Co(II)'!$A$137:$A$153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'DOSE-RESPONSE-Co(II)'!$C$137:$C$153</c:f>
              <c:numCache>
                <c:formatCode>General</c:formatCode>
                <c:ptCount val="17"/>
                <c:pt idx="0">
                  <c:v>0</c:v>
                </c:pt>
                <c:pt idx="1">
                  <c:v>6.5563300045701212E-6</c:v>
                </c:pt>
                <c:pt idx="2">
                  <c:v>1.4967321891057317E-4</c:v>
                </c:pt>
                <c:pt idx="3">
                  <c:v>5.1214945362576536E-4</c:v>
                </c:pt>
                <c:pt idx="4">
                  <c:v>1.766388411125086E-3</c:v>
                </c:pt>
                <c:pt idx="5">
                  <c:v>3.8735384770814951E-3</c:v>
                </c:pt>
                <c:pt idx="6">
                  <c:v>7.9519542703913038E-3</c:v>
                </c:pt>
                <c:pt idx="7">
                  <c:v>2.4482988051776289E-2</c:v>
                </c:pt>
                <c:pt idx="8">
                  <c:v>5.7341588280045874E-2</c:v>
                </c:pt>
                <c:pt idx="9">
                  <c:v>0.25713319499102016</c:v>
                </c:pt>
                <c:pt idx="10">
                  <c:v>0.53591871325789009</c:v>
                </c:pt>
                <c:pt idx="11">
                  <c:v>0.66233163051933008</c:v>
                </c:pt>
                <c:pt idx="12">
                  <c:v>0.78334848232413257</c:v>
                </c:pt>
                <c:pt idx="13">
                  <c:v>0.82621173536851134</c:v>
                </c:pt>
                <c:pt idx="14">
                  <c:v>0.85997313546415732</c:v>
                </c:pt>
                <c:pt idx="15">
                  <c:v>0.88651145267295228</c:v>
                </c:pt>
                <c:pt idx="16">
                  <c:v>0.91614376615594484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1-4E5C-8F2D-F54BDF5D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52168"/>
        <c:axId val="225052560"/>
      </c:scatterChart>
      <c:valAx>
        <c:axId val="2250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2560"/>
        <c:crosses val="autoZero"/>
        <c:crossBetween val="midCat"/>
      </c:valAx>
      <c:valAx>
        <c:axId val="22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'DOSE-RESPONSE-Co(II)'!$B$162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'DOSE-RESPONSE-Co(II)'!$A$163:$A$172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95</c:v>
                </c:pt>
              </c:numCache>
            </c:numRef>
          </c:xVal>
          <c:yVal>
            <c:numRef>
              <c:f>'DOSE-RESPONSE-Co(II)'!$B$163:$B$172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</c:v>
                </c:pt>
                <c:pt idx="4">
                  <c:v>0.48</c:v>
                </c:pt>
                <c:pt idx="5">
                  <c:v>0.69</c:v>
                </c:pt>
                <c:pt idx="6">
                  <c:v>0.83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7-499C-B512-50EA82BA66E0}"/>
            </c:ext>
          </c:extLst>
        </c:ser>
        <c:ser>
          <c:idx val="1"/>
          <c:order val="1"/>
          <c:tx>
            <c:strRef>
              <c:f>'DOSE-RESPONSE-Co(II)'!$C$162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'DOSE-RESPONSE-Co(II)'!$A$163:$A$172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95</c:v>
                </c:pt>
              </c:numCache>
            </c:numRef>
          </c:xVal>
          <c:yVal>
            <c:numRef>
              <c:f>'DOSE-RESPONSE-Co(II)'!$C$163:$C$172</c:f>
              <c:numCache>
                <c:formatCode>General</c:formatCode>
                <c:ptCount val="10"/>
                <c:pt idx="0">
                  <c:v>0</c:v>
                </c:pt>
                <c:pt idx="1">
                  <c:v>9.8461532945708363E-3</c:v>
                </c:pt>
                <c:pt idx="2">
                  <c:v>3.718893729935302E-2</c:v>
                </c:pt>
                <c:pt idx="3">
                  <c:v>0.1759093570814354</c:v>
                </c:pt>
                <c:pt idx="4">
                  <c:v>0.50715131274600356</c:v>
                </c:pt>
                <c:pt idx="5">
                  <c:v>0.6846839034027421</c:v>
                </c:pt>
                <c:pt idx="6">
                  <c:v>0.79987940612440533</c:v>
                </c:pt>
                <c:pt idx="7">
                  <c:v>0.87005250077008311</c:v>
                </c:pt>
                <c:pt idx="8">
                  <c:v>0.89400460514410229</c:v>
                </c:pt>
                <c:pt idx="9">
                  <c:v>0.94899192545246969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77-499C-B512-50EA82BA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53344"/>
        <c:axId val="225053736"/>
      </c:scatterChart>
      <c:valAx>
        <c:axId val="2250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3736"/>
        <c:crosses val="autoZero"/>
        <c:crossBetween val="midCat"/>
      </c:valAx>
      <c:valAx>
        <c:axId val="2250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7938590091801"/>
          <c:y val="4.3109815354713303E-2"/>
          <c:w val="0.79656510904379596"/>
          <c:h val="0.928882257064805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'DOSE-RESPONSE-Co(II)'!$B$206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'DOSE-RESPONSE-Co(II)'!$A$207:$A$220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96</c:v>
                </c:pt>
                <c:pt idx="8">
                  <c:v>105</c:v>
                </c:pt>
                <c:pt idx="9">
                  <c:v>122</c:v>
                </c:pt>
                <c:pt idx="10">
                  <c:v>132</c:v>
                </c:pt>
                <c:pt idx="11">
                  <c:v>138</c:v>
                </c:pt>
                <c:pt idx="12">
                  <c:v>143</c:v>
                </c:pt>
                <c:pt idx="13">
                  <c:v>150</c:v>
                </c:pt>
              </c:numCache>
            </c:numRef>
          </c:xVal>
          <c:yVal>
            <c:numRef>
              <c:f>'DOSE-RESPONSE-Co(II)'!$B$207:$B$220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0.32</c:v>
                </c:pt>
                <c:pt idx="7">
                  <c:v>0.52</c:v>
                </c:pt>
                <c:pt idx="8">
                  <c:v>0.62</c:v>
                </c:pt>
                <c:pt idx="9">
                  <c:v>0.81</c:v>
                </c:pt>
                <c:pt idx="10">
                  <c:v>0.86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B-4F67-A87F-9A27C190761D}"/>
            </c:ext>
          </c:extLst>
        </c:ser>
        <c:ser>
          <c:idx val="1"/>
          <c:order val="1"/>
          <c:tx>
            <c:strRef>
              <c:f>'DOSE-RESPONSE-Co(II)'!$C$206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'DOSE-RESPONSE-Co(II)'!$A$207:$A$220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96</c:v>
                </c:pt>
                <c:pt idx="8">
                  <c:v>105</c:v>
                </c:pt>
                <c:pt idx="9">
                  <c:v>122</c:v>
                </c:pt>
                <c:pt idx="10">
                  <c:v>132</c:v>
                </c:pt>
                <c:pt idx="11">
                  <c:v>138</c:v>
                </c:pt>
                <c:pt idx="12">
                  <c:v>143</c:v>
                </c:pt>
                <c:pt idx="13">
                  <c:v>150</c:v>
                </c:pt>
              </c:numCache>
            </c:numRef>
          </c:xVal>
          <c:yVal>
            <c:numRef>
              <c:f>'DOSE-RESPONSE-Co(II)'!$C$207:$C$220</c:f>
              <c:numCache>
                <c:formatCode>General</c:formatCode>
                <c:ptCount val="14"/>
                <c:pt idx="0">
                  <c:v>0</c:v>
                </c:pt>
                <c:pt idx="1">
                  <c:v>3.8887438163781596E-4</c:v>
                </c:pt>
                <c:pt idx="2">
                  <c:v>3.0391329724097638E-3</c:v>
                </c:pt>
                <c:pt idx="3">
                  <c:v>1.2965027746928315E-2</c:v>
                </c:pt>
                <c:pt idx="4">
                  <c:v>3.9186378823662493E-2</c:v>
                </c:pt>
                <c:pt idx="5">
                  <c:v>9.332264070215035E-2</c:v>
                </c:pt>
                <c:pt idx="6">
                  <c:v>0.30724422187129896</c:v>
                </c:pt>
                <c:pt idx="7">
                  <c:v>0.52814340652094183</c:v>
                </c:pt>
                <c:pt idx="8">
                  <c:v>0.63823076209800556</c:v>
                </c:pt>
                <c:pt idx="9">
                  <c:v>0.79077744043119447</c:v>
                </c:pt>
                <c:pt idx="10">
                  <c:v>0.84936424519384612</c:v>
                </c:pt>
                <c:pt idx="11">
                  <c:v>0.87602608774096957</c:v>
                </c:pt>
                <c:pt idx="12">
                  <c:v>0.89435663815298871</c:v>
                </c:pt>
                <c:pt idx="13">
                  <c:v>0.91518781498880231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B-4F67-A87F-9A27C190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3776"/>
        <c:axId val="225014168"/>
      </c:scatterChart>
      <c:valAx>
        <c:axId val="2250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14168"/>
        <c:crosses val="autoZero"/>
        <c:crossBetween val="midCat"/>
      </c:valAx>
      <c:valAx>
        <c:axId val="2250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4100391430301"/>
          <c:y val="2.89535523834758E-2"/>
          <c:w val="0.79682024176043698"/>
          <c:h val="0.92937195650552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'DOSE-RESPONSE-Co(II)'!$B$182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'DOSE-RESPONSE-Co(II)'!$A$183:$A$196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</c:numCache>
            </c:numRef>
          </c:xVal>
          <c:yVal>
            <c:numRef>
              <c:f>'DOSE-RESPONSE-Co(II)'!$B$183:$B$196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0.09</c:v>
                </c:pt>
                <c:pt idx="8">
                  <c:v>0.21</c:v>
                </c:pt>
                <c:pt idx="9">
                  <c:v>0.36</c:v>
                </c:pt>
                <c:pt idx="10">
                  <c:v>0.46</c:v>
                </c:pt>
                <c:pt idx="11">
                  <c:v>0.72</c:v>
                </c:pt>
                <c:pt idx="12">
                  <c:v>0.88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1-4CA8-A1C3-332814124291}"/>
            </c:ext>
          </c:extLst>
        </c:ser>
        <c:ser>
          <c:idx val="1"/>
          <c:order val="1"/>
          <c:tx>
            <c:strRef>
              <c:f>'DOSE-RESPONSE-Co(II)'!$C$182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'DOSE-RESPONSE-Co(II)'!$A$183:$A$196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</c:numCache>
            </c:numRef>
          </c:xVal>
          <c:yVal>
            <c:numRef>
              <c:f>'DOSE-RESPONSE-Co(II)'!$C$183:$C$196</c:f>
              <c:numCache>
                <c:formatCode>General</c:formatCode>
                <c:ptCount val="14"/>
                <c:pt idx="0">
                  <c:v>0</c:v>
                </c:pt>
                <c:pt idx="1">
                  <c:v>9.0172823696832438E-7</c:v>
                </c:pt>
                <c:pt idx="2">
                  <c:v>1.2544972868000492E-4</c:v>
                </c:pt>
                <c:pt idx="3">
                  <c:v>6.1417703845667582E-4</c:v>
                </c:pt>
                <c:pt idx="4">
                  <c:v>2.2458696003391232E-3</c:v>
                </c:pt>
                <c:pt idx="5">
                  <c:v>6.7008161937667232E-3</c:v>
                </c:pt>
                <c:pt idx="6">
                  <c:v>1.715758864841499E-2</c:v>
                </c:pt>
                <c:pt idx="7">
                  <c:v>7.8772634890539761E-2</c:v>
                </c:pt>
                <c:pt idx="8">
                  <c:v>0.18785889422243296</c:v>
                </c:pt>
                <c:pt idx="9">
                  <c:v>0.35640365559870868</c:v>
                </c:pt>
                <c:pt idx="10">
                  <c:v>0.48417258642815897</c:v>
                </c:pt>
                <c:pt idx="11">
                  <c:v>0.7514889980605387</c:v>
                </c:pt>
                <c:pt idx="12">
                  <c:v>0.848915911076491</c:v>
                </c:pt>
                <c:pt idx="13">
                  <c:v>0.87227382726113589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1-4CA8-A1C3-33281412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4952"/>
        <c:axId val="225015344"/>
      </c:scatterChart>
      <c:valAx>
        <c:axId val="22501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15344"/>
        <c:crosses val="autoZero"/>
        <c:crossBetween val="midCat"/>
      </c:valAx>
      <c:valAx>
        <c:axId val="2250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'DOSE-RESPONSE-Co(II)'!$B$226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'DOSE-RESPONSE-Co(II)'!$A$227:$A$240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</c:numCache>
            </c:numRef>
          </c:xVal>
          <c:yVal>
            <c:numRef>
              <c:f>'DOSE-RESPONSE-Co(II)'!$B$227:$B$240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0.09</c:v>
                </c:pt>
                <c:pt idx="8">
                  <c:v>0.21</c:v>
                </c:pt>
                <c:pt idx="9">
                  <c:v>0.36</c:v>
                </c:pt>
                <c:pt idx="10">
                  <c:v>0.46</c:v>
                </c:pt>
                <c:pt idx="11">
                  <c:v>0.72</c:v>
                </c:pt>
                <c:pt idx="12">
                  <c:v>0.88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0-4BF6-9ED1-F8E3400CBC2D}"/>
            </c:ext>
          </c:extLst>
        </c:ser>
        <c:ser>
          <c:idx val="1"/>
          <c:order val="1"/>
          <c:tx>
            <c:strRef>
              <c:f>'DOSE-RESPONSE-Co(II)'!$C$226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'DOSE-RESPONSE-Co(II)'!$A$227:$A$240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</c:numCache>
            </c:numRef>
          </c:xVal>
          <c:yVal>
            <c:numRef>
              <c:f>'DOSE-RESPONSE-Co(II)'!$C$227:$C$240</c:f>
              <c:numCache>
                <c:formatCode>General</c:formatCode>
                <c:ptCount val="14"/>
                <c:pt idx="0">
                  <c:v>0</c:v>
                </c:pt>
                <c:pt idx="1">
                  <c:v>1.3362983724007904E-6</c:v>
                </c:pt>
                <c:pt idx="2">
                  <c:v>1.6073769310920305E-4</c:v>
                </c:pt>
                <c:pt idx="3">
                  <c:v>7.5086703161375556E-4</c:v>
                </c:pt>
                <c:pt idx="4">
                  <c:v>2.6419615281028097E-3</c:v>
                </c:pt>
                <c:pt idx="5">
                  <c:v>7.6276253412919104E-3</c:v>
                </c:pt>
                <c:pt idx="6">
                  <c:v>1.8973686692104197E-2</c:v>
                </c:pt>
                <c:pt idx="7">
                  <c:v>8.2906117390735723E-2</c:v>
                </c:pt>
                <c:pt idx="8">
                  <c:v>0.19190661015315269</c:v>
                </c:pt>
                <c:pt idx="9">
                  <c:v>0.35653871560293293</c:v>
                </c:pt>
                <c:pt idx="10">
                  <c:v>0.48043698890902442</c:v>
                </c:pt>
                <c:pt idx="11">
                  <c:v>0.74214224134507289</c:v>
                </c:pt>
                <c:pt idx="12">
                  <c:v>0.84002706743031563</c:v>
                </c:pt>
                <c:pt idx="13">
                  <c:v>0.99999999924770366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0-4BF6-9ED1-F8E3400C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5488"/>
        <c:axId val="1044886736"/>
      </c:scatterChart>
      <c:valAx>
        <c:axId val="10448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6736"/>
        <c:crosses val="autoZero"/>
        <c:crossBetween val="midCat"/>
      </c:valAx>
      <c:valAx>
        <c:axId val="10448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pH!$G$2:$G$15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140</c:v>
                </c:pt>
              </c:numCache>
            </c:numRef>
          </c:xVal>
          <c:yVal>
            <c:numRef>
              <c:f>pH!$L$2:$L$15</c:f>
              <c:numCache>
                <c:formatCode>General</c:formatCode>
                <c:ptCount val="14"/>
                <c:pt idx="0">
                  <c:v>25</c:v>
                </c:pt>
                <c:pt idx="1">
                  <c:v>24.7</c:v>
                </c:pt>
                <c:pt idx="2">
                  <c:v>24.4</c:v>
                </c:pt>
                <c:pt idx="3">
                  <c:v>23.9</c:v>
                </c:pt>
                <c:pt idx="4">
                  <c:v>23.2</c:v>
                </c:pt>
                <c:pt idx="5">
                  <c:v>22.7</c:v>
                </c:pt>
                <c:pt idx="6">
                  <c:v>21.7</c:v>
                </c:pt>
                <c:pt idx="7">
                  <c:v>21.1</c:v>
                </c:pt>
                <c:pt idx="8">
                  <c:v>19.899999999999999</c:v>
                </c:pt>
                <c:pt idx="9">
                  <c:v>18.7</c:v>
                </c:pt>
                <c:pt idx="10">
                  <c:v>18.5</c:v>
                </c:pt>
                <c:pt idx="11">
                  <c:v>18.399999999999999</c:v>
                </c:pt>
                <c:pt idx="12">
                  <c:v>18.399999999999999</c:v>
                </c:pt>
                <c:pt idx="13">
                  <c:v>18.3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F-4FAC-8292-A21DA464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04848"/>
        <c:axId val="221815480"/>
      </c:scatterChart>
      <c:valAx>
        <c:axId val="2218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15480"/>
        <c:crosses val="autoZero"/>
        <c:crossBetween val="midCat"/>
      </c:valAx>
      <c:valAx>
        <c:axId val="2218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772829625805006E-2"/>
          <c:y val="2.00091791804713E-2"/>
          <c:w val="0.87604319951809295"/>
          <c:h val="0.90056451959898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'C0(II) ADS'!$B$4</c:f>
              <c:strCache>
                <c:ptCount val="1"/>
                <c:pt idx="0">
                  <c:v>BH=12 cm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'C0(II) ADS'!$A$6:$A$27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255</c:v>
                </c:pt>
                <c:pt idx="12">
                  <c:v>280</c:v>
                </c:pt>
                <c:pt idx="13">
                  <c:v>293</c:v>
                </c:pt>
                <c:pt idx="14">
                  <c:v>300</c:v>
                </c:pt>
                <c:pt idx="15">
                  <c:v>315</c:v>
                </c:pt>
                <c:pt idx="16">
                  <c:v>337</c:v>
                </c:pt>
                <c:pt idx="17">
                  <c:v>354</c:v>
                </c:pt>
                <c:pt idx="18">
                  <c:v>362</c:v>
                </c:pt>
                <c:pt idx="19">
                  <c:v>370</c:v>
                </c:pt>
                <c:pt idx="20">
                  <c:v>375</c:v>
                </c:pt>
                <c:pt idx="21">
                  <c:v>380</c:v>
                </c:pt>
              </c:numCache>
            </c:numRef>
          </c:xVal>
          <c:yVal>
            <c:numRef>
              <c:f>'C0(II) ADS'!$B$6:$B$27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0.08</c:v>
                </c:pt>
                <c:pt idx="12">
                  <c:v>0.21</c:v>
                </c:pt>
                <c:pt idx="13">
                  <c:v>0.3</c:v>
                </c:pt>
                <c:pt idx="14">
                  <c:v>0.35</c:v>
                </c:pt>
                <c:pt idx="15">
                  <c:v>0.49</c:v>
                </c:pt>
                <c:pt idx="16">
                  <c:v>0.68</c:v>
                </c:pt>
                <c:pt idx="17">
                  <c:v>0.8</c:v>
                </c:pt>
                <c:pt idx="18">
                  <c:v>0.84</c:v>
                </c:pt>
                <c:pt idx="19">
                  <c:v>0.87</c:v>
                </c:pt>
                <c:pt idx="20">
                  <c:v>0.89</c:v>
                </c:pt>
                <c:pt idx="2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3-4533-9F97-7DDCCD458800}"/>
            </c:ext>
          </c:extLst>
        </c:ser>
        <c:ser>
          <c:idx val="1"/>
          <c:order val="1"/>
          <c:tx>
            <c:strRef>
              <c:f>'C0(II) ADS'!$E$4</c:f>
              <c:strCache>
                <c:ptCount val="1"/>
                <c:pt idx="0">
                  <c:v>BH=8 cm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'C0(II) ADS'!$D$6:$D$23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115</c:v>
                </c:pt>
                <c:pt idx="9">
                  <c:v>140</c:v>
                </c:pt>
                <c:pt idx="10">
                  <c:v>170</c:v>
                </c:pt>
                <c:pt idx="11">
                  <c:v>195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</c:numCache>
            </c:numRef>
          </c:xVal>
          <c:yVal>
            <c:numRef>
              <c:f>'C0(II) ADS'!$E$6:$E$23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0.08</c:v>
                </c:pt>
                <c:pt idx="10">
                  <c:v>0.3</c:v>
                </c:pt>
                <c:pt idx="11">
                  <c:v>0.49</c:v>
                </c:pt>
                <c:pt idx="12">
                  <c:v>0.6</c:v>
                </c:pt>
                <c:pt idx="13">
                  <c:v>0.71</c:v>
                </c:pt>
                <c:pt idx="14">
                  <c:v>0.8</c:v>
                </c:pt>
                <c:pt idx="15">
                  <c:v>0.85</c:v>
                </c:pt>
                <c:pt idx="16">
                  <c:v>0.87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33-4533-9F97-7DDCCD458800}"/>
            </c:ext>
          </c:extLst>
        </c:ser>
        <c:ser>
          <c:idx val="2"/>
          <c:order val="2"/>
          <c:tx>
            <c:strRef>
              <c:f>'C0(II) ADS'!$H$5</c:f>
              <c:strCache>
                <c:ptCount val="1"/>
                <c:pt idx="0">
                  <c:v>BH=4 cm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'C0(II) ADS'!$G$7:$G$20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'C0(II) ADS'!$H$7:$H$20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0.24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0.7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33-4533-9F97-7DDCCD45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34672"/>
        <c:axId val="222135056"/>
      </c:scatterChart>
      <c:valAx>
        <c:axId val="2221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5056"/>
        <c:crosses val="autoZero"/>
        <c:crossBetween val="midCat"/>
      </c:valAx>
      <c:valAx>
        <c:axId val="22213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63058710619003E-2"/>
          <c:y val="4.1666666666666699E-2"/>
          <c:w val="0.89971869785217595"/>
          <c:h val="0.93752833452636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'C0(II) ADS'!$B$38</c:f>
              <c:strCache>
                <c:ptCount val="1"/>
                <c:pt idx="0">
                  <c:v>fr4ml/min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'C0(II) ADS'!$A$40:$A$57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90</c:v>
                </c:pt>
                <c:pt idx="7">
                  <c:v>150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315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</c:numCache>
            </c:numRef>
          </c:xVal>
          <c:yVal>
            <c:numRef>
              <c:f>'C0(II) ADS'!$B$40:$B$57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0.63</c:v>
                </c:pt>
                <c:pt idx="11">
                  <c:v>0.74</c:v>
                </c:pt>
                <c:pt idx="12">
                  <c:v>0.79</c:v>
                </c:pt>
                <c:pt idx="13">
                  <c:v>0.83</c:v>
                </c:pt>
                <c:pt idx="14">
                  <c:v>0.87</c:v>
                </c:pt>
                <c:pt idx="15">
                  <c:v>0.88</c:v>
                </c:pt>
                <c:pt idx="16">
                  <c:v>0.89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D-47CA-837D-62EEDEB7607E}"/>
            </c:ext>
          </c:extLst>
        </c:ser>
        <c:ser>
          <c:idx val="1"/>
          <c:order val="1"/>
          <c:tx>
            <c:strRef>
              <c:f>'C0(II) ADS'!$E$38</c:f>
              <c:strCache>
                <c:ptCount val="1"/>
                <c:pt idx="0">
                  <c:v>fr8ml/min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'C0(II) ADS'!$D$40:$D$53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'C0(II) ADS'!$E$40:$E$53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0.24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0.7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D-47CA-837D-62EEDEB7607E}"/>
            </c:ext>
          </c:extLst>
        </c:ser>
        <c:ser>
          <c:idx val="2"/>
          <c:order val="2"/>
          <c:tx>
            <c:strRef>
              <c:f>'C0(II) ADS'!$H$38</c:f>
              <c:strCache>
                <c:ptCount val="1"/>
                <c:pt idx="0">
                  <c:v>fr12ml/min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'C0(II) ADS'!$G$40:$G$49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85</c:v>
                </c:pt>
                <c:pt idx="7">
                  <c:v>100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'C0(II) ADS'!$H$40:$H$48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0.32</c:v>
                </c:pt>
                <c:pt idx="4">
                  <c:v>0.62</c:v>
                </c:pt>
                <c:pt idx="5">
                  <c:v>0.74</c:v>
                </c:pt>
                <c:pt idx="6">
                  <c:v>0.86</c:v>
                </c:pt>
                <c:pt idx="7">
                  <c:v>0.89</c:v>
                </c:pt>
                <c:pt idx="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D-47CA-837D-62EEDEB7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58032"/>
        <c:axId val="222662512"/>
      </c:scatterChart>
      <c:valAx>
        <c:axId val="2226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2512"/>
        <c:crosses val="autoZero"/>
        <c:crossBetween val="midCat"/>
      </c:valAx>
      <c:valAx>
        <c:axId val="22266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q(mg/g)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06769773908505E-2"/>
          <c:y val="2.8199901408262999E-2"/>
          <c:w val="0.83689431876777498"/>
          <c:h val="0.92950930626057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'C0(II) ADS'!$B$69</c:f>
              <c:strCache>
                <c:ptCount val="1"/>
                <c:pt idx="0">
                  <c:v>50mg/l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'C0(II) ADS'!$A$71:$A$87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41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155</c:v>
                </c:pt>
                <c:pt idx="10">
                  <c:v>210</c:v>
                </c:pt>
                <c:pt idx="11">
                  <c:v>240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370</c:v>
                </c:pt>
              </c:numCache>
            </c:numRef>
          </c:xVal>
          <c:yVal>
            <c:numRef>
              <c:f>'C0(II) ADS'!$B$71:$B$87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0.26</c:v>
                </c:pt>
                <c:pt idx="10">
                  <c:v>0.54</c:v>
                </c:pt>
                <c:pt idx="11">
                  <c:v>0.66</c:v>
                </c:pt>
                <c:pt idx="12">
                  <c:v>0.79</c:v>
                </c:pt>
                <c:pt idx="13">
                  <c:v>0.83</c:v>
                </c:pt>
                <c:pt idx="14">
                  <c:v>0.86</c:v>
                </c:pt>
                <c:pt idx="15">
                  <c:v>0.88</c:v>
                </c:pt>
                <c:pt idx="1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9-4246-8A51-BE6DE852E0F0}"/>
            </c:ext>
          </c:extLst>
        </c:ser>
        <c:ser>
          <c:idx val="1"/>
          <c:order val="1"/>
          <c:tx>
            <c:strRef>
              <c:f>'C0(II) ADS'!$E$69</c:f>
              <c:strCache>
                <c:ptCount val="1"/>
                <c:pt idx="0">
                  <c:v>100mg/l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'C0(II) ADS'!$D$71:$D$84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'C0(II) ADS'!$E$71:$E$84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0.24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0.7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9-4246-8A51-BE6DE852E0F0}"/>
            </c:ext>
          </c:extLst>
        </c:ser>
        <c:ser>
          <c:idx val="2"/>
          <c:order val="2"/>
          <c:tx>
            <c:strRef>
              <c:f>'C0(II) ADS'!$H$69</c:f>
              <c:strCache>
                <c:ptCount val="1"/>
                <c:pt idx="0">
                  <c:v>  150mg/l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'C0(II) ADS'!$G$71:$G$80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95</c:v>
                </c:pt>
              </c:numCache>
            </c:numRef>
          </c:xVal>
          <c:yVal>
            <c:numRef>
              <c:f>'C0(II) ADS'!$H$71:$H$80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</c:v>
                </c:pt>
                <c:pt idx="4">
                  <c:v>0.48</c:v>
                </c:pt>
                <c:pt idx="5">
                  <c:v>0.69</c:v>
                </c:pt>
                <c:pt idx="6">
                  <c:v>0.83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9-4246-8A51-BE6DE852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08680"/>
        <c:axId val="222209072"/>
      </c:scatterChart>
      <c:valAx>
        <c:axId val="22220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9072"/>
        <c:crosses val="autoZero"/>
        <c:crossBetween val="midCat"/>
      </c:valAx>
      <c:valAx>
        <c:axId val="22220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10660131571998E-2"/>
          <c:y val="1.98464972803001E-2"/>
          <c:w val="0.88226079474872299"/>
          <c:h val="0.94053533618267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'C0(II) ADS'!$B$96</c:f>
              <c:strCache>
                <c:ptCount val="1"/>
                <c:pt idx="0">
                  <c:v>MF-MNFC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'C0(II) ADS'!$A$98:$A$112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140</c:v>
                </c:pt>
                <c:pt idx="11">
                  <c:v>165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</c:numCache>
            </c:numRef>
          </c:xVal>
          <c:yVal>
            <c:numRef>
              <c:f>'C0(II) ADS'!$B$98:$B$112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0.09</c:v>
                </c:pt>
                <c:pt idx="8">
                  <c:v>0.21</c:v>
                </c:pt>
                <c:pt idx="9">
                  <c:v>0.36</c:v>
                </c:pt>
                <c:pt idx="10">
                  <c:v>0.46</c:v>
                </c:pt>
                <c:pt idx="11">
                  <c:v>0.72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F-4CA1-8AA1-408C80A25753}"/>
            </c:ext>
          </c:extLst>
        </c:ser>
        <c:ser>
          <c:idx val="1"/>
          <c:order val="1"/>
          <c:tx>
            <c:strRef>
              <c:f>'C0(II) ADS'!$E$96</c:f>
              <c:strCache>
                <c:ptCount val="1"/>
                <c:pt idx="0">
                  <c:v>C-MNFC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'C0(II) ADS'!$D$98:$D$111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96</c:v>
                </c:pt>
                <c:pt idx="8">
                  <c:v>105</c:v>
                </c:pt>
                <c:pt idx="9">
                  <c:v>122</c:v>
                </c:pt>
                <c:pt idx="10">
                  <c:v>132</c:v>
                </c:pt>
                <c:pt idx="11">
                  <c:v>138</c:v>
                </c:pt>
                <c:pt idx="12">
                  <c:v>143</c:v>
                </c:pt>
                <c:pt idx="13">
                  <c:v>150</c:v>
                </c:pt>
              </c:numCache>
            </c:numRef>
          </c:xVal>
          <c:yVal>
            <c:numRef>
              <c:f>'C0(II) ADS'!$E$98:$E$111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0.32</c:v>
                </c:pt>
                <c:pt idx="7">
                  <c:v>0.52</c:v>
                </c:pt>
                <c:pt idx="8">
                  <c:v>0.62</c:v>
                </c:pt>
                <c:pt idx="9">
                  <c:v>0.81</c:v>
                </c:pt>
                <c:pt idx="10">
                  <c:v>0.86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F-4CA1-8AA1-408C80A25753}"/>
            </c:ext>
          </c:extLst>
        </c:ser>
        <c:ser>
          <c:idx val="2"/>
          <c:order val="2"/>
          <c:tx>
            <c:strRef>
              <c:f>'C0(II) ADS'!$H$96</c:f>
              <c:strCache>
                <c:ptCount val="1"/>
                <c:pt idx="0">
                  <c:v>C-NFC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'C0(II) ADS'!$G$98:$G$106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85</c:v>
                </c:pt>
                <c:pt idx="7">
                  <c:v>100</c:v>
                </c:pt>
                <c:pt idx="8">
                  <c:v>120</c:v>
                </c:pt>
              </c:numCache>
            </c:numRef>
          </c:xVal>
          <c:yVal>
            <c:numRef>
              <c:f>'C0(II) ADS'!$H$98:$H$107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0.32</c:v>
                </c:pt>
                <c:pt idx="4">
                  <c:v>0.62</c:v>
                </c:pt>
                <c:pt idx="5">
                  <c:v>0.74</c:v>
                </c:pt>
                <c:pt idx="6">
                  <c:v>0.86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F-4CA1-8AA1-408C80A25753}"/>
            </c:ext>
          </c:extLst>
        </c:ser>
        <c:ser>
          <c:idx val="3"/>
          <c:order val="3"/>
          <c:tx>
            <c:strRef>
              <c:f>'C0(II) ADS'!$K$96</c:f>
              <c:strCache>
                <c:ptCount val="1"/>
                <c:pt idx="0">
                  <c:v>MF-NFC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'C0(II) ADS'!$J$98:$J$106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</c:numCache>
            </c:numRef>
          </c:xVal>
          <c:yVal>
            <c:numRef>
              <c:f>'C0(II) ADS'!$K$98:$K$106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0.48</c:v>
                </c:pt>
                <c:pt idx="4">
                  <c:v>0.75</c:v>
                </c:pt>
                <c:pt idx="5">
                  <c:v>0.84</c:v>
                </c:pt>
                <c:pt idx="6">
                  <c:v>0.87</c:v>
                </c:pt>
                <c:pt idx="7">
                  <c:v>0.89</c:v>
                </c:pt>
                <c:pt idx="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F-4CA1-8AA1-408C80A2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09856"/>
        <c:axId val="222210248"/>
      </c:scatterChart>
      <c:valAx>
        <c:axId val="22220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0248"/>
        <c:crosses val="autoZero"/>
        <c:crossBetween val="midCat"/>
      </c:valAx>
      <c:valAx>
        <c:axId val="22221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normalizeH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normalizeH="1" baseline="0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normalizeH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'THOMAS MODEL-Co(II) ION'!$B$5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ION'!$A$6:$A$19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'THOMAS MODEL-Co(II) ION'!$B$6:$B$19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0.24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0.7</c:v>
                </c:pt>
                <c:pt idx="10">
                  <c:v>0.85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8-4730-A56D-60102FF1F83A}"/>
            </c:ext>
          </c:extLst>
        </c:ser>
        <c:ser>
          <c:idx val="1"/>
          <c:order val="1"/>
          <c:tx>
            <c:strRef>
              <c:f>'THOMAS MODEL-Co(II) ION'!$C$5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ION'!$A$6:$A$19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  <c:pt idx="7">
                  <c:v>92</c:v>
                </c:pt>
                <c:pt idx="8">
                  <c:v>110</c:v>
                </c:pt>
                <c:pt idx="9">
                  <c:v>130</c:v>
                </c:pt>
                <c:pt idx="10">
                  <c:v>160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'THOMAS MODEL-Co(II) ION'!$C$6:$C$19</c:f>
              <c:numCache>
                <c:formatCode>General</c:formatCode>
                <c:ptCount val="14"/>
                <c:pt idx="0">
                  <c:v>2.2966334291301977E-2</c:v>
                </c:pt>
                <c:pt idx="1">
                  <c:v>3.2365735448746664E-2</c:v>
                </c:pt>
                <c:pt idx="2">
                  <c:v>3.8368852174807407E-2</c:v>
                </c:pt>
                <c:pt idx="3">
                  <c:v>4.543313290099768E-2</c:v>
                </c:pt>
                <c:pt idx="4">
                  <c:v>5.3725388105167443E-2</c:v>
                </c:pt>
                <c:pt idx="5">
                  <c:v>8.7900754223337763E-2</c:v>
                </c:pt>
                <c:pt idx="6">
                  <c:v>0.21732442899150536</c:v>
                </c:pt>
                <c:pt idx="7">
                  <c:v>0.3762950754713662</c:v>
                </c:pt>
                <c:pt idx="8">
                  <c:v>0.53236077690053862</c:v>
                </c:pt>
                <c:pt idx="9">
                  <c:v>0.69743220408532247</c:v>
                </c:pt>
                <c:pt idx="10">
                  <c:v>0.86913286012471314</c:v>
                </c:pt>
                <c:pt idx="11">
                  <c:v>0.93078360292516849</c:v>
                </c:pt>
                <c:pt idx="12">
                  <c:v>0.9503356018778143</c:v>
                </c:pt>
                <c:pt idx="13">
                  <c:v>0.96457482436897657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8-4730-A56D-60102FF1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11032"/>
        <c:axId val="222211424"/>
      </c:scatterChart>
      <c:valAx>
        <c:axId val="22221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1424"/>
        <c:crosses val="autoZero"/>
        <c:crossBetween val="midCat"/>
      </c:valAx>
      <c:valAx>
        <c:axId val="2222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'THOMAS MODEL-Co(II) ION'!$B$26</c:f>
              <c:strCache>
                <c:ptCount val="1"/>
                <c:pt idx="0">
                  <c:v>qexp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'THOMAS MODEL-Co(II) ION'!$A$27:$A$44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115</c:v>
                </c:pt>
                <c:pt idx="9">
                  <c:v>140</c:v>
                </c:pt>
                <c:pt idx="10">
                  <c:v>170</c:v>
                </c:pt>
                <c:pt idx="11">
                  <c:v>195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</c:numCache>
            </c:numRef>
          </c:xVal>
          <c:yVal>
            <c:numRef>
              <c:f>'THOMAS MODEL-Co(II) ION'!$B$27:$B$44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0.08</c:v>
                </c:pt>
                <c:pt idx="10">
                  <c:v>0.3</c:v>
                </c:pt>
                <c:pt idx="11">
                  <c:v>0.49</c:v>
                </c:pt>
                <c:pt idx="12">
                  <c:v>0.6</c:v>
                </c:pt>
                <c:pt idx="13">
                  <c:v>0.71</c:v>
                </c:pt>
                <c:pt idx="14">
                  <c:v>0.8</c:v>
                </c:pt>
                <c:pt idx="15">
                  <c:v>0.85</c:v>
                </c:pt>
                <c:pt idx="16">
                  <c:v>0.87</c:v>
                </c:pt>
                <c:pt idx="1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C-46D2-9278-691F98FBD2AC}"/>
            </c:ext>
          </c:extLst>
        </c:ser>
        <c:ser>
          <c:idx val="1"/>
          <c:order val="1"/>
          <c:tx>
            <c:strRef>
              <c:f>'THOMAS MODEL-Co(II) ION'!$C$26</c:f>
              <c:strCache>
                <c:ptCount val="1"/>
                <c:pt idx="0">
                  <c:v>qcalc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'THOMAS MODEL-Co(II) ION'!$A$27:$A$43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115</c:v>
                </c:pt>
                <c:pt idx="9">
                  <c:v>140</c:v>
                </c:pt>
                <c:pt idx="10">
                  <c:v>170</c:v>
                </c:pt>
                <c:pt idx="11">
                  <c:v>195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285</c:v>
                </c:pt>
              </c:numCache>
            </c:numRef>
          </c:xVal>
          <c:yVal>
            <c:numRef>
              <c:f>'THOMAS MODEL-Co(II) ION'!$C$27:$C$44</c:f>
              <c:numCache>
                <c:formatCode>General</c:formatCode>
                <c:ptCount val="18"/>
                <c:pt idx="0">
                  <c:v>2.3955595696019934E-3</c:v>
                </c:pt>
                <c:pt idx="1">
                  <c:v>4.3525233776721163E-3</c:v>
                </c:pt>
                <c:pt idx="2">
                  <c:v>5.8637424306585808E-3</c:v>
                </c:pt>
                <c:pt idx="3">
                  <c:v>7.8955037957325891E-3</c:v>
                </c:pt>
                <c:pt idx="4">
                  <c:v>1.0623738488337741E-2</c:v>
                </c:pt>
                <c:pt idx="5">
                  <c:v>1.4281124832399621E-2</c:v>
                </c:pt>
                <c:pt idx="6">
                  <c:v>1.9173222556624337E-2</c:v>
                </c:pt>
                <c:pt idx="7">
                  <c:v>2.5697453797692352E-2</c:v>
                </c:pt>
                <c:pt idx="8">
                  <c:v>6.998625018692263E-2</c:v>
                </c:pt>
                <c:pt idx="9">
                  <c:v>0.13728534330874465</c:v>
                </c:pt>
                <c:pt idx="10">
                  <c:v>0.28102788514027155</c:v>
                </c:pt>
                <c:pt idx="11">
                  <c:v>0.45252085043136459</c:v>
                </c:pt>
                <c:pt idx="12">
                  <c:v>0.56435021794918627</c:v>
                </c:pt>
                <c:pt idx="13">
                  <c:v>0.70222984192167237</c:v>
                </c:pt>
                <c:pt idx="14">
                  <c:v>0.81107974173102448</c:v>
                </c:pt>
                <c:pt idx="15">
                  <c:v>0.88656695222342519</c:v>
                </c:pt>
                <c:pt idx="16">
                  <c:v>0.92452445131180816</c:v>
                </c:pt>
                <c:pt idx="17">
                  <c:v>0.95048974886310833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4C-46D2-9278-691F98FB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6080"/>
        <c:axId val="222986472"/>
      </c:scatterChart>
      <c:valAx>
        <c:axId val="2229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6472"/>
        <c:crosses val="autoZero"/>
        <c:crossBetween val="midCat"/>
      </c:valAx>
      <c:valAx>
        <c:axId val="2229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8.xml"/><Relationship Id="rId5" Type="http://schemas.openxmlformats.org/officeDocument/2006/relationships/chart" Target="../charts/chart23.xml"/><Relationship Id="rId10" Type="http://schemas.openxmlformats.org/officeDocument/2006/relationships/image" Target="../media/image3.png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361950</xdr:colOff>
      <xdr:row>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"/>
          <a:ext cx="2162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127</xdr:row>
      <xdr:rowOff>142875</xdr:rowOff>
    </xdr:from>
    <xdr:to>
      <xdr:col>19</xdr:col>
      <xdr:colOff>133349</xdr:colOff>
      <xdr:row>147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3</xdr:row>
      <xdr:rowOff>38100</xdr:rowOff>
    </xdr:from>
    <xdr:to>
      <xdr:col>20</xdr:col>
      <xdr:colOff>0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25</xdr:row>
      <xdr:rowOff>19050</xdr:rowOff>
    </xdr:from>
    <xdr:to>
      <xdr:col>20</xdr:col>
      <xdr:colOff>76200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55</xdr:row>
      <xdr:rowOff>104775</xdr:rowOff>
    </xdr:from>
    <xdr:to>
      <xdr:col>20</xdr:col>
      <xdr:colOff>66674</xdr:colOff>
      <xdr:row>75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110</xdr:row>
      <xdr:rowOff>57150</xdr:rowOff>
    </xdr:from>
    <xdr:to>
      <xdr:col>20</xdr:col>
      <xdr:colOff>47624</xdr:colOff>
      <xdr:row>126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542924</xdr:colOff>
      <xdr:row>85</xdr:row>
      <xdr:rowOff>152400</xdr:rowOff>
    </xdr:from>
    <xdr:to>
      <xdr:col>20</xdr:col>
      <xdr:colOff>38099</xdr:colOff>
      <xdr:row>104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9524</xdr:colOff>
      <xdr:row>135</xdr:row>
      <xdr:rowOff>95250</xdr:rowOff>
    </xdr:from>
    <xdr:to>
      <xdr:col>20</xdr:col>
      <xdr:colOff>19049</xdr:colOff>
      <xdr:row>152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600074</xdr:colOff>
      <xdr:row>155</xdr:row>
      <xdr:rowOff>152400</xdr:rowOff>
    </xdr:from>
    <xdr:to>
      <xdr:col>19</xdr:col>
      <xdr:colOff>590549</xdr:colOff>
      <xdr:row>172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123825</xdr:colOff>
      <xdr:row>203</xdr:row>
      <xdr:rowOff>38100</xdr:rowOff>
    </xdr:from>
    <xdr:to>
      <xdr:col>20</xdr:col>
      <xdr:colOff>104774</xdr:colOff>
      <xdr:row>220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333374</xdr:colOff>
      <xdr:row>182</xdr:row>
      <xdr:rowOff>161925</xdr:rowOff>
    </xdr:from>
    <xdr:to>
      <xdr:col>20</xdr:col>
      <xdr:colOff>38099</xdr:colOff>
      <xdr:row>199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2</xdr:col>
      <xdr:colOff>438150</xdr:colOff>
      <xdr:row>223</xdr:row>
      <xdr:rowOff>47625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62650"/>
          <a:ext cx="16383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161925</xdr:colOff>
      <xdr:row>224</xdr:row>
      <xdr:rowOff>14287</xdr:rowOff>
    </xdr:from>
    <xdr:to>
      <xdr:col>20</xdr:col>
      <xdr:colOff>9525</xdr:colOff>
      <xdr:row>238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314325</xdr:colOff>
      <xdr:row>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"/>
          <a:ext cx="21145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247650</xdr:colOff>
      <xdr:row>3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"/>
          <a:ext cx="14478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9525</xdr:rowOff>
    </xdr:from>
    <xdr:to>
      <xdr:col>8</xdr:col>
      <xdr:colOff>95250</xdr:colOff>
      <xdr:row>30</xdr:row>
      <xdr:rowOff>42861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15</xdr:row>
      <xdr:rowOff>66675</xdr:rowOff>
    </xdr:from>
    <xdr:to>
      <xdr:col>19</xdr:col>
      <xdr:colOff>419100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31</xdr:row>
      <xdr:rowOff>76200</xdr:rowOff>
    </xdr:from>
    <xdr:to>
      <xdr:col>8</xdr:col>
      <xdr:colOff>76200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28575</xdr:rowOff>
    </xdr:from>
    <xdr:to>
      <xdr:col>19</xdr:col>
      <xdr:colOff>285750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36</xdr:row>
      <xdr:rowOff>19050</xdr:rowOff>
    </xdr:from>
    <xdr:to>
      <xdr:col>19</xdr:col>
      <xdr:colOff>466725</xdr:colOff>
      <xdr:row>54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523874</xdr:colOff>
      <xdr:row>66</xdr:row>
      <xdr:rowOff>104775</xdr:rowOff>
    </xdr:from>
    <xdr:to>
      <xdr:col>19</xdr:col>
      <xdr:colOff>95250</xdr:colOff>
      <xdr:row>86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295274</xdr:colOff>
      <xdr:row>92</xdr:row>
      <xdr:rowOff>0</xdr:rowOff>
    </xdr:from>
    <xdr:to>
      <xdr:col>21</xdr:col>
      <xdr:colOff>590549</xdr:colOff>
      <xdr:row>110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4</xdr:row>
      <xdr:rowOff>47625</xdr:rowOff>
    </xdr:from>
    <xdr:to>
      <xdr:col>20</xdr:col>
      <xdr:colOff>9524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466724</xdr:colOff>
      <xdr:row>25</xdr:row>
      <xdr:rowOff>28575</xdr:rowOff>
    </xdr:from>
    <xdr:to>
      <xdr:col>19</xdr:col>
      <xdr:colOff>342899</xdr:colOff>
      <xdr:row>43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55</xdr:row>
      <xdr:rowOff>9525</xdr:rowOff>
    </xdr:from>
    <xdr:to>
      <xdr:col>19</xdr:col>
      <xdr:colOff>180974</xdr:colOff>
      <xdr:row>73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581024</xdr:colOff>
      <xdr:row>80</xdr:row>
      <xdr:rowOff>133350</xdr:rowOff>
    </xdr:from>
    <xdr:to>
      <xdr:col>19</xdr:col>
      <xdr:colOff>285749</xdr:colOff>
      <xdr:row>99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533399</xdr:colOff>
      <xdr:row>137</xdr:row>
      <xdr:rowOff>152400</xdr:rowOff>
    </xdr:from>
    <xdr:to>
      <xdr:col>19</xdr:col>
      <xdr:colOff>219074</xdr:colOff>
      <xdr:row>155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120</xdr:row>
      <xdr:rowOff>19050</xdr:rowOff>
    </xdr:from>
    <xdr:to>
      <xdr:col>18</xdr:col>
      <xdr:colOff>447675</xdr:colOff>
      <xdr:row>134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361950</xdr:colOff>
      <xdr:row>2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"/>
          <a:ext cx="2162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52</xdr:row>
      <xdr:rowOff>104774</xdr:rowOff>
    </xdr:from>
    <xdr:to>
      <xdr:col>19</xdr:col>
      <xdr:colOff>571500</xdr:colOff>
      <xdr:row>74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80</xdr:row>
      <xdr:rowOff>161926</xdr:rowOff>
    </xdr:from>
    <xdr:to>
      <xdr:col>19</xdr:col>
      <xdr:colOff>495299</xdr:colOff>
      <xdr:row>99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190</xdr:row>
      <xdr:rowOff>28575</xdr:rowOff>
    </xdr:from>
    <xdr:to>
      <xdr:col>19</xdr:col>
      <xdr:colOff>457199</xdr:colOff>
      <xdr:row>207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166</xdr:row>
      <xdr:rowOff>38100</xdr:rowOff>
    </xdr:from>
    <xdr:to>
      <xdr:col>19</xdr:col>
      <xdr:colOff>400049</xdr:colOff>
      <xdr:row>184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314325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"/>
          <a:ext cx="21145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R%5E@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8" sqref="F18"/>
    </sheetView>
  </sheetViews>
  <sheetFormatPr defaultColWidth="9" defaultRowHeight="14.4"/>
  <sheetData>
    <row r="1" spans="1:4">
      <c r="A1" t="s">
        <v>0</v>
      </c>
    </row>
    <row r="6" spans="1:4">
      <c r="A6" t="s">
        <v>1</v>
      </c>
      <c r="B6" t="s">
        <v>2</v>
      </c>
    </row>
    <row r="7" spans="1:4" ht="15.6">
      <c r="A7" t="s">
        <v>3</v>
      </c>
      <c r="B7" t="s">
        <v>4</v>
      </c>
      <c r="C7" s="25" t="s">
        <v>5</v>
      </c>
      <c r="D7" t="s">
        <v>6</v>
      </c>
    </row>
    <row r="8" spans="1:4" ht="15.6">
      <c r="A8">
        <v>4</v>
      </c>
      <c r="B8" s="4">
        <v>4.0000000000000002E-4</v>
      </c>
      <c r="C8" s="4">
        <v>21265.040000000001</v>
      </c>
      <c r="D8" s="4">
        <v>0.98570000000000002</v>
      </c>
    </row>
    <row r="9" spans="1:4" ht="15.6">
      <c r="A9">
        <v>8</v>
      </c>
      <c r="B9" s="4">
        <v>2.9999999999999997E-4</v>
      </c>
      <c r="C9" s="4">
        <v>20135.919999999998</v>
      </c>
      <c r="D9" s="4">
        <v>0.99229999999999996</v>
      </c>
    </row>
    <row r="10" spans="1:4" ht="15.6">
      <c r="A10">
        <v>12</v>
      </c>
      <c r="B10" s="4">
        <v>4.0000000000000002E-4</v>
      </c>
      <c r="C10" s="4">
        <v>2116.63</v>
      </c>
      <c r="D10" s="4">
        <v>0.99970000000000003</v>
      </c>
    </row>
    <row r="12" spans="1:4">
      <c r="A12" t="s">
        <v>7</v>
      </c>
      <c r="B12" t="s">
        <v>2</v>
      </c>
    </row>
    <row r="13" spans="1:4" ht="21">
      <c r="A13" t="s">
        <v>8</v>
      </c>
      <c r="B13" t="s">
        <v>9</v>
      </c>
      <c r="C13" s="25" t="s">
        <v>5</v>
      </c>
      <c r="D13" t="s">
        <v>6</v>
      </c>
    </row>
    <row r="14" spans="1:4" ht="15.6">
      <c r="A14">
        <v>4</v>
      </c>
      <c r="B14" s="4">
        <v>2.9999999999999997E-4</v>
      </c>
      <c r="C14" s="4">
        <v>24331.61</v>
      </c>
      <c r="D14" s="4">
        <v>0.998</v>
      </c>
    </row>
    <row r="15" spans="1:4" ht="15.6">
      <c r="A15">
        <v>8</v>
      </c>
      <c r="B15" s="4">
        <v>4.0000000000000002E-4</v>
      </c>
      <c r="C15" s="4">
        <v>21265.040000000001</v>
      </c>
      <c r="D15" s="4">
        <v>0.98570000000000002</v>
      </c>
    </row>
    <row r="16" spans="1:4" ht="15.6">
      <c r="A16">
        <v>12</v>
      </c>
      <c r="B16" s="4">
        <v>8.0000000000000004E-4</v>
      </c>
      <c r="C16" s="4">
        <v>13296.16</v>
      </c>
      <c r="D16" s="4">
        <v>0.98560000000000003</v>
      </c>
    </row>
    <row r="18" spans="1:4">
      <c r="A18" t="s">
        <v>10</v>
      </c>
      <c r="B18" t="s">
        <v>11</v>
      </c>
    </row>
    <row r="19" spans="1:4" ht="15.6">
      <c r="A19" t="s">
        <v>12</v>
      </c>
      <c r="B19" t="s">
        <v>4</v>
      </c>
      <c r="C19" s="25" t="s">
        <v>5</v>
      </c>
      <c r="D19" t="s">
        <v>6</v>
      </c>
    </row>
    <row r="20" spans="1:4" ht="15.6">
      <c r="A20">
        <v>50</v>
      </c>
      <c r="B20" s="4">
        <v>6.9999999999999999E-4</v>
      </c>
      <c r="C20" s="4">
        <v>16336.79</v>
      </c>
      <c r="D20" s="4">
        <v>0.98729999999999996</v>
      </c>
    </row>
    <row r="21" spans="1:4" ht="15.6">
      <c r="A21">
        <v>100</v>
      </c>
      <c r="B21" s="4">
        <v>4.0000000000000002E-4</v>
      </c>
      <c r="C21" s="4">
        <v>21265.040000000001</v>
      </c>
      <c r="D21" s="4">
        <v>0.98570000000000002</v>
      </c>
    </row>
    <row r="22" spans="1:4" ht="15.6">
      <c r="A22">
        <v>150</v>
      </c>
      <c r="B22" s="4">
        <v>5.9999999999999995E-4</v>
      </c>
      <c r="C22" s="4">
        <v>12646.08</v>
      </c>
      <c r="D22" s="4">
        <v>0.98340000000000005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D3"/>
    </sheetView>
  </sheetViews>
  <sheetFormatPr defaultColWidth="9" defaultRowHeight="14.4"/>
  <sheetData>
    <row r="1" spans="1:8">
      <c r="A1" t="s">
        <v>13</v>
      </c>
    </row>
    <row r="6" spans="1:8">
      <c r="A6" t="s">
        <v>14</v>
      </c>
    </row>
    <row r="7" spans="1:8">
      <c r="A7" t="s">
        <v>3</v>
      </c>
      <c r="B7" t="s">
        <v>15</v>
      </c>
      <c r="C7" s="22" t="s">
        <v>5</v>
      </c>
      <c r="D7" s="22"/>
    </row>
    <row r="8" spans="1:8">
      <c r="A8">
        <v>4</v>
      </c>
      <c r="B8">
        <v>3.5273793697171998E-2</v>
      </c>
      <c r="C8">
        <v>236.88009005187101</v>
      </c>
    </row>
    <row r="9" spans="1:8">
      <c r="A9">
        <v>8</v>
      </c>
      <c r="B9">
        <v>2.99557092461285E-2</v>
      </c>
      <c r="C9">
        <v>355.091637951302</v>
      </c>
    </row>
    <row r="10" spans="1:8">
      <c r="A10">
        <v>12</v>
      </c>
      <c r="B10">
        <v>3.6735828230728698E-2</v>
      </c>
      <c r="C10">
        <v>442.10880213447803</v>
      </c>
    </row>
    <row r="12" spans="1:8">
      <c r="A12" t="s">
        <v>16</v>
      </c>
    </row>
    <row r="13" spans="1:8">
      <c r="A13" t="s">
        <v>8</v>
      </c>
      <c r="B13" t="s">
        <v>17</v>
      </c>
      <c r="C13" s="22" t="s">
        <v>5</v>
      </c>
      <c r="D13" s="22"/>
      <c r="H13" s="22"/>
    </row>
    <row r="14" spans="1:8">
      <c r="A14">
        <v>4</v>
      </c>
      <c r="B14">
        <v>2.75172833449711E-2</v>
      </c>
      <c r="C14">
        <v>410.67131114155501</v>
      </c>
    </row>
    <row r="15" spans="1:8">
      <c r="A15">
        <v>8</v>
      </c>
      <c r="B15">
        <v>3.5273793697171998E-2</v>
      </c>
      <c r="C15">
        <v>236.88009005187101</v>
      </c>
    </row>
    <row r="16" spans="1:8">
      <c r="A16">
        <v>12</v>
      </c>
      <c r="B16">
        <v>7.25263486828817E-2</v>
      </c>
      <c r="C16">
        <v>107.699225025901</v>
      </c>
    </row>
    <row r="18" spans="1:4">
      <c r="A18" t="s">
        <v>18</v>
      </c>
    </row>
    <row r="19" spans="1:4">
      <c r="A19" t="s">
        <v>12</v>
      </c>
      <c r="B19" t="s">
        <v>15</v>
      </c>
      <c r="C19" s="22" t="s">
        <v>5</v>
      </c>
      <c r="D19" s="22"/>
    </row>
    <row r="20" spans="1:4">
      <c r="A20">
        <v>50</v>
      </c>
      <c r="B20">
        <v>2.0388147561627101E-2</v>
      </c>
      <c r="C20">
        <v>404.89837682338799</v>
      </c>
    </row>
    <row r="21" spans="1:4">
      <c r="A21">
        <v>100</v>
      </c>
      <c r="B21">
        <v>3.5273793697171998E-2</v>
      </c>
      <c r="C21">
        <v>236.88009005187101</v>
      </c>
    </row>
    <row r="22" spans="1:4">
      <c r="A22">
        <v>150</v>
      </c>
      <c r="B22">
        <v>8.9175536066372907E-2</v>
      </c>
      <c r="C22">
        <v>98.342058078301093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opLeftCell="A815" workbookViewId="0">
      <selection activeCell="H703" sqref="H703"/>
    </sheetView>
  </sheetViews>
  <sheetFormatPr defaultColWidth="9" defaultRowHeight="14.4"/>
  <cols>
    <col min="3" max="3" width="12" customWidth="1"/>
    <col min="5" max="5" width="12" customWidth="1"/>
    <col min="20" max="20" width="8.88671875" customWidth="1"/>
  </cols>
  <sheetData>
    <row r="1" spans="1:11">
      <c r="A1" s="13" t="s">
        <v>176</v>
      </c>
    </row>
    <row r="3" spans="1:11" ht="16.8">
      <c r="A3" s="1" t="s">
        <v>177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120</v>
      </c>
    </row>
    <row r="6" spans="1:11">
      <c r="A6">
        <v>0</v>
      </c>
      <c r="B6">
        <v>0</v>
      </c>
      <c r="C6">
        <f>(($K$11)*(EXP(($K$6)*(A6-$K$7))))/(1+EXP(($K$6)*(A6-$K$7))*($K$11))</f>
        <v>2.2966389290377E-2</v>
      </c>
      <c r="D6">
        <f>(B6-C6)^2</f>
        <v>5.2745503703714334E-4</v>
      </c>
      <c r="J6" t="s">
        <v>168</v>
      </c>
      <c r="K6">
        <v>3.5273793697171998E-2</v>
      </c>
    </row>
    <row r="7" spans="1:11">
      <c r="A7">
        <v>10</v>
      </c>
      <c r="B7">
        <v>0</v>
      </c>
      <c r="C7">
        <f t="shared" ref="C7:C19" si="0">(($K$11)*(EXP(($K$6)*(A7-$K$7))))/(1+EXP(($K$6)*(A7-$K$7))*($K$11))</f>
        <v>3.2365815942441686E-2</v>
      </c>
      <c r="D7">
        <f t="shared" ref="D7:D19" si="1">(B7-C7)^2</f>
        <v>1.0475460416200125E-3</v>
      </c>
      <c r="J7" t="s">
        <v>169</v>
      </c>
      <c r="K7">
        <v>236.88009005187101</v>
      </c>
    </row>
    <row r="8" spans="1:11">
      <c r="A8">
        <v>15</v>
      </c>
      <c r="B8">
        <v>0</v>
      </c>
      <c r="C8">
        <f t="shared" si="0"/>
        <v>3.8368949203992891E-2</v>
      </c>
      <c r="D8">
        <f t="shared" si="1"/>
        <v>1.4721762630185867E-3</v>
      </c>
      <c r="F8" s="6" t="s">
        <v>100</v>
      </c>
      <c r="G8" s="6">
        <f>D20</f>
        <v>2.8990534416541442E-2</v>
      </c>
    </row>
    <row r="9" spans="1:11">
      <c r="A9">
        <v>20</v>
      </c>
      <c r="B9">
        <v>0</v>
      </c>
      <c r="C9">
        <f t="shared" si="0"/>
        <v>4.5433249533916996E-2</v>
      </c>
      <c r="D9">
        <f t="shared" si="1"/>
        <v>2.0641801632111691E-3</v>
      </c>
    </row>
    <row r="10" spans="1:11">
      <c r="A10">
        <v>25</v>
      </c>
      <c r="B10">
        <v>0</v>
      </c>
      <c r="C10">
        <f t="shared" si="0"/>
        <v>5.3725527855485684E-2</v>
      </c>
      <c r="D10">
        <f t="shared" si="1"/>
        <v>2.886432343350568E-3</v>
      </c>
    </row>
    <row r="11" spans="1:11">
      <c r="A11">
        <v>40</v>
      </c>
      <c r="B11">
        <v>0.01</v>
      </c>
      <c r="C11">
        <f t="shared" si="0"/>
        <v>8.7900988939262847E-2</v>
      </c>
      <c r="D11">
        <f t="shared" si="1"/>
        <v>6.0685640777151531E-3</v>
      </c>
      <c r="J11" t="s">
        <v>12</v>
      </c>
      <c r="K11">
        <v>100</v>
      </c>
    </row>
    <row r="12" spans="1:11">
      <c r="A12">
        <v>70</v>
      </c>
      <c r="B12">
        <v>0.24</v>
      </c>
      <c r="C12">
        <f t="shared" si="0"/>
        <v>0.21732498774473979</v>
      </c>
      <c r="D12">
        <f t="shared" si="1"/>
        <v>5.141561807762001E-4</v>
      </c>
      <c r="J12" t="s">
        <v>105</v>
      </c>
      <c r="K12">
        <v>4</v>
      </c>
    </row>
    <row r="13" spans="1:11">
      <c r="A13">
        <v>92</v>
      </c>
      <c r="B13">
        <v>0.43</v>
      </c>
      <c r="C13">
        <f t="shared" si="0"/>
        <v>0.37629590795070433</v>
      </c>
      <c r="D13">
        <f t="shared" si="1"/>
        <v>2.8841295028392212E-3</v>
      </c>
      <c r="J13" t="s">
        <v>8</v>
      </c>
      <c r="K13">
        <v>8</v>
      </c>
    </row>
    <row r="14" spans="1:11">
      <c r="A14">
        <v>110</v>
      </c>
      <c r="B14">
        <v>0.56000000000000005</v>
      </c>
      <c r="C14">
        <f t="shared" si="0"/>
        <v>0.53236171332786342</v>
      </c>
      <c r="D14">
        <f t="shared" si="1"/>
        <v>7.6387489017120563E-4</v>
      </c>
      <c r="J14" t="s">
        <v>106</v>
      </c>
      <c r="K14">
        <v>14</v>
      </c>
    </row>
    <row r="15" spans="1:11">
      <c r="A15">
        <v>130</v>
      </c>
      <c r="B15">
        <v>0.7</v>
      </c>
      <c r="C15">
        <f t="shared" si="0"/>
        <v>0.69743304810809514</v>
      </c>
      <c r="D15">
        <f t="shared" si="1"/>
        <v>6.5892420153536922E-6</v>
      </c>
      <c r="J15" t="s">
        <v>107</v>
      </c>
      <c r="K15">
        <v>2</v>
      </c>
    </row>
    <row r="16" spans="1:11">
      <c r="A16">
        <v>160</v>
      </c>
      <c r="B16">
        <v>0.85</v>
      </c>
      <c r="C16">
        <f t="shared" si="0"/>
        <v>0.86913335570520234</v>
      </c>
      <c r="D16">
        <f t="shared" si="1"/>
        <v>3.6608530054179966E-4</v>
      </c>
      <c r="G16" s="6" t="s">
        <v>178</v>
      </c>
      <c r="H16" s="6">
        <f>D20</f>
        <v>2.8990534416541442E-2</v>
      </c>
    </row>
    <row r="17" spans="1:11">
      <c r="A17">
        <v>180</v>
      </c>
      <c r="B17">
        <v>0.88</v>
      </c>
      <c r="C17">
        <f t="shared" si="0"/>
        <v>0.93078389898300962</v>
      </c>
      <c r="D17">
        <f t="shared" si="1"/>
        <v>2.5790043959165246E-3</v>
      </c>
    </row>
    <row r="18" spans="1:11">
      <c r="A18">
        <v>190</v>
      </c>
      <c r="B18">
        <v>0.89</v>
      </c>
      <c r="C18">
        <f t="shared" si="0"/>
        <v>0.95033582439110487</v>
      </c>
      <c r="D18">
        <f t="shared" si="1"/>
        <v>3.6404117049542435E-3</v>
      </c>
    </row>
    <row r="19" spans="1:11">
      <c r="A19">
        <v>200</v>
      </c>
      <c r="B19">
        <v>0.9</v>
      </c>
      <c r="C19">
        <f t="shared" si="0"/>
        <v>0.96457498953444953</v>
      </c>
      <c r="D19">
        <f t="shared" si="1"/>
        <v>4.1699292733742644E-3</v>
      </c>
    </row>
    <row r="20" spans="1:11">
      <c r="C20">
        <f>AVERAGE(C6:C19)</f>
        <v>0.41564318903647474</v>
      </c>
      <c r="D20" s="6">
        <f>SUM(D6:D19)</f>
        <v>2.8990534416541442E-2</v>
      </c>
    </row>
    <row r="26" spans="1:11" ht="16.8">
      <c r="A26" s="2" t="s">
        <v>146</v>
      </c>
    </row>
    <row r="27" spans="1:11">
      <c r="B27" t="s">
        <v>63</v>
      </c>
    </row>
    <row r="28" spans="1:11">
      <c r="A28" t="s">
        <v>29</v>
      </c>
      <c r="B28" t="s">
        <v>43</v>
      </c>
      <c r="C28" t="s">
        <v>99</v>
      </c>
      <c r="D28" t="s">
        <v>120</v>
      </c>
      <c r="E28" t="s">
        <v>137</v>
      </c>
    </row>
    <row r="29" spans="1:11">
      <c r="A29">
        <v>0</v>
      </c>
      <c r="B29">
        <v>0</v>
      </c>
      <c r="C29">
        <f>(($K$34)*(EXP(($K$29)*(A29-$K$30))))/(1+EXP(($K$29)*(A29-$K$30))*($K$34))</f>
        <v>2.2966389290377E-2</v>
      </c>
      <c r="D29">
        <f>(B29-C29)^2</f>
        <v>5.2745503703714334E-4</v>
      </c>
      <c r="E29">
        <f>ABS(B29-C29)</f>
        <v>2.2966389290377E-2</v>
      </c>
      <c r="J29" s="6" t="s">
        <v>168</v>
      </c>
      <c r="K29" s="6">
        <v>3.5273793697171998E-2</v>
      </c>
    </row>
    <row r="30" spans="1:11">
      <c r="A30">
        <v>10</v>
      </c>
      <c r="B30">
        <v>0</v>
      </c>
      <c r="C30">
        <f t="shared" ref="C30:C42" si="2">(($K$34)*(EXP(($K$29)*(A30-$K$30))))/(1+EXP(($K$29)*(A30-$K$30))*($K$34))</f>
        <v>3.2365815942441686E-2</v>
      </c>
      <c r="D30">
        <f t="shared" ref="D30:D42" si="3">(B30-C30)^2</f>
        <v>1.0475460416200125E-3</v>
      </c>
      <c r="E30">
        <f t="shared" ref="E30:E42" si="4">ABS(B30-C30)</f>
        <v>3.2365815942441686E-2</v>
      </c>
      <c r="J30" s="6" t="s">
        <v>169</v>
      </c>
      <c r="K30" s="6">
        <v>236.88009005187101</v>
      </c>
    </row>
    <row r="31" spans="1:11">
      <c r="A31">
        <v>15</v>
      </c>
      <c r="B31">
        <v>0</v>
      </c>
      <c r="C31">
        <f t="shared" si="2"/>
        <v>3.8368949203992891E-2</v>
      </c>
      <c r="D31">
        <f t="shared" si="3"/>
        <v>1.4721762630185867E-3</v>
      </c>
      <c r="E31">
        <f t="shared" si="4"/>
        <v>3.8368949203992891E-2</v>
      </c>
      <c r="G31" s="6" t="s">
        <v>132</v>
      </c>
      <c r="H31" s="6">
        <f>E43</f>
        <v>0.57217333224784073</v>
      </c>
    </row>
    <row r="32" spans="1:11">
      <c r="A32">
        <v>20</v>
      </c>
      <c r="B32">
        <v>0</v>
      </c>
      <c r="C32">
        <f t="shared" si="2"/>
        <v>4.5433249533916996E-2</v>
      </c>
      <c r="D32">
        <f t="shared" si="3"/>
        <v>2.0641801632111691E-3</v>
      </c>
      <c r="E32">
        <f t="shared" si="4"/>
        <v>4.5433249533916996E-2</v>
      </c>
    </row>
    <row r="33" spans="1:11">
      <c r="A33">
        <v>25</v>
      </c>
      <c r="B33">
        <v>0</v>
      </c>
      <c r="C33">
        <f t="shared" si="2"/>
        <v>5.3725527855485684E-2</v>
      </c>
      <c r="D33">
        <f t="shared" si="3"/>
        <v>2.886432343350568E-3</v>
      </c>
      <c r="E33">
        <f t="shared" si="4"/>
        <v>5.3725527855485684E-2</v>
      </c>
    </row>
    <row r="34" spans="1:11">
      <c r="A34">
        <v>40</v>
      </c>
      <c r="B34">
        <v>0.01</v>
      </c>
      <c r="C34">
        <f t="shared" si="2"/>
        <v>8.7900988939262847E-2</v>
      </c>
      <c r="D34">
        <f t="shared" si="3"/>
        <v>6.0685640777151531E-3</v>
      </c>
      <c r="E34">
        <f t="shared" si="4"/>
        <v>7.7900988939262852E-2</v>
      </c>
      <c r="J34" t="s">
        <v>12</v>
      </c>
      <c r="K34">
        <v>100</v>
      </c>
    </row>
    <row r="35" spans="1:11">
      <c r="A35">
        <v>70</v>
      </c>
      <c r="B35">
        <v>0.24</v>
      </c>
      <c r="C35">
        <f t="shared" si="2"/>
        <v>0.21732498774473979</v>
      </c>
      <c r="D35">
        <f t="shared" si="3"/>
        <v>5.141561807762001E-4</v>
      </c>
      <c r="E35">
        <f t="shared" si="4"/>
        <v>2.2675012255260196E-2</v>
      </c>
      <c r="J35" t="s">
        <v>105</v>
      </c>
      <c r="K35">
        <v>4</v>
      </c>
    </row>
    <row r="36" spans="1:11">
      <c r="A36">
        <v>92</v>
      </c>
      <c r="B36">
        <v>0.43</v>
      </c>
      <c r="C36">
        <f t="shared" si="2"/>
        <v>0.37629590795070433</v>
      </c>
      <c r="D36">
        <f t="shared" si="3"/>
        <v>2.8841295028392212E-3</v>
      </c>
      <c r="E36">
        <f t="shared" si="4"/>
        <v>5.370409204929566E-2</v>
      </c>
      <c r="J36" t="s">
        <v>8</v>
      </c>
      <c r="K36">
        <v>8</v>
      </c>
    </row>
    <row r="37" spans="1:11">
      <c r="A37">
        <v>110</v>
      </c>
      <c r="B37">
        <v>0.56000000000000005</v>
      </c>
      <c r="C37">
        <f t="shared" si="2"/>
        <v>0.53236171332786342</v>
      </c>
      <c r="D37">
        <f t="shared" si="3"/>
        <v>7.6387489017120563E-4</v>
      </c>
      <c r="E37">
        <f t="shared" si="4"/>
        <v>2.7638286672136636E-2</v>
      </c>
      <c r="J37" t="s">
        <v>106</v>
      </c>
      <c r="K37">
        <v>14</v>
      </c>
    </row>
    <row r="38" spans="1:11">
      <c r="A38">
        <v>130</v>
      </c>
      <c r="B38">
        <v>0.7</v>
      </c>
      <c r="C38">
        <f t="shared" si="2"/>
        <v>0.69743304810809514</v>
      </c>
      <c r="D38">
        <f t="shared" si="3"/>
        <v>6.5892420153536922E-6</v>
      </c>
      <c r="E38">
        <f t="shared" si="4"/>
        <v>2.5669518919048118E-3</v>
      </c>
      <c r="J38" t="s">
        <v>107</v>
      </c>
      <c r="K38">
        <v>2</v>
      </c>
    </row>
    <row r="39" spans="1:11">
      <c r="A39">
        <v>160</v>
      </c>
      <c r="B39">
        <v>0.85</v>
      </c>
      <c r="C39">
        <f t="shared" si="2"/>
        <v>0.86913335570520234</v>
      </c>
      <c r="D39">
        <f t="shared" si="3"/>
        <v>3.6608530054179966E-4</v>
      </c>
      <c r="E39">
        <f t="shared" si="4"/>
        <v>1.913335570520236E-2</v>
      </c>
    </row>
    <row r="40" spans="1:11">
      <c r="A40">
        <v>180</v>
      </c>
      <c r="B40">
        <v>0.88</v>
      </c>
      <c r="C40">
        <f t="shared" si="2"/>
        <v>0.93078389898300962</v>
      </c>
      <c r="D40">
        <f t="shared" si="3"/>
        <v>2.5790043959165246E-3</v>
      </c>
      <c r="E40">
        <f t="shared" si="4"/>
        <v>5.0783898983009612E-2</v>
      </c>
    </row>
    <row r="41" spans="1:11">
      <c r="A41">
        <v>190</v>
      </c>
      <c r="B41">
        <v>0.89</v>
      </c>
      <c r="C41">
        <f t="shared" si="2"/>
        <v>0.95033582439110487</v>
      </c>
      <c r="D41">
        <f t="shared" si="3"/>
        <v>3.6404117049542435E-3</v>
      </c>
      <c r="E41">
        <f t="shared" si="4"/>
        <v>6.0335824391104853E-2</v>
      </c>
    </row>
    <row r="42" spans="1:11">
      <c r="A42">
        <v>200</v>
      </c>
      <c r="B42">
        <v>0.9</v>
      </c>
      <c r="C42">
        <f t="shared" si="2"/>
        <v>0.96457498953444953</v>
      </c>
      <c r="D42">
        <f t="shared" si="3"/>
        <v>4.1699292733742644E-3</v>
      </c>
      <c r="E42">
        <f t="shared" si="4"/>
        <v>6.4574989534449512E-2</v>
      </c>
    </row>
    <row r="43" spans="1:11">
      <c r="D43" s="6">
        <f>SUM(D29:D42)</f>
        <v>2.8990534416541442E-2</v>
      </c>
      <c r="E43">
        <f>SUM(E29:E42)</f>
        <v>0.57217333224784073</v>
      </c>
    </row>
    <row r="47" spans="1:11" ht="16.8">
      <c r="A47" s="10" t="s">
        <v>141</v>
      </c>
    </row>
    <row r="48" spans="1:11">
      <c r="B48" t="s">
        <v>63</v>
      </c>
    </row>
    <row r="49" spans="1:11">
      <c r="A49" t="s">
        <v>29</v>
      </c>
      <c r="B49" t="s">
        <v>43</v>
      </c>
      <c r="C49" t="s">
        <v>99</v>
      </c>
      <c r="D49" t="s">
        <v>120</v>
      </c>
      <c r="E49" t="s">
        <v>119</v>
      </c>
    </row>
    <row r="50" spans="1:11">
      <c r="A50">
        <v>0</v>
      </c>
      <c r="B50">
        <v>0</v>
      </c>
      <c r="C50">
        <f>(($K$55)*(EXP(($K$50)*(A50-$K$51))))/(1+EXP(($K$50)*(A50-$K$51))*($K$55))</f>
        <v>5.4450317374341777E-4</v>
      </c>
      <c r="D50">
        <f>(B50-C50)^2</f>
        <v>2.9648370621665458E-7</v>
      </c>
      <c r="E50">
        <v>0</v>
      </c>
      <c r="J50" s="6" t="s">
        <v>168</v>
      </c>
      <c r="K50" s="6">
        <v>7.6243828638503305E-2</v>
      </c>
    </row>
    <row r="51" spans="1:11">
      <c r="A51">
        <v>10</v>
      </c>
      <c r="B51">
        <v>0</v>
      </c>
      <c r="C51">
        <f t="shared" ref="C51:C63" si="5">(($K$55)*(EXP(($K$50)*(A51-$K$51))))/(1+EXP(($K$50)*(A51-$K$51))*($K$55))</f>
        <v>1.1664142915246952E-3</v>
      </c>
      <c r="D51">
        <f t="shared" ref="D51:D63" si="6">(B51-C51)^2</f>
        <v>1.3605222994730565E-6</v>
      </c>
      <c r="E51">
        <v>0</v>
      </c>
      <c r="J51" s="6" t="s">
        <v>169</v>
      </c>
      <c r="K51" s="6">
        <v>158.96712609833801</v>
      </c>
    </row>
    <row r="52" spans="1:11">
      <c r="A52">
        <v>15</v>
      </c>
      <c r="B52">
        <v>0</v>
      </c>
      <c r="C52">
        <f t="shared" si="5"/>
        <v>1.7067864415044552E-3</v>
      </c>
      <c r="D52">
        <f t="shared" si="6"/>
        <v>2.9131199569034412E-6</v>
      </c>
      <c r="E52">
        <v>0</v>
      </c>
      <c r="G52" s="6" t="s">
        <v>121</v>
      </c>
      <c r="H52" s="6">
        <f>((100)*(1/12)^(0.5)*(F59)^(0.5))</f>
        <v>2.0162675446128011</v>
      </c>
    </row>
    <row r="53" spans="1:11">
      <c r="A53">
        <v>20</v>
      </c>
      <c r="B53">
        <v>0</v>
      </c>
      <c r="C53">
        <f t="shared" si="5"/>
        <v>2.4968744246118154E-3</v>
      </c>
      <c r="D53">
        <f t="shared" si="6"/>
        <v>6.2343818922805838E-6</v>
      </c>
      <c r="E53">
        <v>0</v>
      </c>
    </row>
    <row r="54" spans="1:11">
      <c r="A54">
        <v>25</v>
      </c>
      <c r="B54">
        <v>0</v>
      </c>
      <c r="C54">
        <f t="shared" si="5"/>
        <v>3.6513640604563216E-3</v>
      </c>
      <c r="D54">
        <f t="shared" si="6"/>
        <v>1.3332459501992077E-5</v>
      </c>
      <c r="E54">
        <v>0</v>
      </c>
    </row>
    <row r="55" spans="1:11">
      <c r="A55">
        <v>40</v>
      </c>
      <c r="B55">
        <v>0.01</v>
      </c>
      <c r="C55">
        <f t="shared" si="5"/>
        <v>1.1370032021772782E-2</v>
      </c>
      <c r="D55">
        <f t="shared" si="6"/>
        <v>1.8769877406828157E-6</v>
      </c>
      <c r="E55">
        <f>((B55-C55)/B55)^2</f>
        <v>1.8769877406828155E-2</v>
      </c>
      <c r="J55" t="s">
        <v>12</v>
      </c>
      <c r="K55">
        <v>100</v>
      </c>
    </row>
    <row r="56" spans="1:11">
      <c r="A56">
        <v>70</v>
      </c>
      <c r="B56">
        <v>0.24</v>
      </c>
      <c r="C56">
        <f t="shared" si="5"/>
        <v>0.10174136066022942</v>
      </c>
      <c r="D56">
        <f t="shared" si="6"/>
        <v>1.9115451352084752E-2</v>
      </c>
      <c r="E56">
        <f t="shared" ref="E56:E63" si="7">((B56-C56)/B56)^2</f>
        <v>0.3318654748625825</v>
      </c>
      <c r="J56" t="s">
        <v>105</v>
      </c>
      <c r="K56">
        <v>4</v>
      </c>
    </row>
    <row r="57" spans="1:11">
      <c r="A57">
        <v>92</v>
      </c>
      <c r="B57">
        <v>0.43</v>
      </c>
      <c r="C57">
        <f t="shared" si="5"/>
        <v>0.37738560222851286</v>
      </c>
      <c r="D57">
        <f t="shared" si="6"/>
        <v>2.7682748528562698E-3</v>
      </c>
      <c r="E57">
        <f t="shared" si="7"/>
        <v>1.4971740686080422E-2</v>
      </c>
      <c r="J57" t="s">
        <v>8</v>
      </c>
      <c r="K57">
        <v>8</v>
      </c>
    </row>
    <row r="58" spans="1:11">
      <c r="A58">
        <v>110</v>
      </c>
      <c r="B58">
        <v>0.56000000000000005</v>
      </c>
      <c r="C58">
        <f t="shared" si="5"/>
        <v>0.70510534261170266</v>
      </c>
      <c r="D58">
        <f t="shared" si="6"/>
        <v>2.1055560454459596E-2</v>
      </c>
      <c r="E58">
        <f t="shared" si="7"/>
        <v>6.714145553080228E-2</v>
      </c>
      <c r="J58" t="s">
        <v>106</v>
      </c>
      <c r="K58">
        <v>14</v>
      </c>
    </row>
    <row r="59" spans="1:11">
      <c r="A59">
        <v>130</v>
      </c>
      <c r="B59">
        <v>0.7</v>
      </c>
      <c r="C59">
        <f t="shared" si="5"/>
        <v>0.91656809609198642</v>
      </c>
      <c r="D59">
        <f t="shared" si="6"/>
        <v>4.6901740244907883E-2</v>
      </c>
      <c r="E59">
        <f t="shared" si="7"/>
        <v>9.5717837234505887E-2</v>
      </c>
      <c r="F59">
        <f>D64/B64^2</f>
        <v>4.8784017737507207E-3</v>
      </c>
      <c r="J59" t="s">
        <v>107</v>
      </c>
      <c r="K59">
        <v>2</v>
      </c>
    </row>
    <row r="60" spans="1:11">
      <c r="A60">
        <v>160</v>
      </c>
      <c r="B60">
        <v>0.85</v>
      </c>
      <c r="C60">
        <f t="shared" si="5"/>
        <v>0.99084193806233145</v>
      </c>
      <c r="D60">
        <f t="shared" si="6"/>
        <v>1.9836451517153617E-2</v>
      </c>
      <c r="E60">
        <f t="shared" si="7"/>
        <v>2.7455296217513653E-2</v>
      </c>
    </row>
    <row r="61" spans="1:11">
      <c r="A61">
        <v>180</v>
      </c>
      <c r="B61">
        <v>0.88</v>
      </c>
      <c r="C61">
        <f t="shared" si="5"/>
        <v>0.99799238264353973</v>
      </c>
      <c r="D61">
        <f t="shared" si="6"/>
        <v>1.3922202361899495E-2</v>
      </c>
      <c r="E61">
        <f t="shared" si="7"/>
        <v>1.7978050570634674E-2</v>
      </c>
    </row>
    <row r="62" spans="1:11">
      <c r="A62">
        <v>190</v>
      </c>
      <c r="B62">
        <v>0.89</v>
      </c>
      <c r="C62">
        <f t="shared" si="5"/>
        <v>0.9990623870793327</v>
      </c>
      <c r="D62">
        <f t="shared" si="6"/>
        <v>1.1894604275442195E-2</v>
      </c>
      <c r="E62">
        <f t="shared" si="7"/>
        <v>1.5016543713473291E-2</v>
      </c>
    </row>
    <row r="63" spans="1:11">
      <c r="A63">
        <v>200</v>
      </c>
      <c r="B63">
        <v>0.9</v>
      </c>
      <c r="C63">
        <f t="shared" si="5"/>
        <v>0.99956235887344991</v>
      </c>
      <c r="D63">
        <f t="shared" si="6"/>
        <v>9.9126633044456253E-3</v>
      </c>
      <c r="E63">
        <f t="shared" si="7"/>
        <v>1.2237855931414351E-2</v>
      </c>
    </row>
    <row r="64" spans="1:11">
      <c r="B64">
        <f>SUM(B50:B63)</f>
        <v>5.46</v>
      </c>
      <c r="D64" s="6">
        <f>SUM(D50:D63)</f>
        <v>0.14543296231834699</v>
      </c>
      <c r="E64">
        <f>SUM(E50:E63)</f>
        <v>0.60115413215383529</v>
      </c>
    </row>
    <row r="70" spans="1:11" ht="16.8">
      <c r="A70" s="1" t="s">
        <v>125</v>
      </c>
    </row>
    <row r="71" spans="1:11">
      <c r="B71" t="s">
        <v>63</v>
      </c>
    </row>
    <row r="72" spans="1:11">
      <c r="A72" t="s">
        <v>29</v>
      </c>
      <c r="B72" t="s">
        <v>43</v>
      </c>
      <c r="C72" t="s">
        <v>99</v>
      </c>
      <c r="D72" t="s">
        <v>120</v>
      </c>
      <c r="E72" t="s">
        <v>179</v>
      </c>
    </row>
    <row r="73" spans="1:11">
      <c r="A73">
        <v>0</v>
      </c>
      <c r="B73">
        <v>0</v>
      </c>
      <c r="C73">
        <f>(($K$11)*(EXP(($K$6)*(A73-$K$7))))/(1+EXP(($K$6)*(A73-$K$7))*($K$11))</f>
        <v>2.2966389290377E-2</v>
      </c>
      <c r="D73">
        <f>(B73-C73)^2</f>
        <v>5.2745503703714334E-4</v>
      </c>
      <c r="E73">
        <v>0</v>
      </c>
      <c r="J73" s="6" t="s">
        <v>168</v>
      </c>
      <c r="K73" s="6">
        <v>3.5273793697171998E-2</v>
      </c>
    </row>
    <row r="74" spans="1:11">
      <c r="A74">
        <v>10</v>
      </c>
      <c r="B74">
        <v>0</v>
      </c>
      <c r="C74">
        <f t="shared" ref="C74:C86" si="8">(($K$11)*(EXP(($K$6)*(A74-$K$7))))/(1+EXP(($K$6)*(A74-$K$7))*($K$11))</f>
        <v>3.2365815942441686E-2</v>
      </c>
      <c r="D74">
        <f t="shared" ref="D74:D86" si="9">(B74-C74)^2</f>
        <v>1.0475460416200125E-3</v>
      </c>
      <c r="E74">
        <v>0</v>
      </c>
      <c r="J74" s="6" t="s">
        <v>169</v>
      </c>
      <c r="K74" s="6">
        <v>236.88009005187101</v>
      </c>
    </row>
    <row r="75" spans="1:11">
      <c r="A75">
        <v>15</v>
      </c>
      <c r="B75">
        <v>0</v>
      </c>
      <c r="C75">
        <f t="shared" si="8"/>
        <v>3.8368949203992891E-2</v>
      </c>
      <c r="D75">
        <f t="shared" si="9"/>
        <v>1.4721762630185867E-3</v>
      </c>
      <c r="E75">
        <v>0</v>
      </c>
      <c r="G75" s="6" t="s">
        <v>134</v>
      </c>
      <c r="H75" s="6">
        <f>((100/12)*(F83))</f>
        <v>8.1038182051453821E-3</v>
      </c>
    </row>
    <row r="76" spans="1:11">
      <c r="A76">
        <v>20</v>
      </c>
      <c r="B76">
        <v>0</v>
      </c>
      <c r="C76">
        <f t="shared" si="8"/>
        <v>4.5433249533916996E-2</v>
      </c>
      <c r="D76">
        <f t="shared" si="9"/>
        <v>2.0641801632111691E-3</v>
      </c>
      <c r="E76">
        <v>0</v>
      </c>
      <c r="J76" t="s">
        <v>104</v>
      </c>
      <c r="K76">
        <f>1-(D87/E87)</f>
        <v>0.9539221677223183</v>
      </c>
    </row>
    <row r="77" spans="1:11">
      <c r="A77">
        <v>25</v>
      </c>
      <c r="B77">
        <v>0</v>
      </c>
      <c r="C77">
        <f t="shared" si="8"/>
        <v>5.3725527855485684E-2</v>
      </c>
      <c r="D77">
        <f t="shared" si="9"/>
        <v>2.886432343350568E-3</v>
      </c>
      <c r="E77">
        <v>0</v>
      </c>
    </row>
    <row r="78" spans="1:11">
      <c r="A78">
        <v>40</v>
      </c>
      <c r="B78">
        <v>0.01</v>
      </c>
      <c r="C78">
        <f t="shared" si="8"/>
        <v>8.7900988939262847E-2</v>
      </c>
      <c r="D78">
        <f t="shared" si="9"/>
        <v>6.0685640777151531E-3</v>
      </c>
      <c r="E78">
        <f>(B78-C78)^2/B78</f>
        <v>0.60685640777151528</v>
      </c>
      <c r="J78" t="s">
        <v>12</v>
      </c>
      <c r="K78">
        <v>100</v>
      </c>
    </row>
    <row r="79" spans="1:11">
      <c r="A79">
        <v>70</v>
      </c>
      <c r="B79">
        <v>0.24</v>
      </c>
      <c r="C79">
        <f t="shared" si="8"/>
        <v>0.21732498774473979</v>
      </c>
      <c r="D79">
        <f t="shared" si="9"/>
        <v>5.141561807762001E-4</v>
      </c>
      <c r="E79">
        <f t="shared" ref="E79:E86" si="10">(B79-C79)^2/B79</f>
        <v>2.1423174199008336E-3</v>
      </c>
      <c r="J79" t="s">
        <v>105</v>
      </c>
      <c r="K79">
        <v>4</v>
      </c>
    </row>
    <row r="80" spans="1:11">
      <c r="A80">
        <v>92</v>
      </c>
      <c r="B80">
        <v>0.43</v>
      </c>
      <c r="C80">
        <f t="shared" si="8"/>
        <v>0.37629590795070433</v>
      </c>
      <c r="D80">
        <f t="shared" si="9"/>
        <v>2.8841295028392212E-3</v>
      </c>
      <c r="E80">
        <f t="shared" si="10"/>
        <v>6.7072779135795846E-3</v>
      </c>
      <c r="J80" t="s">
        <v>8</v>
      </c>
      <c r="K80">
        <v>8</v>
      </c>
    </row>
    <row r="81" spans="1:11">
      <c r="A81">
        <v>110</v>
      </c>
      <c r="B81">
        <v>0.56000000000000005</v>
      </c>
      <c r="C81">
        <f t="shared" si="8"/>
        <v>0.53236171332786342</v>
      </c>
      <c r="D81">
        <f t="shared" si="9"/>
        <v>7.6387489017120563E-4</v>
      </c>
      <c r="E81">
        <f t="shared" si="10"/>
        <v>1.3640623038771527E-3</v>
      </c>
      <c r="J81" t="s">
        <v>106</v>
      </c>
      <c r="K81">
        <v>14</v>
      </c>
    </row>
    <row r="82" spans="1:11">
      <c r="A82">
        <v>130</v>
      </c>
      <c r="B82">
        <v>0.7</v>
      </c>
      <c r="C82">
        <f t="shared" si="8"/>
        <v>0.69743304810809514</v>
      </c>
      <c r="D82">
        <f t="shared" si="9"/>
        <v>6.5892420153536922E-6</v>
      </c>
      <c r="E82">
        <f t="shared" si="10"/>
        <v>9.4132028790767038E-6</v>
      </c>
      <c r="J82" t="s">
        <v>107</v>
      </c>
      <c r="K82">
        <v>2</v>
      </c>
    </row>
    <row r="83" spans="1:11">
      <c r="A83">
        <v>160</v>
      </c>
      <c r="B83">
        <v>0.85</v>
      </c>
      <c r="C83">
        <f t="shared" si="8"/>
        <v>0.86913335570520234</v>
      </c>
      <c r="D83">
        <f t="shared" si="9"/>
        <v>3.6608530054179966E-4</v>
      </c>
      <c r="E83">
        <f t="shared" si="10"/>
        <v>4.3068858887270552E-4</v>
      </c>
      <c r="F83">
        <f>D87/B87^2</f>
        <v>9.7245818461744573E-4</v>
      </c>
    </row>
    <row r="84" spans="1:11">
      <c r="A84">
        <v>180</v>
      </c>
      <c r="B84">
        <v>0.88</v>
      </c>
      <c r="C84">
        <f t="shared" si="8"/>
        <v>0.93078389898300962</v>
      </c>
      <c r="D84">
        <f t="shared" si="9"/>
        <v>2.5790043959165246E-3</v>
      </c>
      <c r="E84">
        <f t="shared" si="10"/>
        <v>2.9306868135415051E-3</v>
      </c>
    </row>
    <row r="85" spans="1:11">
      <c r="A85">
        <v>190</v>
      </c>
      <c r="B85">
        <v>0.89</v>
      </c>
      <c r="C85">
        <f t="shared" si="8"/>
        <v>0.95033582439110487</v>
      </c>
      <c r="D85">
        <f t="shared" si="9"/>
        <v>3.6404117049542435E-3</v>
      </c>
      <c r="E85">
        <f t="shared" si="10"/>
        <v>4.0903502302856668E-3</v>
      </c>
    </row>
    <row r="86" spans="1:11">
      <c r="A86">
        <v>200</v>
      </c>
      <c r="B86">
        <v>0.9</v>
      </c>
      <c r="C86">
        <f t="shared" si="8"/>
        <v>0.96457498953444953</v>
      </c>
      <c r="D86">
        <f t="shared" si="9"/>
        <v>4.1699292733742644E-3</v>
      </c>
      <c r="E86">
        <f t="shared" si="10"/>
        <v>4.6332547481936267E-3</v>
      </c>
    </row>
    <row r="87" spans="1:11">
      <c r="B87">
        <f>SUM(B73:B86)</f>
        <v>5.46</v>
      </c>
      <c r="C87" s="6" t="s">
        <v>180</v>
      </c>
      <c r="D87" s="6">
        <f>SUM(D73:D86)</f>
        <v>2.8990534416541442E-2</v>
      </c>
      <c r="E87">
        <f>SUM(E73:E86)</f>
        <v>0.6291644589926455</v>
      </c>
    </row>
    <row r="94" spans="1:11">
      <c r="A94" t="s">
        <v>181</v>
      </c>
    </row>
    <row r="95" spans="1:11">
      <c r="B95" t="s">
        <v>10</v>
      </c>
    </row>
    <row r="96" spans="1:11">
      <c r="A96" t="s">
        <v>29</v>
      </c>
      <c r="B96" t="s">
        <v>43</v>
      </c>
      <c r="C96" t="s">
        <v>99</v>
      </c>
      <c r="D96" t="s">
        <v>182</v>
      </c>
    </row>
    <row r="97" spans="1:11">
      <c r="A97">
        <v>0</v>
      </c>
      <c r="B97">
        <v>0</v>
      </c>
      <c r="C97">
        <f>(($K$102)*(EXP(($K$97)*(A97-$K$98))))/(1+EXP(($K$97)*(A97-$K$98))*($K$102))</f>
        <v>2.2966389290377E-2</v>
      </c>
      <c r="D97">
        <v>0</v>
      </c>
      <c r="J97" s="6" t="s">
        <v>168</v>
      </c>
      <c r="K97" s="6">
        <v>3.5273793697171998E-2</v>
      </c>
    </row>
    <row r="98" spans="1:11">
      <c r="A98">
        <v>10</v>
      </c>
      <c r="B98">
        <v>0</v>
      </c>
      <c r="C98">
        <f t="shared" ref="C98:C110" si="11">(($K$102)*(EXP(($K$97)*(A98-$K$98))))/(1+EXP(($K$97)*(A98-$K$98))*($K$102))</f>
        <v>3.2365815942441686E-2</v>
      </c>
      <c r="D98">
        <v>0</v>
      </c>
      <c r="J98" s="6" t="s">
        <v>169</v>
      </c>
      <c r="K98" s="6">
        <v>236.88009005187101</v>
      </c>
    </row>
    <row r="99" spans="1:11">
      <c r="A99">
        <v>15</v>
      </c>
      <c r="B99">
        <v>0</v>
      </c>
      <c r="C99">
        <f t="shared" si="11"/>
        <v>3.8368949203992891E-2</v>
      </c>
      <c r="D99">
        <v>0</v>
      </c>
    </row>
    <row r="100" spans="1:11">
      <c r="A100">
        <v>20</v>
      </c>
      <c r="B100">
        <v>0</v>
      </c>
      <c r="C100">
        <f t="shared" si="11"/>
        <v>4.5433249533916996E-2</v>
      </c>
      <c r="D100">
        <v>0</v>
      </c>
      <c r="J100" t="s">
        <v>104</v>
      </c>
      <c r="K100" t="e">
        <f>1-(D111/E111)</f>
        <v>#DIV/0!</v>
      </c>
    </row>
    <row r="101" spans="1:11">
      <c r="A101">
        <v>25</v>
      </c>
      <c r="B101">
        <v>0</v>
      </c>
      <c r="C101">
        <f t="shared" si="11"/>
        <v>5.3725527855485684E-2</v>
      </c>
      <c r="D101">
        <v>0</v>
      </c>
      <c r="F101" t="s">
        <v>129</v>
      </c>
      <c r="G101">
        <f>(100/14)*D110</f>
        <v>0.51249991694007546</v>
      </c>
    </row>
    <row r="102" spans="1:11">
      <c r="A102">
        <v>40</v>
      </c>
      <c r="B102">
        <v>0.01</v>
      </c>
      <c r="C102">
        <f t="shared" si="11"/>
        <v>8.7900988939262847E-2</v>
      </c>
      <c r="D102">
        <f>ABS(B102-C102)/B102</f>
        <v>7.7900988939262854</v>
      </c>
      <c r="J102" t="s">
        <v>12</v>
      </c>
      <c r="K102">
        <v>100</v>
      </c>
    </row>
    <row r="103" spans="1:11">
      <c r="A103">
        <v>70</v>
      </c>
      <c r="B103">
        <v>0.24</v>
      </c>
      <c r="C103">
        <f t="shared" si="11"/>
        <v>0.21732498774473979</v>
      </c>
      <c r="D103">
        <f t="shared" ref="D103:D110" si="12">ABS(B103-C103)/B103</f>
        <v>9.4479217730250822E-2</v>
      </c>
      <c r="J103" t="s">
        <v>105</v>
      </c>
      <c r="K103">
        <v>4</v>
      </c>
    </row>
    <row r="104" spans="1:11">
      <c r="A104">
        <v>92</v>
      </c>
      <c r="B104">
        <v>0.43</v>
      </c>
      <c r="C104">
        <f t="shared" si="11"/>
        <v>0.37629590795070433</v>
      </c>
      <c r="D104">
        <f t="shared" si="12"/>
        <v>0.12489323732394339</v>
      </c>
      <c r="J104" t="s">
        <v>8</v>
      </c>
      <c r="K104">
        <v>8</v>
      </c>
    </row>
    <row r="105" spans="1:11">
      <c r="A105">
        <v>110</v>
      </c>
      <c r="B105">
        <v>0.56000000000000005</v>
      </c>
      <c r="C105">
        <f t="shared" si="11"/>
        <v>0.53236171332786342</v>
      </c>
      <c r="D105">
        <f t="shared" si="12"/>
        <v>4.9354083343101131E-2</v>
      </c>
      <c r="J105" t="s">
        <v>106</v>
      </c>
      <c r="K105">
        <v>14</v>
      </c>
    </row>
    <row r="106" spans="1:11">
      <c r="A106">
        <v>130</v>
      </c>
      <c r="B106">
        <v>0.7</v>
      </c>
      <c r="C106">
        <f t="shared" si="11"/>
        <v>0.69743304810809514</v>
      </c>
      <c r="D106">
        <f t="shared" si="12"/>
        <v>3.6670741312925885E-3</v>
      </c>
      <c r="J106" t="s">
        <v>107</v>
      </c>
      <c r="K106">
        <v>2</v>
      </c>
    </row>
    <row r="107" spans="1:11">
      <c r="A107">
        <v>160</v>
      </c>
      <c r="B107">
        <v>0.85</v>
      </c>
      <c r="C107">
        <f t="shared" si="11"/>
        <v>0.86913335570520234</v>
      </c>
      <c r="D107">
        <f t="shared" si="12"/>
        <v>2.2509830241414543E-2</v>
      </c>
    </row>
    <row r="108" spans="1:11">
      <c r="A108">
        <v>180</v>
      </c>
      <c r="B108">
        <v>0.88</v>
      </c>
      <c r="C108">
        <f t="shared" si="11"/>
        <v>0.93078389898300962</v>
      </c>
      <c r="D108">
        <f t="shared" si="12"/>
        <v>5.7708976117056381E-2</v>
      </c>
    </row>
    <row r="109" spans="1:11">
      <c r="A109">
        <v>190</v>
      </c>
      <c r="B109">
        <v>0.89</v>
      </c>
      <c r="C109">
        <f t="shared" si="11"/>
        <v>0.95033582439110487</v>
      </c>
      <c r="D109">
        <f t="shared" si="12"/>
        <v>6.7793061113600964E-2</v>
      </c>
    </row>
    <row r="110" spans="1:11">
      <c r="A110">
        <v>200</v>
      </c>
      <c r="B110">
        <v>0.9</v>
      </c>
      <c r="C110">
        <f t="shared" si="11"/>
        <v>0.96457498953444953</v>
      </c>
      <c r="D110">
        <f t="shared" si="12"/>
        <v>7.1749988371610562E-2</v>
      </c>
    </row>
    <row r="119" spans="1:11" ht="16.8">
      <c r="A119" s="1" t="s">
        <v>109</v>
      </c>
    </row>
    <row r="120" spans="1:11">
      <c r="B120" t="s">
        <v>130</v>
      </c>
    </row>
    <row r="121" spans="1:11">
      <c r="A121" t="s">
        <v>29</v>
      </c>
      <c r="B121" t="s">
        <v>43</v>
      </c>
      <c r="C121" t="s">
        <v>99</v>
      </c>
      <c r="D121" t="s">
        <v>120</v>
      </c>
    </row>
    <row r="122" spans="1:11">
      <c r="A122">
        <v>0</v>
      </c>
      <c r="B122">
        <v>0</v>
      </c>
      <c r="C122">
        <f>(($K$127)*(EXP(($K$122)*(A122-$K$123))))/(1+EXP(($K$122)*(A122-$K$123))*($K$127))</f>
        <v>2.3952927010218593E-3</v>
      </c>
      <c r="D122">
        <f>(B122-C122)^2</f>
        <v>5.7374271235685943E-6</v>
      </c>
      <c r="J122" s="6" t="s">
        <v>168</v>
      </c>
      <c r="K122" s="6">
        <v>2.99557092461285E-2</v>
      </c>
    </row>
    <row r="123" spans="1:11">
      <c r="A123">
        <v>20</v>
      </c>
      <c r="B123">
        <v>0</v>
      </c>
      <c r="C123">
        <f t="shared" ref="C123:C139" si="13">(($K$127)*(EXP(($K$122)*(A123-$K$123))))/(1+EXP(($K$122)*(A123-$K$123))*($K$127))</f>
        <v>4.3520900446068307E-3</v>
      </c>
      <c r="D123">
        <f t="shared" ref="D123:D139" si="14">(B123-C123)^2</f>
        <v>1.8940687756365884E-5</v>
      </c>
      <c r="J123" s="6" t="s">
        <v>169</v>
      </c>
      <c r="K123" s="6">
        <v>355.091637951302</v>
      </c>
    </row>
    <row r="124" spans="1:11">
      <c r="A124">
        <v>30</v>
      </c>
      <c r="B124">
        <v>0</v>
      </c>
      <c r="C124">
        <f t="shared" si="13"/>
        <v>5.8631935561422313E-3</v>
      </c>
      <c r="D124">
        <f t="shared" si="14"/>
        <v>3.4377038676787785E-5</v>
      </c>
      <c r="F124" s="6" t="s">
        <v>100</v>
      </c>
      <c r="G124" s="6">
        <f>D140</f>
        <v>1.8424097725013935E-2</v>
      </c>
    </row>
    <row r="125" spans="1:11">
      <c r="A125">
        <v>40</v>
      </c>
      <c r="B125">
        <v>0</v>
      </c>
      <c r="C125">
        <f t="shared" si="13"/>
        <v>7.8948119741664696E-3</v>
      </c>
      <c r="D125">
        <f t="shared" si="14"/>
        <v>6.2328056107442264E-5</v>
      </c>
    </row>
    <row r="126" spans="1:11">
      <c r="A126">
        <v>50</v>
      </c>
      <c r="B126">
        <v>0</v>
      </c>
      <c r="C126">
        <f t="shared" si="13"/>
        <v>1.0622871528953325E-2</v>
      </c>
      <c r="D126">
        <f t="shared" si="14"/>
        <v>1.1284539952064715E-4</v>
      </c>
    </row>
    <row r="127" spans="1:11">
      <c r="A127">
        <v>60</v>
      </c>
      <c r="B127">
        <v>0</v>
      </c>
      <c r="C127">
        <f t="shared" si="13"/>
        <v>1.4280045891734752E-2</v>
      </c>
      <c r="D127">
        <f t="shared" si="14"/>
        <v>2.0391971067005056E-4</v>
      </c>
      <c r="J127" t="s">
        <v>12</v>
      </c>
      <c r="K127">
        <v>100</v>
      </c>
    </row>
    <row r="128" spans="1:11">
      <c r="A128">
        <v>70</v>
      </c>
      <c r="B128">
        <v>0</v>
      </c>
      <c r="C128">
        <f t="shared" si="13"/>
        <v>1.917189098380314E-2</v>
      </c>
      <c r="D128">
        <f t="shared" si="14"/>
        <v>3.6756140389483216E-4</v>
      </c>
      <c r="J128" t="s">
        <v>105</v>
      </c>
      <c r="K128">
        <v>8</v>
      </c>
    </row>
    <row r="129" spans="1:11">
      <c r="A129">
        <v>80</v>
      </c>
      <c r="B129">
        <v>0</v>
      </c>
      <c r="C129">
        <f t="shared" si="13"/>
        <v>2.5695827145168239E-2</v>
      </c>
      <c r="D129">
        <f t="shared" si="14"/>
        <v>6.60275532674365E-4</v>
      </c>
      <c r="J129" t="s">
        <v>8</v>
      </c>
      <c r="K129">
        <v>8</v>
      </c>
    </row>
    <row r="130" spans="1:11">
      <c r="A130">
        <v>115</v>
      </c>
      <c r="B130">
        <v>0.01</v>
      </c>
      <c r="C130">
        <f t="shared" si="13"/>
        <v>6.9983351281600825E-2</v>
      </c>
      <c r="D130">
        <f t="shared" si="14"/>
        <v>3.598002430971923E-3</v>
      </c>
      <c r="J130" t="s">
        <v>106</v>
      </c>
      <c r="K130">
        <v>18</v>
      </c>
    </row>
    <row r="131" spans="1:11">
      <c r="A131">
        <v>140</v>
      </c>
      <c r="B131">
        <v>0.08</v>
      </c>
      <c r="C131">
        <f t="shared" si="13"/>
        <v>0.13728179681655664</v>
      </c>
      <c r="D131">
        <f t="shared" si="14"/>
        <v>3.281204246533278E-3</v>
      </c>
      <c r="J131" t="s">
        <v>107</v>
      </c>
      <c r="K131">
        <v>2</v>
      </c>
    </row>
    <row r="132" spans="1:11">
      <c r="A132">
        <v>170</v>
      </c>
      <c r="B132">
        <v>0.3</v>
      </c>
      <c r="C132">
        <f t="shared" si="13"/>
        <v>0.28102537356692414</v>
      </c>
      <c r="D132">
        <f t="shared" si="14"/>
        <v>3.6003644827478068E-4</v>
      </c>
    </row>
    <row r="133" spans="1:11">
      <c r="A133">
        <v>195</v>
      </c>
      <c r="B133">
        <v>0.49</v>
      </c>
      <c r="C133">
        <f t="shared" si="13"/>
        <v>0.45252138664942215</v>
      </c>
      <c r="D133">
        <f t="shared" si="14"/>
        <v>1.4046464586821115E-3</v>
      </c>
    </row>
    <row r="134" spans="1:11">
      <c r="A134">
        <v>210</v>
      </c>
      <c r="B134">
        <v>0.6</v>
      </c>
      <c r="C134">
        <f t="shared" si="13"/>
        <v>0.56435290304031804</v>
      </c>
      <c r="D134">
        <f t="shared" si="14"/>
        <v>1.2707155216529649E-3</v>
      </c>
    </row>
    <row r="135" spans="1:11">
      <c r="A135">
        <v>230</v>
      </c>
      <c r="B135">
        <v>0.71</v>
      </c>
      <c r="C135">
        <f t="shared" si="13"/>
        <v>0.70223456702597131</v>
      </c>
      <c r="D135">
        <f t="shared" si="14"/>
        <v>6.0301949274131473E-5</v>
      </c>
    </row>
    <row r="136" spans="1:11">
      <c r="A136">
        <v>250</v>
      </c>
      <c r="B136">
        <v>0.8</v>
      </c>
      <c r="C136">
        <f t="shared" si="13"/>
        <v>0.81108499329893102</v>
      </c>
      <c r="D136">
        <f t="shared" si="14"/>
        <v>1.228770764373447E-4</v>
      </c>
    </row>
    <row r="137" spans="1:11">
      <c r="A137">
        <v>270</v>
      </c>
      <c r="B137">
        <v>0.85</v>
      </c>
      <c r="C137">
        <f t="shared" si="13"/>
        <v>0.88657157302749934</v>
      </c>
      <c r="D137">
        <f t="shared" si="14"/>
        <v>1.3374799537057187E-3</v>
      </c>
    </row>
    <row r="138" spans="1:11">
      <c r="A138">
        <v>285</v>
      </c>
      <c r="B138">
        <v>0.87</v>
      </c>
      <c r="C138">
        <f t="shared" si="13"/>
        <v>0.92452826853003112</v>
      </c>
      <c r="D138">
        <f t="shared" si="14"/>
        <v>2.9733320688831821E-3</v>
      </c>
    </row>
    <row r="139" spans="1:11">
      <c r="A139">
        <v>300</v>
      </c>
      <c r="B139">
        <v>0.9</v>
      </c>
      <c r="C139">
        <f t="shared" si="13"/>
        <v>0.95049273526136646</v>
      </c>
      <c r="D139">
        <f t="shared" si="14"/>
        <v>2.5495163141744377E-3</v>
      </c>
    </row>
    <row r="140" spans="1:11">
      <c r="C140" t="s">
        <v>183</v>
      </c>
      <c r="D140">
        <f>SUM(D122:D139)</f>
        <v>1.8424097725013935E-2</v>
      </c>
    </row>
    <row r="147" spans="1:11" ht="16.8">
      <c r="A147" s="1" t="s">
        <v>184</v>
      </c>
    </row>
    <row r="148" spans="1:11">
      <c r="B148" t="s">
        <v>130</v>
      </c>
    </row>
    <row r="149" spans="1:11">
      <c r="A149" t="s">
        <v>29</v>
      </c>
      <c r="B149" t="s">
        <v>43</v>
      </c>
      <c r="C149" t="s">
        <v>99</v>
      </c>
      <c r="D149" t="s">
        <v>120</v>
      </c>
      <c r="E149" t="s">
        <v>137</v>
      </c>
    </row>
    <row r="150" spans="1:11">
      <c r="A150">
        <v>0</v>
      </c>
      <c r="B150">
        <v>0</v>
      </c>
      <c r="C150">
        <f>(($K$155)*(EXP(($K$150)*(A150-$K$151))))/(1+EXP(($K$150)*(A150-$K$151))*($K$155))</f>
        <v>3.0617795225955447E-3</v>
      </c>
      <c r="D150">
        <f>(B150-C150)^2</f>
        <v>9.3744938449854016E-6</v>
      </c>
      <c r="E150">
        <f>ABS(B150-C150)</f>
        <v>3.0617795225955447E-3</v>
      </c>
      <c r="J150" s="6" t="s">
        <v>168</v>
      </c>
      <c r="K150" s="6">
        <v>2.9048189600816201E-2</v>
      </c>
    </row>
    <row r="151" spans="1:11">
      <c r="A151">
        <v>20</v>
      </c>
      <c r="B151">
        <v>0</v>
      </c>
      <c r="C151">
        <f t="shared" ref="C151:C167" si="15">(($K$155)*(EXP(($K$150)*(A151-$K$151))))/(1+EXP(($K$150)*(A151-$K$151))*($K$155))</f>
        <v>5.4605582984722859E-3</v>
      </c>
      <c r="D151">
        <f t="shared" ref="D151:D167" si="16">(B151-C151)^2</f>
        <v>2.9817696931014546E-5</v>
      </c>
      <c r="E151">
        <f t="shared" ref="E151:E167" si="17">ABS(B151-C151)</f>
        <v>5.4605582984722859E-3</v>
      </c>
      <c r="J151" s="6" t="s">
        <v>169</v>
      </c>
      <c r="K151" s="6">
        <v>357.71119787973998</v>
      </c>
    </row>
    <row r="152" spans="1:11">
      <c r="A152">
        <v>30</v>
      </c>
      <c r="B152">
        <v>0</v>
      </c>
      <c r="C152">
        <f t="shared" si="15"/>
        <v>7.2877439436218518E-3</v>
      </c>
      <c r="D152">
        <f t="shared" si="16"/>
        <v>5.3111211787796983E-5</v>
      </c>
      <c r="E152">
        <f t="shared" si="17"/>
        <v>7.2877439436218518E-3</v>
      </c>
      <c r="G152" s="6" t="s">
        <v>132</v>
      </c>
      <c r="H152" s="6">
        <f>E168</f>
        <v>0.44684879967759739</v>
      </c>
    </row>
    <row r="153" spans="1:11">
      <c r="A153">
        <v>40</v>
      </c>
      <c r="B153">
        <v>0</v>
      </c>
      <c r="C153">
        <f t="shared" si="15"/>
        <v>9.7203579279432368E-3</v>
      </c>
      <c r="D153">
        <f t="shared" si="16"/>
        <v>9.4485358247328938E-5</v>
      </c>
      <c r="E153">
        <f t="shared" si="17"/>
        <v>9.7203579279432368E-3</v>
      </c>
    </row>
    <row r="154" spans="1:11">
      <c r="A154">
        <v>50</v>
      </c>
      <c r="B154">
        <v>0</v>
      </c>
      <c r="C154">
        <f t="shared" si="15"/>
        <v>1.295437069165117E-2</v>
      </c>
      <c r="D154">
        <f t="shared" si="16"/>
        <v>1.6781572001671081E-4</v>
      </c>
      <c r="E154">
        <f t="shared" si="17"/>
        <v>1.295437069165117E-2</v>
      </c>
    </row>
    <row r="155" spans="1:11">
      <c r="A155">
        <v>60</v>
      </c>
      <c r="B155">
        <v>0</v>
      </c>
      <c r="C155">
        <f t="shared" si="15"/>
        <v>1.7245618079293805E-2</v>
      </c>
      <c r="D155">
        <f t="shared" si="16"/>
        <v>2.9741134293686535E-4</v>
      </c>
      <c r="E155">
        <f t="shared" si="17"/>
        <v>1.7245618079293805E-2</v>
      </c>
      <c r="J155" t="s">
        <v>12</v>
      </c>
      <c r="K155">
        <v>100</v>
      </c>
    </row>
    <row r="156" spans="1:11">
      <c r="A156">
        <v>70</v>
      </c>
      <c r="B156">
        <v>0</v>
      </c>
      <c r="C156">
        <f t="shared" si="15"/>
        <v>2.2925361894090057E-2</v>
      </c>
      <c r="D156">
        <f t="shared" si="16"/>
        <v>5.2557221797499643E-4</v>
      </c>
      <c r="E156">
        <f t="shared" si="17"/>
        <v>2.2925361894090057E-2</v>
      </c>
      <c r="J156" t="s">
        <v>105</v>
      </c>
      <c r="K156">
        <v>8</v>
      </c>
    </row>
    <row r="157" spans="1:11">
      <c r="A157">
        <v>80</v>
      </c>
      <c r="B157">
        <v>0</v>
      </c>
      <c r="C157">
        <f t="shared" si="15"/>
        <v>3.0417798507500555E-2</v>
      </c>
      <c r="D157">
        <f t="shared" si="16"/>
        <v>9.25242466042903E-4</v>
      </c>
      <c r="E157">
        <f t="shared" si="17"/>
        <v>3.0417798507500555E-2</v>
      </c>
      <c r="J157" t="s">
        <v>8</v>
      </c>
      <c r="K157">
        <v>8</v>
      </c>
    </row>
    <row r="158" spans="1:11">
      <c r="A158">
        <v>115</v>
      </c>
      <c r="B158">
        <v>0.01</v>
      </c>
      <c r="C158">
        <f t="shared" si="15"/>
        <v>7.9793892510319556E-2</v>
      </c>
      <c r="D158">
        <f t="shared" si="16"/>
        <v>4.8711874317420405E-3</v>
      </c>
      <c r="E158">
        <f t="shared" si="17"/>
        <v>6.9793892510319561E-2</v>
      </c>
      <c r="J158" t="s">
        <v>106</v>
      </c>
      <c r="K158">
        <v>18</v>
      </c>
    </row>
    <row r="159" spans="1:11">
      <c r="A159">
        <v>140</v>
      </c>
      <c r="B159">
        <v>0.08</v>
      </c>
      <c r="C159">
        <f t="shared" si="15"/>
        <v>0.15200697942484087</v>
      </c>
      <c r="D159">
        <f t="shared" si="16"/>
        <v>5.1850050858894565E-3</v>
      </c>
      <c r="E159">
        <f t="shared" si="17"/>
        <v>7.200697942484087E-2</v>
      </c>
      <c r="J159" t="s">
        <v>107</v>
      </c>
      <c r="K159">
        <v>2</v>
      </c>
    </row>
    <row r="160" spans="1:11">
      <c r="A160">
        <v>170</v>
      </c>
      <c r="B160">
        <v>0.3</v>
      </c>
      <c r="C160">
        <f t="shared" si="15"/>
        <v>0.2999574935563134</v>
      </c>
      <c r="D160">
        <f t="shared" si="16"/>
        <v>1.8067977548808372E-9</v>
      </c>
      <c r="E160">
        <f t="shared" si="17"/>
        <v>4.2506443686585182E-5</v>
      </c>
    </row>
    <row r="161" spans="1:5">
      <c r="A161">
        <v>195</v>
      </c>
      <c r="B161">
        <v>0.49</v>
      </c>
      <c r="C161">
        <f t="shared" si="15"/>
        <v>0.46971323895190148</v>
      </c>
      <c r="D161">
        <f t="shared" si="16"/>
        <v>4.1155267382264702E-4</v>
      </c>
      <c r="E161">
        <f t="shared" si="17"/>
        <v>2.0286761048098512E-2</v>
      </c>
    </row>
    <row r="162" spans="1:5">
      <c r="A162">
        <v>210</v>
      </c>
      <c r="B162">
        <v>0.6</v>
      </c>
      <c r="C162">
        <f t="shared" si="15"/>
        <v>0.5779655462848059</v>
      </c>
      <c r="D162">
        <f t="shared" si="16"/>
        <v>4.8551715052703022E-4</v>
      </c>
      <c r="E162">
        <f t="shared" si="17"/>
        <v>2.203445371519408E-2</v>
      </c>
    </row>
    <row r="163" spans="1:5">
      <c r="A163">
        <v>230</v>
      </c>
      <c r="B163">
        <v>0.71</v>
      </c>
      <c r="C163">
        <f t="shared" si="15"/>
        <v>0.71000145134066683</v>
      </c>
      <c r="D163">
        <f t="shared" si="16"/>
        <v>2.1063897313084785E-12</v>
      </c>
      <c r="E163">
        <f t="shared" si="17"/>
        <v>1.4513406668692497E-6</v>
      </c>
    </row>
    <row r="164" spans="1:5">
      <c r="A164">
        <v>250</v>
      </c>
      <c r="B164">
        <v>0.8</v>
      </c>
      <c r="C164">
        <f t="shared" si="15"/>
        <v>0.81402137662434026</v>
      </c>
      <c r="D164">
        <f t="shared" si="16"/>
        <v>1.9659900244159436E-4</v>
      </c>
      <c r="E164">
        <f t="shared" si="17"/>
        <v>1.402137662434022E-2</v>
      </c>
    </row>
    <row r="165" spans="1:5">
      <c r="A165">
        <v>270</v>
      </c>
      <c r="B165">
        <v>0.85</v>
      </c>
      <c r="C165">
        <f t="shared" si="15"/>
        <v>0.88668504435234174</v>
      </c>
      <c r="D165">
        <f t="shared" si="16"/>
        <v>1.3457924791332825E-3</v>
      </c>
      <c r="E165">
        <f t="shared" si="17"/>
        <v>3.6685044352341767E-2</v>
      </c>
    </row>
    <row r="166" spans="1:5">
      <c r="A166">
        <v>285</v>
      </c>
      <c r="B166">
        <v>0.87</v>
      </c>
      <c r="C166">
        <f t="shared" si="15"/>
        <v>0.92365256293124476</v>
      </c>
      <c r="D166">
        <f t="shared" si="16"/>
        <v>2.8785975090911795E-3</v>
      </c>
      <c r="E166">
        <f t="shared" si="17"/>
        <v>5.3652562931244763E-2</v>
      </c>
    </row>
    <row r="167" spans="1:5">
      <c r="A167">
        <v>300</v>
      </c>
      <c r="B167">
        <v>0.9</v>
      </c>
      <c r="C167">
        <f t="shared" si="15"/>
        <v>0.94925018242169568</v>
      </c>
      <c r="D167">
        <f t="shared" si="16"/>
        <v>2.4255804685702994E-3</v>
      </c>
      <c r="E167">
        <f t="shared" si="17"/>
        <v>4.9250182421695654E-2</v>
      </c>
    </row>
    <row r="168" spans="1:5">
      <c r="D168">
        <f>SUM(D150:D167)</f>
        <v>1.9902664117904277E-2</v>
      </c>
      <c r="E168">
        <f>SUM(E150:E167)</f>
        <v>0.44684879967759739</v>
      </c>
    </row>
    <row r="174" spans="1:5" ht="16.8">
      <c r="A174" s="10" t="s">
        <v>145</v>
      </c>
    </row>
    <row r="175" spans="1:5">
      <c r="B175" t="s">
        <v>130</v>
      </c>
    </row>
    <row r="176" spans="1:5">
      <c r="A176" t="s">
        <v>29</v>
      </c>
      <c r="B176" t="s">
        <v>43</v>
      </c>
      <c r="C176" t="s">
        <v>99</v>
      </c>
      <c r="D176" t="s">
        <v>120</v>
      </c>
      <c r="E176" t="s">
        <v>119</v>
      </c>
    </row>
    <row r="177" spans="1:11">
      <c r="A177">
        <v>0</v>
      </c>
      <c r="B177">
        <v>0</v>
      </c>
      <c r="C177">
        <f>(($K$182)*(EXP(($K$177)*(A177-$K$178))))/(1+EXP(($K$177)*(A177-$K$178))*($K$182))</f>
        <v>1.925887976726044E-5</v>
      </c>
      <c r="D177">
        <f>(B177-C177)^2</f>
        <v>3.7090444988979354E-10</v>
      </c>
      <c r="E177">
        <f>(B177-C$46)^2</f>
        <v>0</v>
      </c>
      <c r="J177" s="6" t="s">
        <v>168</v>
      </c>
      <c r="K177" s="6">
        <v>5.6114776962238197E-2</v>
      </c>
    </row>
    <row r="178" spans="1:11">
      <c r="A178">
        <v>20</v>
      </c>
      <c r="B178">
        <v>0</v>
      </c>
      <c r="C178">
        <f t="shared" ref="C178:C194" si="18">(($K$182)*(EXP(($K$177)*(A178-$K$178))))/(1+EXP(($K$177)*(A178-$K$178))*($K$182))</f>
        <v>5.915894937226592E-5</v>
      </c>
      <c r="D178">
        <f t="shared" ref="D178:D194" si="19">(B178-C178)^2</f>
        <v>3.4997812908303221E-9</v>
      </c>
      <c r="E178">
        <f t="shared" ref="E178:E184" si="20">(B178-C$46)^2</f>
        <v>0</v>
      </c>
      <c r="J178" s="6" t="s">
        <v>169</v>
      </c>
      <c r="K178" s="6">
        <v>275.55467705605997</v>
      </c>
    </row>
    <row r="179" spans="1:11">
      <c r="A179">
        <v>30</v>
      </c>
      <c r="B179">
        <v>0</v>
      </c>
      <c r="C179">
        <f t="shared" si="18"/>
        <v>1.036822694419716E-4</v>
      </c>
      <c r="D179">
        <f t="shared" si="19"/>
        <v>1.0750012996637598E-8</v>
      </c>
      <c r="E179">
        <f t="shared" si="20"/>
        <v>0</v>
      </c>
      <c r="G179" s="6" t="s">
        <v>121</v>
      </c>
      <c r="H179" s="6">
        <f>(100)*(1/16)^(0.5)*(F188)^(0.5)</f>
        <v>1.5658928219178494</v>
      </c>
    </row>
    <row r="180" spans="1:11">
      <c r="A180">
        <v>40</v>
      </c>
      <c r="B180">
        <v>0</v>
      </c>
      <c r="C180">
        <f t="shared" si="18"/>
        <v>1.8170797292627253E-4</v>
      </c>
      <c r="D180">
        <f t="shared" si="19"/>
        <v>3.3017787424974991E-8</v>
      </c>
      <c r="E180">
        <f t="shared" si="20"/>
        <v>0</v>
      </c>
      <c r="J180" t="s">
        <v>104</v>
      </c>
      <c r="K180">
        <f>1-(D195/E195)</f>
        <v>0.75210084901343455</v>
      </c>
    </row>
    <row r="181" spans="1:11">
      <c r="A181">
        <v>50</v>
      </c>
      <c r="B181">
        <v>0</v>
      </c>
      <c r="C181">
        <f t="shared" si="18"/>
        <v>3.1843292762274126E-4</v>
      </c>
      <c r="D181">
        <f t="shared" si="19"/>
        <v>1.0139952939438998E-7</v>
      </c>
      <c r="E181">
        <f t="shared" si="20"/>
        <v>0</v>
      </c>
    </row>
    <row r="182" spans="1:11">
      <c r="A182">
        <v>60</v>
      </c>
      <c r="B182">
        <v>0</v>
      </c>
      <c r="C182">
        <f t="shared" si="18"/>
        <v>5.5797825037892104E-4</v>
      </c>
      <c r="D182">
        <f t="shared" si="19"/>
        <v>3.1133972789592189E-7</v>
      </c>
      <c r="E182">
        <f t="shared" si="20"/>
        <v>0</v>
      </c>
      <c r="J182" t="s">
        <v>12</v>
      </c>
      <c r="K182">
        <v>100</v>
      </c>
    </row>
    <row r="183" spans="1:11">
      <c r="A183">
        <v>70</v>
      </c>
      <c r="B183">
        <v>0</v>
      </c>
      <c r="C183">
        <f t="shared" si="18"/>
        <v>9.7754845487902308E-4</v>
      </c>
      <c r="D183">
        <f t="shared" si="19"/>
        <v>9.5560098163636534E-7</v>
      </c>
      <c r="E183">
        <f t="shared" si="20"/>
        <v>0</v>
      </c>
      <c r="J183" t="s">
        <v>105</v>
      </c>
      <c r="K183">
        <v>8</v>
      </c>
    </row>
    <row r="184" spans="1:11">
      <c r="A184">
        <v>80</v>
      </c>
      <c r="B184">
        <v>0</v>
      </c>
      <c r="C184">
        <f t="shared" si="18"/>
        <v>1.7120728645976355E-3</v>
      </c>
      <c r="D184">
        <f t="shared" si="19"/>
        <v>2.9311934936915537E-6</v>
      </c>
      <c r="E184">
        <f t="shared" si="20"/>
        <v>0</v>
      </c>
      <c r="J184" t="s">
        <v>8</v>
      </c>
      <c r="K184">
        <v>8</v>
      </c>
    </row>
    <row r="185" spans="1:11">
      <c r="A185">
        <v>115</v>
      </c>
      <c r="B185">
        <v>0.01</v>
      </c>
      <c r="C185">
        <f t="shared" si="18"/>
        <v>1.2076788044287003E-2</v>
      </c>
      <c r="D185">
        <f t="shared" si="19"/>
        <v>4.3130485808934322E-6</v>
      </c>
      <c r="E185">
        <f>((B185-C185)/B185)^2</f>
        <v>4.3130485808934318E-2</v>
      </c>
      <c r="J185" t="s">
        <v>106</v>
      </c>
      <c r="K185">
        <v>18</v>
      </c>
    </row>
    <row r="186" spans="1:11">
      <c r="A186">
        <v>140</v>
      </c>
      <c r="B186">
        <v>0.08</v>
      </c>
      <c r="C186">
        <f t="shared" si="18"/>
        <v>4.7360397214206894E-2</v>
      </c>
      <c r="D186">
        <f t="shared" si="19"/>
        <v>1.0653436700143533E-3</v>
      </c>
      <c r="E186">
        <f t="shared" ref="E186:E194" si="21">((B186-C186)/B186)^2</f>
        <v>0.16645994843974268</v>
      </c>
      <c r="J186" t="s">
        <v>107</v>
      </c>
      <c r="K186">
        <v>2</v>
      </c>
    </row>
    <row r="187" spans="1:11">
      <c r="A187">
        <v>170</v>
      </c>
      <c r="B187">
        <v>0.3</v>
      </c>
      <c r="C187">
        <f t="shared" si="18"/>
        <v>0.21115007212123416</v>
      </c>
      <c r="D187">
        <f t="shared" si="19"/>
        <v>7.8943096840618909E-3</v>
      </c>
      <c r="E187">
        <f t="shared" si="21"/>
        <v>8.7714552045132121E-2</v>
      </c>
    </row>
    <row r="188" spans="1:11">
      <c r="A188">
        <v>195</v>
      </c>
      <c r="B188">
        <v>0.49</v>
      </c>
      <c r="C188">
        <f t="shared" si="18"/>
        <v>0.5212028893344266</v>
      </c>
      <c r="D188">
        <f t="shared" si="19"/>
        <v>9.7362030281647385E-4</v>
      </c>
      <c r="E188">
        <f t="shared" si="21"/>
        <v>4.0550616527133447E-3</v>
      </c>
      <c r="F188">
        <f>D195/B195^2</f>
        <v>3.9232325275741532E-3</v>
      </c>
    </row>
    <row r="189" spans="1:11">
      <c r="A189">
        <v>210</v>
      </c>
      <c r="B189">
        <v>0.6</v>
      </c>
      <c r="C189">
        <f t="shared" si="18"/>
        <v>0.71638176070250148</v>
      </c>
      <c r="D189">
        <f t="shared" si="19"/>
        <v>1.3544714224214324E-2</v>
      </c>
      <c r="E189">
        <f t="shared" si="21"/>
        <v>3.7624206178373122E-2</v>
      </c>
    </row>
    <row r="190" spans="1:11">
      <c r="A190">
        <v>230</v>
      </c>
      <c r="B190">
        <v>0.71</v>
      </c>
      <c r="C190">
        <f t="shared" si="18"/>
        <v>0.88583436396054283</v>
      </c>
      <c r="D190">
        <f t="shared" si="19"/>
        <v>3.0917723549408655E-2</v>
      </c>
      <c r="E190">
        <f t="shared" si="21"/>
        <v>6.1332520431280818E-2</v>
      </c>
    </row>
    <row r="191" spans="1:11">
      <c r="A191">
        <v>250</v>
      </c>
      <c r="B191">
        <v>0.8</v>
      </c>
      <c r="C191">
        <f t="shared" si="18"/>
        <v>0.95973502253717435</v>
      </c>
      <c r="D191">
        <f t="shared" si="19"/>
        <v>2.5515277424951584E-2</v>
      </c>
      <c r="E191">
        <f t="shared" si="21"/>
        <v>3.9867620976486849E-2</v>
      </c>
    </row>
    <row r="192" spans="1:11">
      <c r="A192">
        <v>270</v>
      </c>
      <c r="B192">
        <v>0.85</v>
      </c>
      <c r="C192">
        <f t="shared" si="18"/>
        <v>0.98652657081258732</v>
      </c>
      <c r="D192">
        <f t="shared" si="19"/>
        <v>1.8639504537844426E-2</v>
      </c>
      <c r="E192">
        <f t="shared" si="21"/>
        <v>2.5798622197708555E-2</v>
      </c>
    </row>
    <row r="193" spans="1:11">
      <c r="A193">
        <v>285</v>
      </c>
      <c r="B193">
        <v>0.87</v>
      </c>
      <c r="C193">
        <f t="shared" si="18"/>
        <v>0.99414852223980799</v>
      </c>
      <c r="D193">
        <f t="shared" si="19"/>
        <v>1.5412855574328099E-2</v>
      </c>
      <c r="E193">
        <f t="shared" si="21"/>
        <v>2.0363133272992603E-2</v>
      </c>
    </row>
    <row r="194" spans="1:11">
      <c r="A194">
        <v>300</v>
      </c>
      <c r="B194">
        <v>0.9</v>
      </c>
      <c r="C194">
        <f t="shared" si="18"/>
        <v>0.99746977604687037</v>
      </c>
      <c r="D194">
        <f t="shared" si="19"/>
        <v>9.50035724262706E-3</v>
      </c>
      <c r="E194">
        <f t="shared" si="21"/>
        <v>1.1728836102008715E-2</v>
      </c>
    </row>
    <row r="195" spans="1:11">
      <c r="B195">
        <f>SUM(B177:B194)</f>
        <v>5.61</v>
      </c>
      <c r="C195" t="s">
        <v>183</v>
      </c>
      <c r="D195">
        <f>SUM(D177:D194)</f>
        <v>0.12347236643106653</v>
      </c>
      <c r="E195">
        <f>SUM(E177:E194)</f>
        <v>0.49807498710537312</v>
      </c>
    </row>
    <row r="202" spans="1:11" ht="16.8">
      <c r="A202" s="1" t="s">
        <v>125</v>
      </c>
    </row>
    <row r="203" spans="1:11">
      <c r="B203" t="s">
        <v>130</v>
      </c>
    </row>
    <row r="204" spans="1:11">
      <c r="A204" t="s">
        <v>29</v>
      </c>
      <c r="B204" t="s">
        <v>43</v>
      </c>
      <c r="C204" t="s">
        <v>99</v>
      </c>
      <c r="D204" t="s">
        <v>120</v>
      </c>
      <c r="E204" t="s">
        <v>119</v>
      </c>
    </row>
    <row r="205" spans="1:11">
      <c r="A205">
        <v>0</v>
      </c>
      <c r="B205">
        <v>0</v>
      </c>
      <c r="C205">
        <f>(($K$210)*(EXP(($K$205)*(A205-$K$206))))/(1+EXP(($K$205)*(A205-$K$206))*($K$210))</f>
        <v>2.2290787419329878E-4</v>
      </c>
      <c r="D205">
        <f>(B205-C205)^2</f>
        <v>4.9687920377375514E-8</v>
      </c>
      <c r="E205">
        <f>(B205-C$46)^2</f>
        <v>0</v>
      </c>
      <c r="J205" s="6" t="s">
        <v>168</v>
      </c>
      <c r="K205" s="6">
        <v>4.1880519436780499E-2</v>
      </c>
    </row>
    <row r="206" spans="1:11">
      <c r="A206">
        <v>20</v>
      </c>
      <c r="B206">
        <v>0</v>
      </c>
      <c r="C206">
        <f t="shared" ref="C206:C222" si="22">(($K$210)*(EXP(($K$205)*(A206-$K$206))))/(1+EXP(($K$205)*(A206-$K$206))*($K$210))</f>
        <v>5.1495360082297467E-4</v>
      </c>
      <c r="D206">
        <f t="shared" ref="D206:D222" si="23">(B206-C206)^2</f>
        <v>2.6517721100054754E-7</v>
      </c>
      <c r="E206">
        <f t="shared" ref="E206:E212" si="24">(B206-C$46)^2</f>
        <v>0</v>
      </c>
      <c r="J206" s="6" t="s">
        <v>169</v>
      </c>
      <c r="K206" s="6">
        <v>310.73395030312201</v>
      </c>
    </row>
    <row r="207" spans="1:11">
      <c r="A207">
        <v>30</v>
      </c>
      <c r="B207">
        <v>0</v>
      </c>
      <c r="C207">
        <f t="shared" si="22"/>
        <v>7.8259410817673738E-4</v>
      </c>
      <c r="D207">
        <f t="shared" si="23"/>
        <v>6.1245353815294289E-7</v>
      </c>
      <c r="E207">
        <f t="shared" si="24"/>
        <v>0</v>
      </c>
      <c r="G207" s="6" t="s">
        <v>185</v>
      </c>
      <c r="H207" s="6">
        <f>(100/16)*E223</f>
        <v>0.64753033571148755</v>
      </c>
    </row>
    <row r="208" spans="1:11">
      <c r="A208">
        <v>40</v>
      </c>
      <c r="B208">
        <v>0</v>
      </c>
      <c r="C208">
        <f t="shared" si="22"/>
        <v>1.1891718228504119E-3</v>
      </c>
      <c r="D208">
        <f t="shared" si="23"/>
        <v>1.4141296242613713E-6</v>
      </c>
      <c r="E208">
        <f t="shared" si="24"/>
        <v>0</v>
      </c>
    </row>
    <row r="209" spans="1:11">
      <c r="A209">
        <v>50</v>
      </c>
      <c r="B209">
        <v>0</v>
      </c>
      <c r="C209">
        <f t="shared" si="22"/>
        <v>1.8065951884678345E-3</v>
      </c>
      <c r="D209">
        <f t="shared" si="23"/>
        <v>3.2637861749951303E-6</v>
      </c>
      <c r="E209">
        <f t="shared" si="24"/>
        <v>0</v>
      </c>
    </row>
    <row r="210" spans="1:11">
      <c r="A210">
        <v>60</v>
      </c>
      <c r="B210">
        <v>0</v>
      </c>
      <c r="C210">
        <f t="shared" si="22"/>
        <v>2.7437069514047812E-3</v>
      </c>
      <c r="D210">
        <f t="shared" si="23"/>
        <v>7.527927835186918E-6</v>
      </c>
      <c r="E210">
        <f t="shared" si="24"/>
        <v>0</v>
      </c>
      <c r="J210" t="s">
        <v>12</v>
      </c>
      <c r="K210">
        <v>100</v>
      </c>
    </row>
    <row r="211" spans="1:11">
      <c r="A211">
        <v>70</v>
      </c>
      <c r="B211">
        <v>0</v>
      </c>
      <c r="C211">
        <f t="shared" si="22"/>
        <v>4.1648863841311137E-3</v>
      </c>
      <c r="D211">
        <f t="shared" si="23"/>
        <v>1.7346278592720741E-5</v>
      </c>
      <c r="E211">
        <f t="shared" si="24"/>
        <v>0</v>
      </c>
      <c r="J211" t="s">
        <v>105</v>
      </c>
      <c r="K211">
        <v>8</v>
      </c>
    </row>
    <row r="212" spans="1:11">
      <c r="A212">
        <v>80</v>
      </c>
      <c r="B212">
        <v>0</v>
      </c>
      <c r="C212">
        <f t="shared" si="22"/>
        <v>6.3175418995687479E-3</v>
      </c>
      <c r="D212">
        <f t="shared" si="23"/>
        <v>3.9911335652806701E-5</v>
      </c>
      <c r="E212">
        <f t="shared" si="24"/>
        <v>0</v>
      </c>
      <c r="J212" t="s">
        <v>8</v>
      </c>
      <c r="K212">
        <v>8</v>
      </c>
    </row>
    <row r="213" spans="1:11">
      <c r="A213">
        <v>115</v>
      </c>
      <c r="B213">
        <v>0.01</v>
      </c>
      <c r="C213">
        <f t="shared" si="22"/>
        <v>2.6797871791599114E-2</v>
      </c>
      <c r="D213">
        <f t="shared" si="23"/>
        <v>2.8216849672700112E-4</v>
      </c>
      <c r="E213">
        <f>(B213-C213)^2/B213</f>
        <v>2.8216849672700113E-2</v>
      </c>
      <c r="J213" t="s">
        <v>106</v>
      </c>
      <c r="K213">
        <v>18</v>
      </c>
    </row>
    <row r="214" spans="1:11">
      <c r="A214">
        <v>140</v>
      </c>
      <c r="B214">
        <v>0.08</v>
      </c>
      <c r="C214">
        <f t="shared" si="22"/>
        <v>7.2745815868911559E-2</v>
      </c>
      <c r="D214">
        <f t="shared" si="23"/>
        <v>5.2623187407735381E-5</v>
      </c>
      <c r="E214">
        <f t="shared" ref="E214:E222" si="25">(B214-C214)^2/B214</f>
        <v>6.5778984259669228E-4</v>
      </c>
      <c r="J214" t="s">
        <v>107</v>
      </c>
      <c r="K214">
        <v>2</v>
      </c>
    </row>
    <row r="215" spans="1:11">
      <c r="A215">
        <v>170</v>
      </c>
      <c r="B215">
        <v>0.3</v>
      </c>
      <c r="C215">
        <f t="shared" si="22"/>
        <v>0.21604908968095146</v>
      </c>
      <c r="D215">
        <f t="shared" si="23"/>
        <v>7.0477553433969282E-3</v>
      </c>
      <c r="E215">
        <f t="shared" si="25"/>
        <v>2.3492517811323096E-2</v>
      </c>
    </row>
    <row r="216" spans="1:11">
      <c r="A216">
        <v>195</v>
      </c>
      <c r="B216">
        <v>0.49</v>
      </c>
      <c r="C216">
        <f t="shared" si="22"/>
        <v>0.43983597503208405</v>
      </c>
      <c r="D216">
        <f t="shared" si="23"/>
        <v>2.5164294009816942E-3</v>
      </c>
      <c r="E216">
        <f t="shared" si="25"/>
        <v>5.1355702060850899E-3</v>
      </c>
    </row>
    <row r="217" spans="1:11">
      <c r="A217">
        <v>210</v>
      </c>
      <c r="B217">
        <v>0.6</v>
      </c>
      <c r="C217">
        <f t="shared" si="22"/>
        <v>0.59541096049467357</v>
      </c>
      <c r="D217">
        <f t="shared" si="23"/>
        <v>2.1059283581446451E-5</v>
      </c>
      <c r="E217">
        <f t="shared" si="25"/>
        <v>3.5098805969077422E-5</v>
      </c>
    </row>
    <row r="218" spans="1:11">
      <c r="A218">
        <v>230</v>
      </c>
      <c r="B218">
        <v>0.71</v>
      </c>
      <c r="C218">
        <f t="shared" si="22"/>
        <v>0.77276502517582146</v>
      </c>
      <c r="D218">
        <f t="shared" si="23"/>
        <v>3.9394483853215064E-3</v>
      </c>
      <c r="E218">
        <f t="shared" si="25"/>
        <v>5.5485188525655023E-3</v>
      </c>
    </row>
    <row r="219" spans="1:11">
      <c r="A219">
        <v>250</v>
      </c>
      <c r="B219">
        <v>0.8</v>
      </c>
      <c r="C219">
        <f t="shared" si="22"/>
        <v>0.88711457708198127</v>
      </c>
      <c r="D219">
        <f t="shared" si="23"/>
        <v>7.5889495401724487E-3</v>
      </c>
      <c r="E219">
        <f t="shared" si="25"/>
        <v>9.486186925215561E-3</v>
      </c>
    </row>
    <row r="220" spans="1:11">
      <c r="A220">
        <v>270</v>
      </c>
      <c r="B220">
        <v>0.85</v>
      </c>
      <c r="C220">
        <f t="shared" si="22"/>
        <v>0.94780742937990936</v>
      </c>
      <c r="D220">
        <f t="shared" si="23"/>
        <v>9.5662932419059606E-3</v>
      </c>
      <c r="E220">
        <f t="shared" si="25"/>
        <v>1.1254462637536424E-2</v>
      </c>
    </row>
    <row r="221" spans="1:11">
      <c r="A221">
        <v>285</v>
      </c>
      <c r="B221">
        <v>0.87</v>
      </c>
      <c r="C221">
        <f t="shared" si="22"/>
        <v>0.97145793431503258</v>
      </c>
      <c r="D221">
        <f t="shared" si="23"/>
        <v>1.0293712435473466E-2</v>
      </c>
      <c r="E221">
        <f t="shared" si="25"/>
        <v>1.1831853374107432E-2</v>
      </c>
    </row>
    <row r="222" spans="1:11">
      <c r="A222">
        <v>300</v>
      </c>
      <c r="B222">
        <v>0.9</v>
      </c>
      <c r="C222">
        <f t="shared" si="22"/>
        <v>0.9845659803181227</v>
      </c>
      <c r="D222">
        <f t="shared" si="23"/>
        <v>7.1514050271651126E-3</v>
      </c>
      <c r="E222">
        <f t="shared" si="25"/>
        <v>7.9460055857390136E-3</v>
      </c>
    </row>
    <row r="223" spans="1:11">
      <c r="C223" s="6" t="s">
        <v>183</v>
      </c>
      <c r="D223" s="6">
        <f>SUM(D205:D222)</f>
        <v>4.8530235118682798E-2</v>
      </c>
      <c r="E223">
        <f>SUM(E205:E222)</f>
        <v>0.10360485371383801</v>
      </c>
    </row>
    <row r="228" spans="1:11">
      <c r="B228" t="s">
        <v>130</v>
      </c>
    </row>
    <row r="229" spans="1:11">
      <c r="A229" t="s">
        <v>29</v>
      </c>
      <c r="B229" t="s">
        <v>43</v>
      </c>
      <c r="C229" t="s">
        <v>99</v>
      </c>
      <c r="D229" t="s">
        <v>120</v>
      </c>
      <c r="E229" t="s">
        <v>119</v>
      </c>
    </row>
    <row r="230" spans="1:11">
      <c r="A230">
        <v>0</v>
      </c>
      <c r="B230">
        <v>0</v>
      </c>
      <c r="C230">
        <f>(($K$210)*(EXP(($K$205)*(A230-$K$206))))/(1+EXP(($K$205)*(A230-$K$206))*($K$210))</f>
        <v>2.2290787419329878E-4</v>
      </c>
      <c r="D230">
        <f>(B230-C230)^2</f>
        <v>4.9687920377375514E-8</v>
      </c>
      <c r="E230">
        <f>(B230-C$46)^2</f>
        <v>0</v>
      </c>
      <c r="J230" s="6" t="s">
        <v>168</v>
      </c>
      <c r="K230" s="6">
        <v>4.1880519436780499E-2</v>
      </c>
    </row>
    <row r="231" spans="1:11">
      <c r="A231">
        <v>20</v>
      </c>
      <c r="B231">
        <v>0</v>
      </c>
      <c r="C231">
        <f t="shared" ref="C231:C247" si="26">(($K$210)*(EXP(($K$205)*(A231-$K$206))))/(1+EXP(($K$205)*(A231-$K$206))*($K$210))</f>
        <v>5.1495360082297467E-4</v>
      </c>
      <c r="D231">
        <f t="shared" ref="D231:D247" si="27">(B231-C231)^2</f>
        <v>2.6517721100054754E-7</v>
      </c>
      <c r="E231">
        <f t="shared" ref="E231:E237" si="28">(B231-C$46)^2</f>
        <v>0</v>
      </c>
      <c r="J231" s="6" t="s">
        <v>169</v>
      </c>
      <c r="K231" s="6">
        <v>310.73395030312201</v>
      </c>
    </row>
    <row r="232" spans="1:11">
      <c r="A232">
        <v>30</v>
      </c>
      <c r="B232">
        <v>0</v>
      </c>
      <c r="C232">
        <f t="shared" si="26"/>
        <v>7.8259410817673738E-4</v>
      </c>
      <c r="D232">
        <f t="shared" si="27"/>
        <v>6.1245353815294289E-7</v>
      </c>
      <c r="E232">
        <f t="shared" si="28"/>
        <v>0</v>
      </c>
      <c r="G232" s="6" t="s">
        <v>129</v>
      </c>
      <c r="H232" s="6">
        <f>(100/18)*F241</f>
        <v>0.59067832935813602</v>
      </c>
    </row>
    <row r="233" spans="1:11">
      <c r="A233">
        <v>40</v>
      </c>
      <c r="B233">
        <v>0</v>
      </c>
      <c r="C233">
        <f t="shared" si="26"/>
        <v>1.1891718228504119E-3</v>
      </c>
      <c r="D233">
        <f t="shared" si="27"/>
        <v>1.4141296242613713E-6</v>
      </c>
      <c r="E233">
        <f t="shared" si="28"/>
        <v>0</v>
      </c>
    </row>
    <row r="234" spans="1:11">
      <c r="A234">
        <v>50</v>
      </c>
      <c r="B234">
        <v>0</v>
      </c>
      <c r="C234">
        <f t="shared" si="26"/>
        <v>1.8065951884678345E-3</v>
      </c>
      <c r="D234">
        <f t="shared" si="27"/>
        <v>3.2637861749951303E-6</v>
      </c>
      <c r="E234">
        <f t="shared" si="28"/>
        <v>0</v>
      </c>
    </row>
    <row r="235" spans="1:11">
      <c r="A235">
        <v>60</v>
      </c>
      <c r="B235">
        <v>0</v>
      </c>
      <c r="C235">
        <f t="shared" si="26"/>
        <v>2.7437069514047812E-3</v>
      </c>
      <c r="D235">
        <f t="shared" si="27"/>
        <v>7.527927835186918E-6</v>
      </c>
      <c r="E235">
        <f t="shared" si="28"/>
        <v>0</v>
      </c>
      <c r="J235" t="s">
        <v>12</v>
      </c>
      <c r="K235">
        <v>100</v>
      </c>
    </row>
    <row r="236" spans="1:11">
      <c r="A236">
        <v>70</v>
      </c>
      <c r="B236">
        <v>0</v>
      </c>
      <c r="C236">
        <f t="shared" si="26"/>
        <v>4.1648863841311137E-3</v>
      </c>
      <c r="D236">
        <f t="shared" si="27"/>
        <v>1.7346278592720741E-5</v>
      </c>
      <c r="E236">
        <f t="shared" si="28"/>
        <v>0</v>
      </c>
      <c r="J236" t="s">
        <v>105</v>
      </c>
      <c r="K236">
        <v>8</v>
      </c>
    </row>
    <row r="237" spans="1:11">
      <c r="A237">
        <v>80</v>
      </c>
      <c r="B237">
        <v>0</v>
      </c>
      <c r="C237">
        <f t="shared" si="26"/>
        <v>6.3175418995687479E-3</v>
      </c>
      <c r="D237">
        <f t="shared" si="27"/>
        <v>3.9911335652806701E-5</v>
      </c>
      <c r="E237">
        <f t="shared" si="28"/>
        <v>0</v>
      </c>
      <c r="J237" t="s">
        <v>8</v>
      </c>
      <c r="K237">
        <v>8</v>
      </c>
    </row>
    <row r="238" spans="1:11">
      <c r="A238">
        <v>115</v>
      </c>
      <c r="B238">
        <v>0.01</v>
      </c>
      <c r="C238">
        <f t="shared" si="26"/>
        <v>2.6797871791599114E-2</v>
      </c>
      <c r="D238">
        <f t="shared" si="27"/>
        <v>2.8216849672700112E-4</v>
      </c>
      <c r="E238">
        <f t="shared" ref="E238:E247" si="29">ABS(B238-C238)</f>
        <v>1.6797871791599112E-2</v>
      </c>
      <c r="J238" t="s">
        <v>106</v>
      </c>
      <c r="K238">
        <v>18</v>
      </c>
    </row>
    <row r="239" spans="1:11">
      <c r="A239">
        <v>140</v>
      </c>
      <c r="B239">
        <v>0.08</v>
      </c>
      <c r="C239">
        <f t="shared" si="26"/>
        <v>7.2745815868911559E-2</v>
      </c>
      <c r="D239">
        <f t="shared" si="27"/>
        <v>5.2623187407735381E-5</v>
      </c>
      <c r="E239">
        <f t="shared" si="29"/>
        <v>7.2541841310884425E-3</v>
      </c>
      <c r="J239" t="s">
        <v>107</v>
      </c>
      <c r="K239">
        <v>2</v>
      </c>
    </row>
    <row r="240" spans="1:11">
      <c r="A240">
        <v>170</v>
      </c>
      <c r="B240">
        <v>0.3</v>
      </c>
      <c r="C240">
        <f t="shared" si="26"/>
        <v>0.21604908968095146</v>
      </c>
      <c r="D240">
        <f t="shared" si="27"/>
        <v>7.0477553433969282E-3</v>
      </c>
      <c r="E240">
        <f t="shared" si="29"/>
        <v>8.3950910319048527E-2</v>
      </c>
    </row>
    <row r="241" spans="1:6">
      <c r="A241">
        <v>195</v>
      </c>
      <c r="B241">
        <v>0.49</v>
      </c>
      <c r="C241">
        <f t="shared" si="26"/>
        <v>0.43983597503208405</v>
      </c>
      <c r="D241">
        <f t="shared" si="27"/>
        <v>2.5164294009816942E-3</v>
      </c>
      <c r="E241">
        <f t="shared" si="29"/>
        <v>5.0164024967915943E-2</v>
      </c>
      <c r="F241">
        <f>E248/B248</f>
        <v>0.1063220992844645</v>
      </c>
    </row>
    <row r="242" spans="1:6">
      <c r="A242">
        <v>210</v>
      </c>
      <c r="B242">
        <v>0.6</v>
      </c>
      <c r="C242">
        <f t="shared" si="26"/>
        <v>0.59541096049467357</v>
      </c>
      <c r="D242">
        <f t="shared" si="27"/>
        <v>2.1059283581446451E-5</v>
      </c>
      <c r="E242">
        <f t="shared" si="29"/>
        <v>4.5890395053264088E-3</v>
      </c>
    </row>
    <row r="243" spans="1:6">
      <c r="A243">
        <v>230</v>
      </c>
      <c r="B243">
        <v>0.71</v>
      </c>
      <c r="C243">
        <f t="shared" si="26"/>
        <v>0.77276502517582146</v>
      </c>
      <c r="D243">
        <f t="shared" si="27"/>
        <v>3.9394483853215064E-3</v>
      </c>
      <c r="E243">
        <f t="shared" si="29"/>
        <v>6.2765025175821498E-2</v>
      </c>
    </row>
    <row r="244" spans="1:6">
      <c r="A244">
        <v>250</v>
      </c>
      <c r="B244">
        <v>0.8</v>
      </c>
      <c r="C244">
        <f t="shared" si="26"/>
        <v>0.88711457708198127</v>
      </c>
      <c r="D244">
        <f t="shared" si="27"/>
        <v>7.5889495401724487E-3</v>
      </c>
      <c r="E244">
        <f t="shared" si="29"/>
        <v>8.7114577081981226E-2</v>
      </c>
    </row>
    <row r="245" spans="1:6">
      <c r="A245">
        <v>270</v>
      </c>
      <c r="B245">
        <v>0.85</v>
      </c>
      <c r="C245">
        <f t="shared" si="26"/>
        <v>0.94780742937990936</v>
      </c>
      <c r="D245">
        <f t="shared" si="27"/>
        <v>9.5662932419059606E-3</v>
      </c>
      <c r="E245">
        <f t="shared" si="29"/>
        <v>9.7807429379909383E-2</v>
      </c>
    </row>
    <row r="246" spans="1:6">
      <c r="A246">
        <v>285</v>
      </c>
      <c r="B246">
        <v>0.87</v>
      </c>
      <c r="C246">
        <f t="shared" si="26"/>
        <v>0.97145793431503258</v>
      </c>
      <c r="D246">
        <f t="shared" si="27"/>
        <v>1.0293712435473466E-2</v>
      </c>
      <c r="E246">
        <f t="shared" si="29"/>
        <v>0.10145793431503258</v>
      </c>
    </row>
    <row r="247" spans="1:6">
      <c r="A247">
        <v>300</v>
      </c>
      <c r="B247">
        <v>0.9</v>
      </c>
      <c r="C247">
        <f t="shared" si="26"/>
        <v>0.9845659803181227</v>
      </c>
      <c r="D247">
        <f t="shared" si="27"/>
        <v>7.1514050271651126E-3</v>
      </c>
      <c r="E247">
        <f t="shared" si="29"/>
        <v>8.456598031812268E-2</v>
      </c>
    </row>
    <row r="248" spans="1:6">
      <c r="B248">
        <f>SUM(B230:B247)</f>
        <v>5.61</v>
      </c>
      <c r="E248">
        <f>SUM(E230:E247)</f>
        <v>0.59646697698584583</v>
      </c>
    </row>
    <row r="256" spans="1:6" ht="16.8">
      <c r="A256" s="1" t="s">
        <v>184</v>
      </c>
    </row>
    <row r="258" spans="1:11">
      <c r="A258" t="s">
        <v>29</v>
      </c>
      <c r="B258" t="s">
        <v>43</v>
      </c>
      <c r="C258" t="s">
        <v>99</v>
      </c>
      <c r="D258" t="s">
        <v>120</v>
      </c>
      <c r="E258" t="s">
        <v>137</v>
      </c>
    </row>
    <row r="259" spans="1:11">
      <c r="A259">
        <v>0</v>
      </c>
      <c r="B259">
        <v>0</v>
      </c>
      <c r="C259">
        <f t="shared" ref="C259:C280" si="30">(($K$264)*(EXP(($K$259)*(A259-$K$260))))/(1+EXP(($K$259)*(A259-$K$260))*($K$264))</f>
        <v>1.00013121392403E-5</v>
      </c>
      <c r="D259">
        <f>(B259-C259)^2</f>
        <v>1.0002624450651539E-10</v>
      </c>
      <c r="E259">
        <f>ABS(B259-C259)</f>
        <v>1.00013121392403E-5</v>
      </c>
      <c r="J259" s="6" t="s">
        <v>168</v>
      </c>
      <c r="K259" s="6">
        <v>3.6385218249050097E-2</v>
      </c>
    </row>
    <row r="260" spans="1:11">
      <c r="A260">
        <v>20</v>
      </c>
      <c r="B260">
        <v>0</v>
      </c>
      <c r="C260">
        <f t="shared" si="30"/>
        <v>2.0705719339853602E-5</v>
      </c>
      <c r="D260">
        <f t="shared" ref="D260:D280" si="31">(B260-C260)^2</f>
        <v>4.2872681338078749E-10</v>
      </c>
      <c r="E260">
        <f t="shared" ref="E260:E280" si="32">ABS(B260-C260)</f>
        <v>2.0705719339853602E-5</v>
      </c>
      <c r="J260" s="6" t="s">
        <v>169</v>
      </c>
      <c r="K260" s="6">
        <v>442.98083727175998</v>
      </c>
    </row>
    <row r="261" spans="1:11">
      <c r="A261">
        <v>30</v>
      </c>
      <c r="B261">
        <v>0</v>
      </c>
      <c r="C261">
        <f t="shared" si="30"/>
        <v>2.9792391863117115E-5</v>
      </c>
      <c r="D261">
        <f t="shared" si="31"/>
        <v>8.8758661292552692E-10</v>
      </c>
      <c r="E261">
        <f t="shared" si="32"/>
        <v>2.9792391863117115E-5</v>
      </c>
    </row>
    <row r="262" spans="1:11">
      <c r="A262">
        <v>40</v>
      </c>
      <c r="B262">
        <v>0</v>
      </c>
      <c r="C262">
        <f t="shared" si="30"/>
        <v>4.2866565459219303E-5</v>
      </c>
      <c r="D262">
        <f t="shared" si="31"/>
        <v>1.8375424342695334E-9</v>
      </c>
      <c r="E262">
        <f t="shared" si="32"/>
        <v>4.2866565459219303E-5</v>
      </c>
      <c r="G262" t="s">
        <v>132</v>
      </c>
      <c r="H262">
        <f>(E281)</f>
        <v>7.9664657424811769E-2</v>
      </c>
    </row>
    <row r="263" spans="1:11">
      <c r="A263">
        <v>50</v>
      </c>
      <c r="B263">
        <v>0</v>
      </c>
      <c r="C263">
        <f t="shared" si="30"/>
        <v>6.1677890769850079E-5</v>
      </c>
      <c r="D263">
        <f t="shared" si="31"/>
        <v>3.8041622098175578E-9</v>
      </c>
      <c r="E263">
        <f t="shared" si="32"/>
        <v>6.1677890769850079E-5</v>
      </c>
    </row>
    <row r="264" spans="1:11">
      <c r="A264">
        <v>60</v>
      </c>
      <c r="B264">
        <v>0</v>
      </c>
      <c r="C264">
        <f t="shared" si="30"/>
        <v>8.8743540901873463E-5</v>
      </c>
      <c r="D264">
        <f t="shared" si="31"/>
        <v>7.8754160518024882E-9</v>
      </c>
      <c r="E264">
        <f t="shared" si="32"/>
        <v>8.8743540901873463E-5</v>
      </c>
      <c r="J264" t="s">
        <v>12</v>
      </c>
      <c r="K264">
        <v>100</v>
      </c>
    </row>
    <row r="265" spans="1:11">
      <c r="A265">
        <v>80</v>
      </c>
      <c r="B265">
        <v>0</v>
      </c>
      <c r="C265">
        <f t="shared" si="30"/>
        <v>1.8371029487387736E-4</v>
      </c>
      <c r="D265">
        <f t="shared" si="31"/>
        <v>3.3749472442646969E-8</v>
      </c>
      <c r="E265">
        <f t="shared" si="32"/>
        <v>1.8371029487387736E-4</v>
      </c>
      <c r="J265" t="s">
        <v>105</v>
      </c>
      <c r="K265">
        <v>12</v>
      </c>
    </row>
    <row r="266" spans="1:11">
      <c r="A266">
        <v>100</v>
      </c>
      <c r="B266">
        <v>0</v>
      </c>
      <c r="C266">
        <f t="shared" si="30"/>
        <v>3.8026477541172859E-4</v>
      </c>
      <c r="D266">
        <f t="shared" si="31"/>
        <v>1.446012994189324E-7</v>
      </c>
      <c r="E266">
        <f t="shared" si="32"/>
        <v>3.8026477541172859E-4</v>
      </c>
      <c r="J266" t="s">
        <v>8</v>
      </c>
      <c r="K266">
        <v>8</v>
      </c>
    </row>
    <row r="267" spans="1:11">
      <c r="A267">
        <v>140</v>
      </c>
      <c r="B267">
        <v>0</v>
      </c>
      <c r="C267">
        <f t="shared" si="30"/>
        <v>1.6278699468961679E-3</v>
      </c>
      <c r="D267">
        <f t="shared" si="31"/>
        <v>2.6499605640077327E-6</v>
      </c>
      <c r="E267">
        <f t="shared" si="32"/>
        <v>1.6278699468961679E-3</v>
      </c>
      <c r="J267" t="s">
        <v>106</v>
      </c>
      <c r="K267">
        <v>23</v>
      </c>
    </row>
    <row r="268" spans="1:11">
      <c r="A268">
        <v>180</v>
      </c>
      <c r="B268">
        <v>0</v>
      </c>
      <c r="C268">
        <f t="shared" si="30"/>
        <v>6.9403055714017262E-3</v>
      </c>
      <c r="D268">
        <f t="shared" si="31"/>
        <v>4.8167841424429841E-5</v>
      </c>
      <c r="E268">
        <f t="shared" si="32"/>
        <v>6.9403055714017262E-3</v>
      </c>
      <c r="J268" t="s">
        <v>107</v>
      </c>
      <c r="K268">
        <v>2</v>
      </c>
    </row>
    <row r="269" spans="1:11">
      <c r="A269">
        <v>230</v>
      </c>
      <c r="B269">
        <v>0.02</v>
      </c>
      <c r="C269">
        <f t="shared" si="30"/>
        <v>4.1321055017597863E-2</v>
      </c>
      <c r="D269">
        <f t="shared" si="31"/>
        <v>4.5458738706343502E-4</v>
      </c>
      <c r="E269">
        <f t="shared" si="32"/>
        <v>2.1321055017597863E-2</v>
      </c>
    </row>
    <row r="270" spans="1:11">
      <c r="A270">
        <v>255</v>
      </c>
      <c r="B270">
        <v>0.08</v>
      </c>
      <c r="C270">
        <f t="shared" si="30"/>
        <v>9.6690192616362886E-2</v>
      </c>
      <c r="D270">
        <f t="shared" si="31"/>
        <v>2.7856252957129415E-4</v>
      </c>
      <c r="E270">
        <f t="shared" si="32"/>
        <v>1.6690192616362884E-2</v>
      </c>
    </row>
    <row r="271" spans="1:11">
      <c r="A271">
        <v>280</v>
      </c>
      <c r="B271">
        <v>0.21</v>
      </c>
      <c r="C271">
        <f t="shared" si="30"/>
        <v>0.21000037596046878</v>
      </c>
      <c r="D271">
        <f t="shared" si="31"/>
        <v>1.4134627408884278E-13</v>
      </c>
      <c r="E271">
        <f t="shared" si="32"/>
        <v>3.7596046878474176E-7</v>
      </c>
    </row>
    <row r="272" spans="1:11">
      <c r="A272">
        <v>293</v>
      </c>
      <c r="B272">
        <v>0.3</v>
      </c>
      <c r="C272">
        <f t="shared" si="30"/>
        <v>0.29903123167336787</v>
      </c>
      <c r="D272">
        <f t="shared" si="31"/>
        <v>9.3851207068559593E-7</v>
      </c>
      <c r="E272">
        <f t="shared" si="32"/>
        <v>9.6876832663211898E-4</v>
      </c>
    </row>
    <row r="273" spans="1:5">
      <c r="A273">
        <v>300</v>
      </c>
      <c r="B273">
        <v>0.35</v>
      </c>
      <c r="C273">
        <f t="shared" si="30"/>
        <v>0.35498024972071013</v>
      </c>
      <c r="D273">
        <f t="shared" si="31"/>
        <v>2.4802887280633532E-5</v>
      </c>
      <c r="E273">
        <f t="shared" si="32"/>
        <v>4.9802497207101504E-3</v>
      </c>
    </row>
    <row r="274" spans="1:5">
      <c r="A274">
        <v>315</v>
      </c>
      <c r="B274">
        <v>0.49</v>
      </c>
      <c r="C274">
        <f t="shared" si="30"/>
        <v>0.48714270758274181</v>
      </c>
      <c r="D274">
        <f t="shared" si="31"/>
        <v>8.1641199577211145E-6</v>
      </c>
      <c r="E274">
        <f t="shared" si="32"/>
        <v>2.8572924172581837E-3</v>
      </c>
    </row>
    <row r="275" spans="1:5">
      <c r="A275">
        <v>337</v>
      </c>
      <c r="B275">
        <v>0.68</v>
      </c>
      <c r="C275">
        <f t="shared" si="30"/>
        <v>0.67896823975753196</v>
      </c>
      <c r="D275">
        <f t="shared" si="31"/>
        <v>1.0645291979378197E-6</v>
      </c>
      <c r="E275">
        <f t="shared" si="32"/>
        <v>1.0317602424680938E-3</v>
      </c>
    </row>
    <row r="276" spans="1:5">
      <c r="A276">
        <v>354</v>
      </c>
      <c r="B276">
        <v>0.8</v>
      </c>
      <c r="C276">
        <f t="shared" si="30"/>
        <v>0.7969893704674551</v>
      </c>
      <c r="D276">
        <f t="shared" si="31"/>
        <v>9.06389018223176E-6</v>
      </c>
      <c r="E276">
        <f t="shared" si="32"/>
        <v>3.0106295325449395E-3</v>
      </c>
    </row>
    <row r="277" spans="1:5">
      <c r="A277">
        <v>362</v>
      </c>
      <c r="B277">
        <v>0.84</v>
      </c>
      <c r="C277">
        <f t="shared" si="30"/>
        <v>0.84005867990441252</v>
      </c>
      <c r="D277">
        <f t="shared" si="31"/>
        <v>3.4433311818660961E-9</v>
      </c>
      <c r="E277">
        <f t="shared" si="32"/>
        <v>5.8679904412550776E-5</v>
      </c>
    </row>
    <row r="278" spans="1:5">
      <c r="A278">
        <v>370</v>
      </c>
      <c r="B278">
        <v>0.87</v>
      </c>
      <c r="C278">
        <f t="shared" si="30"/>
        <v>0.87541899691752512</v>
      </c>
      <c r="D278">
        <f t="shared" si="31"/>
        <v>2.936552759214676E-5</v>
      </c>
      <c r="E278">
        <f t="shared" si="32"/>
        <v>5.4189969175251207E-3</v>
      </c>
    </row>
    <row r="279" spans="1:5">
      <c r="A279">
        <v>375</v>
      </c>
      <c r="B279">
        <v>0.89</v>
      </c>
      <c r="C279">
        <f t="shared" si="30"/>
        <v>0.8939436879109649</v>
      </c>
      <c r="D279">
        <f t="shared" si="31"/>
        <v>1.5552674339090602E-5</v>
      </c>
      <c r="E279">
        <f t="shared" si="32"/>
        <v>3.9436879109648881E-3</v>
      </c>
    </row>
    <row r="280" spans="1:5">
      <c r="A280">
        <v>380</v>
      </c>
      <c r="B280">
        <v>0.9</v>
      </c>
      <c r="C280">
        <f t="shared" si="30"/>
        <v>0.90999703084880956</v>
      </c>
      <c r="D280">
        <f t="shared" si="31"/>
        <v>9.9940625792049604E-5</v>
      </c>
      <c r="E280">
        <f t="shared" si="32"/>
        <v>9.9970308488095405E-3</v>
      </c>
    </row>
    <row r="281" spans="1:5">
      <c r="C281" s="6" t="s">
        <v>186</v>
      </c>
      <c r="D281" s="6">
        <f>SUM(D259:D280)</f>
        <v>9.7305721274041973E-4</v>
      </c>
      <c r="E281">
        <f>SUM(E259:E280)</f>
        <v>7.9664657424811769E-2</v>
      </c>
    </row>
    <row r="286" spans="1:5" ht="16.8">
      <c r="A286" s="10" t="s">
        <v>145</v>
      </c>
    </row>
    <row r="288" spans="1:5">
      <c r="A288" t="s">
        <v>29</v>
      </c>
      <c r="B288" t="s">
        <v>43</v>
      </c>
      <c r="C288" t="s">
        <v>99</v>
      </c>
      <c r="D288" t="s">
        <v>120</v>
      </c>
      <c r="E288" t="s">
        <v>119</v>
      </c>
    </row>
    <row r="289" spans="1:11">
      <c r="A289">
        <v>0</v>
      </c>
      <c r="B289">
        <v>0</v>
      </c>
      <c r="C289">
        <f>(($K$294)*(EXP(($K$289)*(A289-$K$290))))/(1+EXP(($K$289)*(A289-$K$290))*($K$294))</f>
        <v>7.384035673720603E-7</v>
      </c>
      <c r="D289">
        <f>(B289-C289)^2</f>
        <v>5.4523982830778481E-13</v>
      </c>
      <c r="E289">
        <v>0</v>
      </c>
      <c r="J289" s="6" t="s">
        <v>168</v>
      </c>
      <c r="K289" s="6">
        <v>4.5055725247958499E-2</v>
      </c>
    </row>
    <row r="290" spans="1:11">
      <c r="A290">
        <v>20</v>
      </c>
      <c r="B290">
        <v>0</v>
      </c>
      <c r="C290">
        <f t="shared" ref="C290:C310" si="33">(($K$294)*(EXP(($K$289)*(A290-$K$290))))/(1+EXP(($K$289)*(A290-$K$290))*($K$294))</f>
        <v>1.8182030179717457E-6</v>
      </c>
      <c r="D290">
        <f t="shared" ref="D290:D310" si="34">(B290-C290)^2</f>
        <v>3.3058622145615642E-12</v>
      </c>
      <c r="E290">
        <v>0</v>
      </c>
      <c r="J290" s="6" t="s">
        <v>169</v>
      </c>
      <c r="K290" s="6">
        <v>415.57304131916402</v>
      </c>
    </row>
    <row r="291" spans="1:11">
      <c r="A291">
        <v>30</v>
      </c>
      <c r="B291">
        <v>0</v>
      </c>
      <c r="C291">
        <f t="shared" si="33"/>
        <v>2.8530964499328221E-6</v>
      </c>
      <c r="D291">
        <f t="shared" si="34"/>
        <v>8.1401593526192726E-12</v>
      </c>
      <c r="E291">
        <v>0</v>
      </c>
      <c r="G291" s="6" t="s">
        <v>121</v>
      </c>
      <c r="H291" s="6">
        <f>((100)*(1/21)^(0.5)*(F302)^(0.5))</f>
        <v>0.50523977110092966</v>
      </c>
    </row>
    <row r="292" spans="1:11">
      <c r="A292">
        <v>40</v>
      </c>
      <c r="B292">
        <v>0</v>
      </c>
      <c r="C292">
        <f t="shared" si="33"/>
        <v>4.4770328050435112E-6</v>
      </c>
      <c r="D292">
        <f t="shared" si="34"/>
        <v>2.004382273743577E-11</v>
      </c>
      <c r="E292">
        <v>0</v>
      </c>
    </row>
    <row r="293" spans="1:11">
      <c r="A293">
        <v>50</v>
      </c>
      <c r="B293">
        <v>0</v>
      </c>
      <c r="C293">
        <f t="shared" si="33"/>
        <v>7.0252809753415944E-6</v>
      </c>
      <c r="D293">
        <f t="shared" si="34"/>
        <v>4.9354572782496547E-11</v>
      </c>
      <c r="E293">
        <v>0</v>
      </c>
    </row>
    <row r="294" spans="1:11">
      <c r="A294">
        <v>60</v>
      </c>
      <c r="B294">
        <v>0</v>
      </c>
      <c r="C294">
        <f t="shared" si="33"/>
        <v>1.1023931104977058E-5</v>
      </c>
      <c r="D294">
        <f t="shared" si="34"/>
        <v>1.2152705700728071E-10</v>
      </c>
      <c r="E294">
        <v>0</v>
      </c>
      <c r="J294" t="s">
        <v>12</v>
      </c>
      <c r="K294">
        <v>100</v>
      </c>
    </row>
    <row r="295" spans="1:11">
      <c r="A295">
        <v>80</v>
      </c>
      <c r="B295">
        <v>0</v>
      </c>
      <c r="C295">
        <f t="shared" si="33"/>
        <v>2.7144293740662351E-5</v>
      </c>
      <c r="D295">
        <f t="shared" si="34"/>
        <v>7.3681268267936126E-10</v>
      </c>
      <c r="E295">
        <v>0</v>
      </c>
      <c r="J295" t="s">
        <v>105</v>
      </c>
      <c r="K295">
        <v>12</v>
      </c>
    </row>
    <row r="296" spans="1:11">
      <c r="A296">
        <v>100</v>
      </c>
      <c r="B296">
        <v>0</v>
      </c>
      <c r="C296">
        <f t="shared" si="33"/>
        <v>6.6835986824026567E-5</v>
      </c>
      <c r="D296">
        <f t="shared" si="34"/>
        <v>4.4670491347414529E-9</v>
      </c>
      <c r="E296">
        <v>0</v>
      </c>
      <c r="J296" t="s">
        <v>8</v>
      </c>
      <c r="K296">
        <v>8</v>
      </c>
    </row>
    <row r="297" spans="1:11">
      <c r="A297">
        <v>140</v>
      </c>
      <c r="B297">
        <v>0</v>
      </c>
      <c r="C297">
        <f t="shared" si="33"/>
        <v>4.0509934248505791E-4</v>
      </c>
      <c r="D297">
        <f t="shared" si="34"/>
        <v>1.6410547728182624E-7</v>
      </c>
      <c r="E297">
        <v>0</v>
      </c>
      <c r="J297" t="s">
        <v>106</v>
      </c>
      <c r="K297">
        <v>23</v>
      </c>
    </row>
    <row r="298" spans="1:11">
      <c r="A298">
        <v>180</v>
      </c>
      <c r="B298">
        <v>0</v>
      </c>
      <c r="C298">
        <f t="shared" si="33"/>
        <v>2.4511494579074183E-3</v>
      </c>
      <c r="D298">
        <f t="shared" si="34"/>
        <v>6.0081336649998303E-6</v>
      </c>
      <c r="E298">
        <v>0</v>
      </c>
      <c r="J298" t="s">
        <v>107</v>
      </c>
      <c r="K298">
        <v>2</v>
      </c>
    </row>
    <row r="299" spans="1:11">
      <c r="A299">
        <v>230</v>
      </c>
      <c r="B299">
        <v>0.02</v>
      </c>
      <c r="C299">
        <f t="shared" si="33"/>
        <v>2.2844000755479779E-2</v>
      </c>
      <c r="D299">
        <f t="shared" si="34"/>
        <v>8.0883402971695524E-6</v>
      </c>
      <c r="E299">
        <f t="shared" ref="E299:E310" si="35">((B299-C299)/B299)^2</f>
        <v>2.0220850742923877E-2</v>
      </c>
    </row>
    <row r="300" spans="1:11">
      <c r="A300">
        <v>255</v>
      </c>
      <c r="B300">
        <v>0.08</v>
      </c>
      <c r="C300">
        <f t="shared" si="33"/>
        <v>6.7259757765567196E-2</v>
      </c>
      <c r="D300">
        <f t="shared" si="34"/>
        <v>1.6231377219202541E-4</v>
      </c>
      <c r="E300">
        <f t="shared" si="35"/>
        <v>2.536152690500397E-2</v>
      </c>
    </row>
    <row r="301" spans="1:11">
      <c r="A301">
        <v>280</v>
      </c>
      <c r="B301">
        <v>0.21</v>
      </c>
      <c r="C301">
        <f t="shared" si="33"/>
        <v>0.18195297997694906</v>
      </c>
      <c r="D301">
        <f t="shared" si="34"/>
        <v>7.8663533217341968E-4</v>
      </c>
      <c r="E301">
        <f t="shared" si="35"/>
        <v>1.7837535876948293E-2</v>
      </c>
    </row>
    <row r="302" spans="1:11">
      <c r="A302">
        <v>293</v>
      </c>
      <c r="B302">
        <v>0.3</v>
      </c>
      <c r="C302">
        <f t="shared" si="33"/>
        <v>0.28547835346338046</v>
      </c>
      <c r="D302">
        <f t="shared" si="34"/>
        <v>2.1087821813451388E-4</v>
      </c>
      <c r="E302">
        <f t="shared" si="35"/>
        <v>2.3430913126057103E-3</v>
      </c>
      <c r="F302">
        <f>D311/B311^2</f>
        <v>5.3606117523445152E-4</v>
      </c>
    </row>
    <row r="303" spans="1:11">
      <c r="A303">
        <v>300</v>
      </c>
      <c r="B303">
        <v>0.35</v>
      </c>
      <c r="C303">
        <f t="shared" si="33"/>
        <v>0.35387322348537881</v>
      </c>
      <c r="D303">
        <f t="shared" si="34"/>
        <v>1.5001860167690128E-5</v>
      </c>
      <c r="E303">
        <f t="shared" si="35"/>
        <v>1.2246416463420514E-4</v>
      </c>
    </row>
    <row r="304" spans="1:11">
      <c r="A304">
        <v>315</v>
      </c>
      <c r="B304">
        <v>0.49</v>
      </c>
      <c r="C304">
        <f t="shared" si="33"/>
        <v>0.51843635508132668</v>
      </c>
      <c r="D304">
        <f t="shared" si="34"/>
        <v>8.0862629031129432E-4</v>
      </c>
      <c r="E304">
        <f t="shared" si="35"/>
        <v>3.3678729292432085E-3</v>
      </c>
    </row>
    <row r="305" spans="1:11">
      <c r="A305">
        <v>337</v>
      </c>
      <c r="B305">
        <v>0.68</v>
      </c>
      <c r="C305">
        <f t="shared" si="33"/>
        <v>0.74364581146805386</v>
      </c>
      <c r="D305">
        <f t="shared" si="34"/>
        <v>4.0507893174270507E-3</v>
      </c>
      <c r="E305">
        <f t="shared" si="35"/>
        <v>8.7603575203872176E-3</v>
      </c>
    </row>
    <row r="306" spans="1:11">
      <c r="A306">
        <v>354</v>
      </c>
      <c r="B306">
        <v>0.8</v>
      </c>
      <c r="C306">
        <f t="shared" si="33"/>
        <v>0.86187511635064651</v>
      </c>
      <c r="D306">
        <f t="shared" si="34"/>
        <v>3.8285300234060372E-3</v>
      </c>
      <c r="E306">
        <f t="shared" si="35"/>
        <v>5.9820781615719338E-3</v>
      </c>
    </row>
    <row r="307" spans="1:11">
      <c r="A307">
        <v>362</v>
      </c>
      <c r="B307">
        <v>0.84</v>
      </c>
      <c r="C307">
        <f t="shared" si="33"/>
        <v>0.89947438049766748</v>
      </c>
      <c r="D307">
        <f t="shared" si="34"/>
        <v>3.5372019355813336E-3</v>
      </c>
      <c r="E307">
        <f t="shared" si="35"/>
        <v>5.0130412919236591E-3</v>
      </c>
    </row>
    <row r="308" spans="1:11">
      <c r="A308">
        <v>370</v>
      </c>
      <c r="B308">
        <v>0.87</v>
      </c>
      <c r="C308">
        <f t="shared" si="33"/>
        <v>0.92769728230778037</v>
      </c>
      <c r="D308">
        <f t="shared" si="34"/>
        <v>3.3289763857037059E-3</v>
      </c>
      <c r="E308">
        <f t="shared" si="35"/>
        <v>4.3981719985516001E-3</v>
      </c>
    </row>
    <row r="309" spans="1:11">
      <c r="A309">
        <v>375</v>
      </c>
      <c r="B309">
        <v>0.89</v>
      </c>
      <c r="C309">
        <f t="shared" si="33"/>
        <v>0.94142696769466194</v>
      </c>
      <c r="D309">
        <f t="shared" si="34"/>
        <v>2.6447330062678016E-3</v>
      </c>
      <c r="E309">
        <f t="shared" si="35"/>
        <v>3.3388877746090163E-3</v>
      </c>
    </row>
    <row r="310" spans="1:11">
      <c r="A310">
        <v>380</v>
      </c>
      <c r="B310">
        <v>0.9</v>
      </c>
      <c r="C310">
        <f t="shared" si="33"/>
        <v>0.95268247864677613</v>
      </c>
      <c r="D310">
        <f t="shared" si="34"/>
        <v>2.7754435563680209E-3</v>
      </c>
      <c r="E310">
        <f t="shared" si="35"/>
        <v>3.4264735263802725E-3</v>
      </c>
    </row>
    <row r="311" spans="1:11">
      <c r="B311">
        <f>SUM(B289:B310)</f>
        <v>6.43</v>
      </c>
      <c r="C311" s="6" t="s">
        <v>187</v>
      </c>
      <c r="D311" s="6">
        <f>SUM(D289:D310)</f>
        <v>2.2163395683950874E-2</v>
      </c>
      <c r="E311">
        <f>SUM(E289:E310)</f>
        <v>0.10017235220478296</v>
      </c>
    </row>
    <row r="317" spans="1:11" ht="16.8">
      <c r="A317" s="1" t="s">
        <v>125</v>
      </c>
    </row>
    <row r="318" spans="1:11">
      <c r="A318" t="s">
        <v>29</v>
      </c>
      <c r="B318" t="s">
        <v>43</v>
      </c>
      <c r="C318" t="s">
        <v>99</v>
      </c>
      <c r="D318" t="s">
        <v>120</v>
      </c>
      <c r="E318" t="s">
        <v>119</v>
      </c>
    </row>
    <row r="319" spans="1:11">
      <c r="A319">
        <v>0</v>
      </c>
      <c r="B319">
        <v>0</v>
      </c>
      <c r="C319">
        <f>(($K$324)*(EXP(($K$319)*(A319-$K$320))))/(1+EXP(($K$319)*(A319-$K$320))*($K$324))</f>
        <v>3.6171269145498545E-6</v>
      </c>
      <c r="D319">
        <f>(B319-C319)^2</f>
        <v>1.3083607115960951E-11</v>
      </c>
      <c r="E319">
        <v>0</v>
      </c>
      <c r="J319" s="6" t="s">
        <v>168</v>
      </c>
      <c r="K319" s="6">
        <v>3.9585786194701399E-2</v>
      </c>
    </row>
    <row r="320" spans="1:11">
      <c r="A320">
        <v>20</v>
      </c>
      <c r="B320">
        <v>0</v>
      </c>
      <c r="C320">
        <f t="shared" ref="C320:C340" si="36">(($K$324)*(EXP(($K$319)*(A320-$K$320))))/(1+EXP(($K$319)*(A320-$K$320))*($K$324))</f>
        <v>7.9836156520810489E-6</v>
      </c>
      <c r="D320">
        <f t="shared" ref="D320:D340" si="37">(B320-C320)^2</f>
        <v>6.3738118880153508E-11</v>
      </c>
      <c r="E320">
        <v>0</v>
      </c>
      <c r="J320" s="6" t="s">
        <v>169</v>
      </c>
      <c r="K320" s="6">
        <v>432.857314032869</v>
      </c>
    </row>
    <row r="321" spans="1:11">
      <c r="A321">
        <v>30</v>
      </c>
      <c r="B321">
        <v>0</v>
      </c>
      <c r="C321">
        <f t="shared" si="36"/>
        <v>1.1860877543878667E-5</v>
      </c>
      <c r="D321">
        <f t="shared" si="37"/>
        <v>1.4068041611088525E-10</v>
      </c>
      <c r="E321">
        <v>0</v>
      </c>
    </row>
    <row r="322" spans="1:11">
      <c r="A322">
        <v>40</v>
      </c>
      <c r="B322">
        <v>0</v>
      </c>
      <c r="C322">
        <f t="shared" si="36"/>
        <v>1.7621107695881228E-5</v>
      </c>
      <c r="D322">
        <f t="shared" si="37"/>
        <v>3.1050343642984462E-10</v>
      </c>
      <c r="E322">
        <v>0</v>
      </c>
      <c r="G322" s="6" t="s">
        <v>134</v>
      </c>
      <c r="H322" s="6">
        <f>((100/21)*(E341))</f>
        <v>5.8509066984095685E-2</v>
      </c>
    </row>
    <row r="323" spans="1:11">
      <c r="A323">
        <v>50</v>
      </c>
      <c r="B323">
        <v>0</v>
      </c>
      <c r="C323">
        <f t="shared" si="36"/>
        <v>2.6178717945144598E-5</v>
      </c>
      <c r="D323">
        <f t="shared" si="37"/>
        <v>6.8532527325143582E-10</v>
      </c>
      <c r="E323">
        <v>0</v>
      </c>
    </row>
    <row r="324" spans="1:11">
      <c r="A324">
        <v>60</v>
      </c>
      <c r="B324">
        <v>0</v>
      </c>
      <c r="C324">
        <f t="shared" si="36"/>
        <v>3.889213078165074E-5</v>
      </c>
      <c r="D324">
        <f t="shared" si="37"/>
        <v>1.512597836737025E-9</v>
      </c>
      <c r="E324">
        <v>0</v>
      </c>
      <c r="J324" t="s">
        <v>12</v>
      </c>
      <c r="K324">
        <v>100</v>
      </c>
    </row>
    <row r="325" spans="1:11">
      <c r="A325">
        <v>80</v>
      </c>
      <c r="B325">
        <v>0</v>
      </c>
      <c r="C325">
        <f t="shared" si="36"/>
        <v>8.5837906688123112E-5</v>
      </c>
      <c r="D325">
        <f t="shared" si="37"/>
        <v>7.3681462245989308E-9</v>
      </c>
      <c r="E325">
        <v>0</v>
      </c>
      <c r="J325" t="s">
        <v>105</v>
      </c>
      <c r="K325">
        <v>12</v>
      </c>
    </row>
    <row r="326" spans="1:11">
      <c r="A326">
        <v>100</v>
      </c>
      <c r="B326">
        <v>0</v>
      </c>
      <c r="C326">
        <f t="shared" si="36"/>
        <v>1.8944008857730999E-4</v>
      </c>
      <c r="D326">
        <f t="shared" si="37"/>
        <v>3.5887547160179054E-8</v>
      </c>
      <c r="E326">
        <v>0</v>
      </c>
      <c r="J326" t="s">
        <v>8</v>
      </c>
      <c r="K326">
        <v>8</v>
      </c>
    </row>
    <row r="327" spans="1:11">
      <c r="A327">
        <v>140</v>
      </c>
      <c r="B327">
        <v>0</v>
      </c>
      <c r="C327">
        <f t="shared" si="36"/>
        <v>9.2220827360127466E-4</v>
      </c>
      <c r="D327">
        <f t="shared" si="37"/>
        <v>8.5046809989864346E-7</v>
      </c>
      <c r="E327">
        <v>0</v>
      </c>
      <c r="J327" t="s">
        <v>106</v>
      </c>
      <c r="K327">
        <v>23</v>
      </c>
    </row>
    <row r="328" spans="1:11">
      <c r="A328">
        <v>180</v>
      </c>
      <c r="B328">
        <v>0</v>
      </c>
      <c r="C328">
        <f t="shared" si="36"/>
        <v>4.476686521367455E-3</v>
      </c>
      <c r="D328">
        <f t="shared" si="37"/>
        <v>2.0040722210593044E-5</v>
      </c>
      <c r="E328">
        <v>0</v>
      </c>
      <c r="J328" t="s">
        <v>107</v>
      </c>
      <c r="K328">
        <v>2</v>
      </c>
    </row>
    <row r="329" spans="1:11">
      <c r="A329">
        <v>230</v>
      </c>
      <c r="B329">
        <v>0.02</v>
      </c>
      <c r="C329">
        <f t="shared" si="36"/>
        <v>3.1520289752782343E-2</v>
      </c>
      <c r="D329">
        <f t="shared" si="37"/>
        <v>1.3271707598806187E-4</v>
      </c>
      <c r="E329">
        <f t="shared" ref="E329:E340" si="38">(B329-C329)^2/B329</f>
        <v>6.6358537994030929E-3</v>
      </c>
    </row>
    <row r="330" spans="1:11">
      <c r="A330">
        <v>255</v>
      </c>
      <c r="B330">
        <v>0.08</v>
      </c>
      <c r="C330">
        <f t="shared" si="36"/>
        <v>8.0508989352644E-2</v>
      </c>
      <c r="D330">
        <f t="shared" si="37"/>
        <v>2.5907016110495686E-7</v>
      </c>
      <c r="E330">
        <f t="shared" si="38"/>
        <v>3.2383770138119608E-6</v>
      </c>
    </row>
    <row r="331" spans="1:11">
      <c r="A331">
        <v>280</v>
      </c>
      <c r="B331">
        <v>0.21</v>
      </c>
      <c r="C331">
        <f t="shared" si="36"/>
        <v>0.19064774788119043</v>
      </c>
      <c r="D331">
        <f t="shared" si="37"/>
        <v>3.7450966206996908E-4</v>
      </c>
      <c r="E331">
        <f t="shared" si="38"/>
        <v>1.7833793431903291E-3</v>
      </c>
    </row>
    <row r="332" spans="1:11">
      <c r="A332">
        <v>293</v>
      </c>
      <c r="B332">
        <v>0.3</v>
      </c>
      <c r="C332">
        <f t="shared" si="36"/>
        <v>0.28268303838135117</v>
      </c>
      <c r="D332">
        <f t="shared" si="37"/>
        <v>2.9987715970175631E-4</v>
      </c>
      <c r="E332">
        <f t="shared" si="38"/>
        <v>9.9959053233918778E-4</v>
      </c>
    </row>
    <row r="333" spans="1:11">
      <c r="A333">
        <v>300</v>
      </c>
      <c r="B333">
        <v>0.35</v>
      </c>
      <c r="C333">
        <f t="shared" si="36"/>
        <v>0.34206822350299892</v>
      </c>
      <c r="D333">
        <f t="shared" si="37"/>
        <v>6.2913078398378296E-5</v>
      </c>
      <c r="E333">
        <f t="shared" si="38"/>
        <v>1.7975165256679514E-4</v>
      </c>
    </row>
    <row r="334" spans="1:11">
      <c r="A334">
        <v>315</v>
      </c>
      <c r="B334">
        <v>0.49</v>
      </c>
      <c r="C334">
        <f t="shared" si="36"/>
        <v>0.48492850494310241</v>
      </c>
      <c r="D334">
        <f t="shared" si="37"/>
        <v>2.5720062112136578E-5</v>
      </c>
      <c r="E334">
        <f t="shared" si="38"/>
        <v>5.2489922677829755E-5</v>
      </c>
    </row>
    <row r="335" spans="1:11">
      <c r="A335">
        <v>337</v>
      </c>
      <c r="B335">
        <v>0.68</v>
      </c>
      <c r="C335">
        <f t="shared" si="36"/>
        <v>0.69223373426813928</v>
      </c>
      <c r="D335">
        <f t="shared" si="37"/>
        <v>1.4966425414344409E-4</v>
      </c>
      <c r="E335">
        <f t="shared" si="38"/>
        <v>2.2009449138741776E-4</v>
      </c>
    </row>
    <row r="336" spans="1:11">
      <c r="A336">
        <v>354</v>
      </c>
      <c r="B336">
        <v>0.8</v>
      </c>
      <c r="C336">
        <f t="shared" si="36"/>
        <v>0.81510689438445272</v>
      </c>
      <c r="D336">
        <f t="shared" si="37"/>
        <v>2.2821825794300772E-4</v>
      </c>
      <c r="E336">
        <f t="shared" si="38"/>
        <v>2.8527282242875963E-4</v>
      </c>
    </row>
    <row r="337" spans="1:11">
      <c r="A337">
        <v>362</v>
      </c>
      <c r="B337">
        <v>0.84</v>
      </c>
      <c r="C337">
        <f t="shared" si="36"/>
        <v>0.85817665089623751</v>
      </c>
      <c r="D337">
        <f t="shared" si="37"/>
        <v>3.3039063780369317E-4</v>
      </c>
      <c r="E337">
        <f t="shared" si="38"/>
        <v>3.9332218786153952E-4</v>
      </c>
    </row>
    <row r="338" spans="1:11">
      <c r="A338">
        <v>370</v>
      </c>
      <c r="B338">
        <v>0.87</v>
      </c>
      <c r="C338">
        <f t="shared" si="36"/>
        <v>0.89253629260861655</v>
      </c>
      <c r="D338">
        <f t="shared" si="37"/>
        <v>5.0788448454118539E-4</v>
      </c>
      <c r="E338">
        <f t="shared" si="38"/>
        <v>5.8377526958756942E-4</v>
      </c>
    </row>
    <row r="339" spans="1:11">
      <c r="A339">
        <v>375</v>
      </c>
      <c r="B339">
        <v>0.89</v>
      </c>
      <c r="C339">
        <f t="shared" si="36"/>
        <v>0.91009888569636666</v>
      </c>
      <c r="D339">
        <f t="shared" si="37"/>
        <v>4.039652062356116E-4</v>
      </c>
      <c r="E339">
        <f t="shared" si="38"/>
        <v>4.5389349015237255E-4</v>
      </c>
    </row>
    <row r="340" spans="1:11">
      <c r="A340">
        <v>380</v>
      </c>
      <c r="B340">
        <v>0.9</v>
      </c>
      <c r="C340">
        <f t="shared" si="36"/>
        <v>0.9250323382896255</v>
      </c>
      <c r="D340">
        <f t="shared" si="37"/>
        <v>6.2661796024624981E-4</v>
      </c>
      <c r="E340">
        <f t="shared" si="38"/>
        <v>6.9624217805138865E-4</v>
      </c>
    </row>
    <row r="341" spans="1:11">
      <c r="C341" s="6" t="s">
        <v>187</v>
      </c>
      <c r="D341" s="6">
        <f>SUM(D319:D340)</f>
        <v>3.1636740812771638E-3</v>
      </c>
      <c r="E341">
        <f>SUM(E319:E340)</f>
        <v>1.2286904066660094E-2</v>
      </c>
    </row>
    <row r="342" spans="1:11" ht="17.25" customHeight="1"/>
    <row r="343" spans="1:11" ht="17.25" customHeight="1"/>
    <row r="344" spans="1:11" ht="17.25" customHeight="1"/>
    <row r="345" spans="1:11" ht="17.25" customHeight="1"/>
    <row r="346" spans="1:11" ht="17.25" customHeight="1">
      <c r="A346" t="s">
        <v>29</v>
      </c>
      <c r="B346" t="s">
        <v>43</v>
      </c>
      <c r="C346" t="s">
        <v>99</v>
      </c>
      <c r="D346" t="s">
        <v>120</v>
      </c>
      <c r="E346" t="s">
        <v>119</v>
      </c>
    </row>
    <row r="347" spans="1:11" ht="17.25" customHeight="1">
      <c r="A347">
        <v>0</v>
      </c>
      <c r="B347">
        <v>0</v>
      </c>
      <c r="C347">
        <f>(($K$324)*(EXP(($K$319)*(A347-$K$320))))/(1+EXP(($K$319)*(A347-$K$320))*($K$324))</f>
        <v>3.6171269145498545E-6</v>
      </c>
      <c r="D347">
        <f>(B347-C347)^2</f>
        <v>1.3083607115960951E-11</v>
      </c>
      <c r="E347">
        <v>0</v>
      </c>
      <c r="J347" s="6" t="s">
        <v>168</v>
      </c>
      <c r="K347" s="6">
        <v>3.9585786194701399E-2</v>
      </c>
    </row>
    <row r="348" spans="1:11" ht="17.25" customHeight="1">
      <c r="A348">
        <v>20</v>
      </c>
      <c r="B348">
        <v>0</v>
      </c>
      <c r="C348">
        <f t="shared" ref="C348:C368" si="39">(($K$324)*(EXP(($K$319)*(A348-$K$320))))/(1+EXP(($K$319)*(A348-$K$320))*($K$324))</f>
        <v>7.9836156520810489E-6</v>
      </c>
      <c r="D348">
        <f t="shared" ref="D348:D368" si="40">(B348-C348)^2</f>
        <v>6.3738118880153508E-11</v>
      </c>
      <c r="E348">
        <v>0</v>
      </c>
      <c r="J348" s="6" t="s">
        <v>169</v>
      </c>
      <c r="K348" s="6">
        <v>432.857314032869</v>
      </c>
    </row>
    <row r="349" spans="1:11" ht="17.25" customHeight="1">
      <c r="A349">
        <v>30</v>
      </c>
      <c r="B349">
        <v>0</v>
      </c>
      <c r="C349">
        <f t="shared" si="39"/>
        <v>1.1860877543878667E-5</v>
      </c>
      <c r="D349">
        <f t="shared" si="40"/>
        <v>1.4068041611088525E-10</v>
      </c>
      <c r="E349">
        <v>0</v>
      </c>
    </row>
    <row r="350" spans="1:11" ht="17.25" customHeight="1">
      <c r="A350">
        <v>40</v>
      </c>
      <c r="B350">
        <v>0</v>
      </c>
      <c r="C350">
        <f t="shared" si="39"/>
        <v>1.7621107695881228E-5</v>
      </c>
      <c r="D350">
        <f t="shared" si="40"/>
        <v>3.1050343642984462E-10</v>
      </c>
      <c r="E350">
        <v>0</v>
      </c>
      <c r="G350" s="6" t="s">
        <v>129</v>
      </c>
      <c r="H350" s="6">
        <f>(100/23)*E369</f>
        <v>0.76037635017487593</v>
      </c>
    </row>
    <row r="351" spans="1:11" ht="17.25" customHeight="1">
      <c r="A351">
        <v>50</v>
      </c>
      <c r="B351">
        <v>0</v>
      </c>
      <c r="C351">
        <f t="shared" si="39"/>
        <v>2.6178717945144598E-5</v>
      </c>
      <c r="D351">
        <f t="shared" si="40"/>
        <v>6.8532527325143582E-10</v>
      </c>
      <c r="E351">
        <v>0</v>
      </c>
    </row>
    <row r="352" spans="1:11" ht="17.25" customHeight="1">
      <c r="A352">
        <v>60</v>
      </c>
      <c r="B352">
        <v>0</v>
      </c>
      <c r="C352">
        <f t="shared" si="39"/>
        <v>3.889213078165074E-5</v>
      </c>
      <c r="D352">
        <f t="shared" si="40"/>
        <v>1.512597836737025E-9</v>
      </c>
      <c r="E352">
        <v>0</v>
      </c>
      <c r="J352" t="s">
        <v>12</v>
      </c>
      <c r="K352">
        <v>100</v>
      </c>
    </row>
    <row r="353" spans="1:11" ht="17.25" customHeight="1">
      <c r="A353">
        <v>80</v>
      </c>
      <c r="B353">
        <v>0</v>
      </c>
      <c r="C353">
        <f t="shared" si="39"/>
        <v>8.5837906688123112E-5</v>
      </c>
      <c r="D353">
        <f t="shared" si="40"/>
        <v>7.3681462245989308E-9</v>
      </c>
      <c r="E353">
        <v>0</v>
      </c>
      <c r="F353">
        <f>E369/B369</f>
        <v>2.7198531965819825E-2</v>
      </c>
      <c r="J353" t="s">
        <v>105</v>
      </c>
      <c r="K353">
        <v>12</v>
      </c>
    </row>
    <row r="354" spans="1:11" ht="17.25" customHeight="1">
      <c r="A354">
        <v>100</v>
      </c>
      <c r="B354">
        <v>0</v>
      </c>
      <c r="C354">
        <f t="shared" si="39"/>
        <v>1.8944008857730999E-4</v>
      </c>
      <c r="D354">
        <f t="shared" si="40"/>
        <v>3.5887547160179054E-8</v>
      </c>
      <c r="E354">
        <v>0</v>
      </c>
      <c r="J354" t="s">
        <v>8</v>
      </c>
      <c r="K354">
        <v>8</v>
      </c>
    </row>
    <row r="355" spans="1:11" ht="17.25" customHeight="1">
      <c r="A355">
        <v>140</v>
      </c>
      <c r="B355">
        <v>0</v>
      </c>
      <c r="C355">
        <f t="shared" si="39"/>
        <v>9.2220827360127466E-4</v>
      </c>
      <c r="D355">
        <f t="shared" si="40"/>
        <v>8.5046809989864346E-7</v>
      </c>
      <c r="E355">
        <v>0</v>
      </c>
      <c r="J355" t="s">
        <v>106</v>
      </c>
      <c r="K355">
        <v>23</v>
      </c>
    </row>
    <row r="356" spans="1:11" ht="17.25" customHeight="1">
      <c r="A356">
        <v>180</v>
      </c>
      <c r="B356">
        <v>0</v>
      </c>
      <c r="C356">
        <f t="shared" si="39"/>
        <v>4.476686521367455E-3</v>
      </c>
      <c r="D356">
        <f t="shared" si="40"/>
        <v>2.0040722210593044E-5</v>
      </c>
      <c r="E356">
        <v>0</v>
      </c>
      <c r="J356" t="s">
        <v>107</v>
      </c>
      <c r="K356">
        <v>2</v>
      </c>
    </row>
    <row r="357" spans="1:11" ht="17.25" customHeight="1">
      <c r="A357">
        <v>230</v>
      </c>
      <c r="B357">
        <v>0.02</v>
      </c>
      <c r="C357">
        <f t="shared" si="39"/>
        <v>3.1520289752782343E-2</v>
      </c>
      <c r="D357">
        <f t="shared" si="40"/>
        <v>1.3271707598806187E-4</v>
      </c>
      <c r="E357">
        <f t="shared" ref="E357:E368" si="41">ABS(B357-C357)</f>
        <v>1.1520289752782343E-2</v>
      </c>
    </row>
    <row r="358" spans="1:11" ht="17.25" customHeight="1">
      <c r="A358">
        <v>255</v>
      </c>
      <c r="B358">
        <v>0.08</v>
      </c>
      <c r="C358">
        <f t="shared" si="39"/>
        <v>8.0508989352644E-2</v>
      </c>
      <c r="D358">
        <f t="shared" si="40"/>
        <v>2.5907016110495686E-7</v>
      </c>
      <c r="E358">
        <f t="shared" si="41"/>
        <v>5.0898935264399869E-4</v>
      </c>
    </row>
    <row r="359" spans="1:11" ht="17.25" customHeight="1">
      <c r="A359">
        <v>280</v>
      </c>
      <c r="B359">
        <v>0.21</v>
      </c>
      <c r="C359">
        <f t="shared" si="39"/>
        <v>0.19064774788119043</v>
      </c>
      <c r="D359">
        <f t="shared" si="40"/>
        <v>3.7450966206996908E-4</v>
      </c>
      <c r="E359">
        <f t="shared" si="41"/>
        <v>1.935225211880956E-2</v>
      </c>
    </row>
    <row r="360" spans="1:11" ht="17.25" customHeight="1">
      <c r="A360">
        <v>293</v>
      </c>
      <c r="B360">
        <v>0.3</v>
      </c>
      <c r="C360">
        <f t="shared" si="39"/>
        <v>0.28268303838135117</v>
      </c>
      <c r="D360">
        <f t="shared" si="40"/>
        <v>2.9987715970175631E-4</v>
      </c>
      <c r="E360">
        <f t="shared" si="41"/>
        <v>1.7316961618648818E-2</v>
      </c>
    </row>
    <row r="361" spans="1:11" ht="17.25" customHeight="1">
      <c r="A361">
        <v>300</v>
      </c>
      <c r="B361">
        <v>0.35</v>
      </c>
      <c r="C361">
        <f t="shared" si="39"/>
        <v>0.34206822350299892</v>
      </c>
      <c r="D361">
        <f t="shared" si="40"/>
        <v>6.2913078398378296E-5</v>
      </c>
      <c r="E361">
        <f t="shared" si="41"/>
        <v>7.9317764970010529E-3</v>
      </c>
    </row>
    <row r="362" spans="1:11" ht="17.25" customHeight="1">
      <c r="A362">
        <v>315</v>
      </c>
      <c r="B362">
        <v>0.49</v>
      </c>
      <c r="C362">
        <f t="shared" si="39"/>
        <v>0.48492850494310241</v>
      </c>
      <c r="D362">
        <f t="shared" si="40"/>
        <v>2.5720062112136578E-5</v>
      </c>
      <c r="E362">
        <f t="shared" si="41"/>
        <v>5.0714950568975792E-3</v>
      </c>
    </row>
    <row r="363" spans="1:11" ht="17.25" customHeight="1">
      <c r="A363">
        <v>337</v>
      </c>
      <c r="B363">
        <v>0.68</v>
      </c>
      <c r="C363">
        <f t="shared" si="39"/>
        <v>0.69223373426813928</v>
      </c>
      <c r="D363">
        <f t="shared" si="40"/>
        <v>1.4966425414344409E-4</v>
      </c>
      <c r="E363">
        <f t="shared" si="41"/>
        <v>1.2233734268139229E-2</v>
      </c>
    </row>
    <row r="364" spans="1:11" ht="17.25" customHeight="1">
      <c r="A364">
        <v>354</v>
      </c>
      <c r="B364">
        <v>0.8</v>
      </c>
      <c r="C364">
        <f t="shared" si="39"/>
        <v>0.81510689438445272</v>
      </c>
      <c r="D364">
        <f t="shared" si="40"/>
        <v>2.2821825794300772E-4</v>
      </c>
      <c r="E364">
        <f t="shared" si="41"/>
        <v>1.5106894384452674E-2</v>
      </c>
    </row>
    <row r="365" spans="1:11" ht="17.25" customHeight="1">
      <c r="A365">
        <v>362</v>
      </c>
      <c r="B365">
        <v>0.84</v>
      </c>
      <c r="C365">
        <f t="shared" si="39"/>
        <v>0.85817665089623751</v>
      </c>
      <c r="D365">
        <f t="shared" si="40"/>
        <v>3.3039063780369317E-4</v>
      </c>
      <c r="E365">
        <f t="shared" si="41"/>
        <v>1.8176650896237545E-2</v>
      </c>
    </row>
    <row r="366" spans="1:11" ht="17.25" customHeight="1">
      <c r="A366">
        <v>370</v>
      </c>
      <c r="B366">
        <v>0.87</v>
      </c>
      <c r="C366">
        <f t="shared" si="39"/>
        <v>0.89253629260861655</v>
      </c>
      <c r="D366">
        <f t="shared" si="40"/>
        <v>5.0788448454118539E-4</v>
      </c>
      <c r="E366">
        <f t="shared" si="41"/>
        <v>2.2536292608616559E-2</v>
      </c>
    </row>
    <row r="367" spans="1:11" ht="17.25" customHeight="1">
      <c r="A367">
        <v>375</v>
      </c>
      <c r="B367">
        <v>0.89</v>
      </c>
      <c r="C367">
        <f t="shared" si="39"/>
        <v>0.91009888569636666</v>
      </c>
      <c r="D367">
        <f t="shared" si="40"/>
        <v>4.039652062356116E-4</v>
      </c>
      <c r="E367">
        <f t="shared" si="41"/>
        <v>2.0098885696366642E-2</v>
      </c>
    </row>
    <row r="368" spans="1:11">
      <c r="A368">
        <v>380</v>
      </c>
      <c r="B368">
        <v>0.9</v>
      </c>
      <c r="C368">
        <f t="shared" si="39"/>
        <v>0.9250323382896255</v>
      </c>
      <c r="D368">
        <f t="shared" si="40"/>
        <v>6.2661796024624981E-4</v>
      </c>
      <c r="E368">
        <f t="shared" si="41"/>
        <v>2.5032338289625478E-2</v>
      </c>
    </row>
    <row r="369" spans="1:11">
      <c r="B369">
        <f>SUM(B347:B368)</f>
        <v>6.43</v>
      </c>
      <c r="E369">
        <f>SUM(E347:E368)</f>
        <v>0.17488656054022148</v>
      </c>
    </row>
    <row r="371" spans="1:11" ht="16.8">
      <c r="A371" s="1" t="s">
        <v>184</v>
      </c>
    </row>
    <row r="372" spans="1:11">
      <c r="A372" t="s">
        <v>135</v>
      </c>
    </row>
    <row r="373" spans="1:11">
      <c r="A373" t="s">
        <v>29</v>
      </c>
      <c r="B373" t="s">
        <v>43</v>
      </c>
      <c r="C373" t="s">
        <v>99</v>
      </c>
      <c r="D373" t="s">
        <v>120</v>
      </c>
      <c r="E373" t="s">
        <v>137</v>
      </c>
    </row>
    <row r="374" spans="1:11">
      <c r="A374">
        <v>0</v>
      </c>
      <c r="B374">
        <v>0</v>
      </c>
      <c r="C374">
        <f>(($K$381)*(EXP(($K$374)*(A374-$K$375))))/(1+EXP(($K$374)*(A374-$K$375))*($K$381))</f>
        <v>1.2704989667484089E-3</v>
      </c>
      <c r="D374">
        <f>(B374-C374)^2</f>
        <v>1.6141676245087746E-6</v>
      </c>
      <c r="E374">
        <f>ABS(B374-C374)</f>
        <v>1.2704989667484089E-3</v>
      </c>
      <c r="J374" s="6" t="s">
        <v>168</v>
      </c>
      <c r="K374" s="6">
        <v>2.75166095275317E-2</v>
      </c>
    </row>
    <row r="375" spans="1:11">
      <c r="A375">
        <v>20</v>
      </c>
      <c r="B375">
        <v>0</v>
      </c>
      <c r="C375">
        <f t="shared" ref="C375:C391" si="42">(($K$381)*(EXP(($K$374)*(A375-$K$375))))/(1+EXP(($K$374)*(A375-$K$375))*($K$381))</f>
        <v>2.2007759584740934E-3</v>
      </c>
      <c r="D375">
        <f t="shared" ref="D375:D391" si="43">(B375-C375)^2</f>
        <v>4.843414819397564E-6</v>
      </c>
      <c r="E375">
        <f t="shared" ref="E375:E391" si="44">ABS(B375-C375)</f>
        <v>2.2007759584740934E-3</v>
      </c>
      <c r="J375" s="6" t="s">
        <v>169</v>
      </c>
      <c r="K375" s="6">
        <v>409.65237510249898</v>
      </c>
    </row>
    <row r="376" spans="1:11">
      <c r="A376">
        <v>30</v>
      </c>
      <c r="B376">
        <v>0</v>
      </c>
      <c r="C376">
        <f t="shared" si="42"/>
        <v>2.8958516585217012E-3</v>
      </c>
      <c r="D376">
        <f t="shared" si="43"/>
        <v>8.3859568281628882E-6</v>
      </c>
      <c r="E376">
        <f t="shared" si="44"/>
        <v>2.8958516585217012E-3</v>
      </c>
      <c r="G376" s="6" t="s">
        <v>132</v>
      </c>
      <c r="H376" s="6">
        <f>E392</f>
        <v>0.19535145050047029</v>
      </c>
    </row>
    <row r="377" spans="1:11">
      <c r="A377">
        <v>40</v>
      </c>
      <c r="B377">
        <v>0</v>
      </c>
      <c r="C377">
        <f t="shared" si="42"/>
        <v>3.8096164198245987E-3</v>
      </c>
      <c r="D377">
        <f t="shared" si="43"/>
        <v>1.4513177266197194E-5</v>
      </c>
      <c r="E377">
        <f t="shared" si="44"/>
        <v>3.8096164198245987E-3</v>
      </c>
    </row>
    <row r="378" spans="1:11">
      <c r="A378">
        <v>50</v>
      </c>
      <c r="B378">
        <v>0</v>
      </c>
      <c r="C378">
        <f t="shared" si="42"/>
        <v>5.0102641388443279E-3</v>
      </c>
      <c r="D378">
        <f t="shared" si="43"/>
        <v>2.5102746740989496E-5</v>
      </c>
      <c r="E378">
        <f t="shared" si="44"/>
        <v>5.0102641388443279E-3</v>
      </c>
    </row>
    <row r="379" spans="1:11">
      <c r="A379">
        <v>60</v>
      </c>
      <c r="B379">
        <v>0</v>
      </c>
      <c r="C379">
        <f t="shared" si="42"/>
        <v>6.5868088587459064E-3</v>
      </c>
      <c r="D379">
        <f t="shared" si="43"/>
        <v>4.3386050941653552E-5</v>
      </c>
      <c r="E379">
        <f t="shared" si="44"/>
        <v>6.5868088587459064E-3</v>
      </c>
      <c r="J379" t="s">
        <v>105</v>
      </c>
      <c r="K379">
        <v>4</v>
      </c>
    </row>
    <row r="380" spans="1:11">
      <c r="A380">
        <v>90</v>
      </c>
      <c r="B380">
        <v>0</v>
      </c>
      <c r="C380">
        <f t="shared" si="42"/>
        <v>1.4911784285525575E-2</v>
      </c>
      <c r="D380">
        <f t="shared" si="43"/>
        <v>2.2236131057804746E-4</v>
      </c>
      <c r="E380">
        <f t="shared" si="44"/>
        <v>1.4911784285525575E-2</v>
      </c>
      <c r="J380" t="s">
        <v>8</v>
      </c>
      <c r="K380">
        <v>4</v>
      </c>
    </row>
    <row r="381" spans="1:11">
      <c r="A381">
        <v>150</v>
      </c>
      <c r="B381">
        <v>0.02</v>
      </c>
      <c r="C381">
        <f t="shared" si="42"/>
        <v>7.3129444631493068E-2</v>
      </c>
      <c r="D381">
        <f t="shared" si="43"/>
        <v>2.8227378868508871E-3</v>
      </c>
      <c r="E381">
        <f t="shared" si="44"/>
        <v>5.3129444631493064E-2</v>
      </c>
      <c r="J381" t="s">
        <v>12</v>
      </c>
      <c r="K381">
        <v>100</v>
      </c>
    </row>
    <row r="382" spans="1:11">
      <c r="A382">
        <v>210</v>
      </c>
      <c r="B382">
        <v>0.28999999999999998</v>
      </c>
      <c r="C382">
        <f t="shared" si="42"/>
        <v>0.29140165967946763</v>
      </c>
      <c r="D382">
        <f t="shared" si="43"/>
        <v>1.9646498570453507E-6</v>
      </c>
      <c r="E382">
        <f t="shared" si="44"/>
        <v>1.4016596794676484E-3</v>
      </c>
      <c r="J382" t="s">
        <v>106</v>
      </c>
      <c r="K382">
        <v>19</v>
      </c>
    </row>
    <row r="383" spans="1:11">
      <c r="A383">
        <v>235</v>
      </c>
      <c r="B383">
        <v>0.45</v>
      </c>
      <c r="C383">
        <f t="shared" si="42"/>
        <v>0.44999991899294922</v>
      </c>
      <c r="D383">
        <f t="shared" si="43"/>
        <v>6.5621422776135303E-15</v>
      </c>
      <c r="E383">
        <f t="shared" si="44"/>
        <v>8.1007050789505541E-8</v>
      </c>
      <c r="J383" t="s">
        <v>107</v>
      </c>
      <c r="K383">
        <v>2</v>
      </c>
    </row>
    <row r="384" spans="1:11">
      <c r="A384">
        <v>260</v>
      </c>
      <c r="B384">
        <v>0.63</v>
      </c>
      <c r="C384">
        <f t="shared" si="42"/>
        <v>0.61945702538695513</v>
      </c>
      <c r="D384">
        <f t="shared" si="43"/>
        <v>1.1115431369130874E-4</v>
      </c>
      <c r="E384">
        <f t="shared" si="44"/>
        <v>1.0542974613044875E-2</v>
      </c>
    </row>
    <row r="385" spans="1:5">
      <c r="A385">
        <v>280</v>
      </c>
      <c r="B385">
        <v>0.74</v>
      </c>
      <c r="C385">
        <f t="shared" si="42"/>
        <v>0.73838210135276228</v>
      </c>
      <c r="D385">
        <f t="shared" si="43"/>
        <v>2.617596032733626E-6</v>
      </c>
      <c r="E385">
        <f t="shared" si="44"/>
        <v>1.6178986472377144E-3</v>
      </c>
    </row>
    <row r="386" spans="1:5">
      <c r="A386">
        <v>290</v>
      </c>
      <c r="B386">
        <v>0.79</v>
      </c>
      <c r="C386">
        <f t="shared" si="42"/>
        <v>0.78797171371203534</v>
      </c>
      <c r="D386">
        <f t="shared" si="43"/>
        <v>4.1139452659456131E-6</v>
      </c>
      <c r="E386">
        <f t="shared" si="44"/>
        <v>2.0282862879646979E-3</v>
      </c>
    </row>
    <row r="387" spans="1:5">
      <c r="A387">
        <v>300</v>
      </c>
      <c r="B387">
        <v>0.83</v>
      </c>
      <c r="C387">
        <f t="shared" si="42"/>
        <v>0.83032165376281319</v>
      </c>
      <c r="D387">
        <f t="shared" si="43"/>
        <v>1.034611431319124E-7</v>
      </c>
      <c r="E387">
        <f t="shared" si="44"/>
        <v>3.2165376281323432E-4</v>
      </c>
    </row>
    <row r="388" spans="1:5">
      <c r="A388">
        <v>315</v>
      </c>
      <c r="B388">
        <v>0.87</v>
      </c>
      <c r="C388">
        <f t="shared" si="42"/>
        <v>0.88086611910496881</v>
      </c>
      <c r="D388">
        <f t="shared" si="43"/>
        <v>1.1807254440336836E-4</v>
      </c>
      <c r="E388">
        <f t="shared" si="44"/>
        <v>1.0866119104968819E-2</v>
      </c>
    </row>
    <row r="389" spans="1:5">
      <c r="A389">
        <v>320</v>
      </c>
      <c r="B389">
        <v>0.88</v>
      </c>
      <c r="C389">
        <f t="shared" si="42"/>
        <v>0.89456479907982345</v>
      </c>
      <c r="D389">
        <f t="shared" si="43"/>
        <v>2.121333722356258E-4</v>
      </c>
      <c r="E389">
        <f t="shared" si="44"/>
        <v>1.4564799079823443E-2</v>
      </c>
    </row>
    <row r="390" spans="1:5">
      <c r="A390">
        <v>330</v>
      </c>
      <c r="B390">
        <v>0.89</v>
      </c>
      <c r="C390">
        <f t="shared" si="42"/>
        <v>0.91784394870524755</v>
      </c>
      <c r="D390">
        <f t="shared" si="43"/>
        <v>7.7528547950045585E-4</v>
      </c>
      <c r="E390">
        <f t="shared" si="44"/>
        <v>2.7843948705247534E-2</v>
      </c>
    </row>
    <row r="391" spans="1:5">
      <c r="A391">
        <v>340</v>
      </c>
      <c r="B391">
        <v>0.9</v>
      </c>
      <c r="C391">
        <f t="shared" si="42"/>
        <v>0.93634898469467387</v>
      </c>
      <c r="D391">
        <f t="shared" si="43"/>
        <v>1.3212486883336335E-3</v>
      </c>
      <c r="E391">
        <f t="shared" si="44"/>
        <v>3.6348984694673847E-2</v>
      </c>
    </row>
    <row r="392" spans="1:5">
      <c r="C392" s="6" t="s">
        <v>187</v>
      </c>
      <c r="D392" s="6">
        <f>SUM(D374:D391)</f>
        <v>5.6896387621196542E-3</v>
      </c>
      <c r="E392">
        <f>SUM(E374:E391)</f>
        <v>0.19535145050047029</v>
      </c>
    </row>
    <row r="398" spans="1:5" ht="16.8">
      <c r="A398" s="10" t="s">
        <v>145</v>
      </c>
    </row>
    <row r="399" spans="1:5">
      <c r="A399" t="s">
        <v>135</v>
      </c>
    </row>
    <row r="400" spans="1:5">
      <c r="A400" t="s">
        <v>29</v>
      </c>
      <c r="B400" t="s">
        <v>43</v>
      </c>
      <c r="C400" t="s">
        <v>99</v>
      </c>
      <c r="D400" t="s">
        <v>120</v>
      </c>
      <c r="E400" t="s">
        <v>119</v>
      </c>
    </row>
    <row r="401" spans="1:11">
      <c r="A401">
        <v>0</v>
      </c>
      <c r="B401">
        <v>0</v>
      </c>
      <c r="C401">
        <f>(($K$408)*(EXP(($K$401)*(A401-$K$402))))/(1+EXP(($K$401)*(A401-$K$402))*($K$408))</f>
        <v>2.4954234076473458E-4</v>
      </c>
      <c r="D401">
        <f>(B401-C401)^2</f>
        <v>6.2271379834342912E-8</v>
      </c>
      <c r="E401">
        <v>0</v>
      </c>
      <c r="J401" s="6" t="s">
        <v>168</v>
      </c>
      <c r="K401" s="6">
        <v>3.3771351673000598E-2</v>
      </c>
    </row>
    <row r="402" spans="1:11">
      <c r="A402">
        <v>20</v>
      </c>
      <c r="B402">
        <v>0</v>
      </c>
      <c r="C402">
        <f t="shared" ref="C402:C418" si="45">(($K$408)*(EXP(($K$401)*(A402-$K$402))))/(1+EXP(($K$401)*(A402-$K$402))*($K$408))</f>
        <v>4.9020069521310745E-4</v>
      </c>
      <c r="D402">
        <f t="shared" ref="D402:D418" si="46">(B402-C402)^2</f>
        <v>2.4029672158741387E-7</v>
      </c>
      <c r="E402">
        <v>0</v>
      </c>
      <c r="J402" s="6" t="s">
        <v>169</v>
      </c>
      <c r="K402" s="6">
        <v>382.00432994593501</v>
      </c>
    </row>
    <row r="403" spans="1:11">
      <c r="A403">
        <v>30</v>
      </c>
      <c r="B403">
        <v>0</v>
      </c>
      <c r="C403">
        <f t="shared" si="45"/>
        <v>6.8699807677286256E-4</v>
      </c>
      <c r="D403">
        <f t="shared" si="46"/>
        <v>4.7196635748961197E-7</v>
      </c>
      <c r="E403">
        <v>0</v>
      </c>
      <c r="G403" s="6" t="s">
        <v>121</v>
      </c>
      <c r="H403" s="6">
        <f>(100)*(1/17)^(0.5)*(F410)^(0.5)</f>
        <v>0.44950401758172404</v>
      </c>
    </row>
    <row r="404" spans="1:11">
      <c r="A404">
        <v>40</v>
      </c>
      <c r="B404">
        <v>0</v>
      </c>
      <c r="C404">
        <f t="shared" si="45"/>
        <v>9.6272620211886799E-4</v>
      </c>
      <c r="D404">
        <f t="shared" si="46"/>
        <v>9.2684174024621942E-7</v>
      </c>
      <c r="E404">
        <v>0</v>
      </c>
    </row>
    <row r="405" spans="1:11">
      <c r="A405">
        <v>50</v>
      </c>
      <c r="B405">
        <v>0</v>
      </c>
      <c r="C405">
        <f t="shared" si="45"/>
        <v>1.3489690064029676E-3</v>
      </c>
      <c r="D405">
        <f t="shared" si="46"/>
        <v>1.8197173802358096E-6</v>
      </c>
      <c r="E405">
        <v>0</v>
      </c>
    </row>
    <row r="406" spans="1:11">
      <c r="A406">
        <v>60</v>
      </c>
      <c r="B406">
        <v>0</v>
      </c>
      <c r="C406">
        <f t="shared" si="45"/>
        <v>1.8898781043900604E-3</v>
      </c>
      <c r="D406">
        <f t="shared" si="46"/>
        <v>3.571639249452968E-6</v>
      </c>
      <c r="E406">
        <v>0</v>
      </c>
      <c r="J406" t="s">
        <v>105</v>
      </c>
      <c r="K406">
        <v>4</v>
      </c>
    </row>
    <row r="407" spans="1:11">
      <c r="A407">
        <v>90</v>
      </c>
      <c r="B407">
        <v>0</v>
      </c>
      <c r="C407">
        <f t="shared" si="45"/>
        <v>5.1879730461682387E-3</v>
      </c>
      <c r="D407">
        <f t="shared" si="46"/>
        <v>2.6915064327768155E-5</v>
      </c>
      <c r="E407">
        <v>0</v>
      </c>
      <c r="J407" t="s">
        <v>8</v>
      </c>
      <c r="K407">
        <v>4</v>
      </c>
    </row>
    <row r="408" spans="1:11">
      <c r="A408">
        <v>150</v>
      </c>
      <c r="B408">
        <v>0.02</v>
      </c>
      <c r="C408">
        <f t="shared" si="45"/>
        <v>3.8054822987393273E-2</v>
      </c>
      <c r="D408">
        <f t="shared" si="46"/>
        <v>3.2597663310610455E-4</v>
      </c>
      <c r="E408">
        <f>((B408-C408)^2/B408)</f>
        <v>1.6298831655305226E-2</v>
      </c>
      <c r="J408" t="s">
        <v>12</v>
      </c>
      <c r="K408">
        <v>100</v>
      </c>
    </row>
    <row r="409" spans="1:11">
      <c r="A409">
        <v>210</v>
      </c>
      <c r="B409">
        <v>0.28999999999999998</v>
      </c>
      <c r="C409">
        <f t="shared" si="45"/>
        <v>0.23082679930319375</v>
      </c>
      <c r="D409">
        <f t="shared" si="46"/>
        <v>3.5014676807045095E-3</v>
      </c>
      <c r="E409">
        <f t="shared" ref="E409:E418" si="47">((B409-C409)^2/B409)</f>
        <v>1.2074026485187964E-2</v>
      </c>
      <c r="J409" t="s">
        <v>106</v>
      </c>
      <c r="K409">
        <v>19</v>
      </c>
    </row>
    <row r="410" spans="1:11">
      <c r="A410">
        <v>235</v>
      </c>
      <c r="B410">
        <v>0.45</v>
      </c>
      <c r="C410">
        <f t="shared" si="45"/>
        <v>0.41111335363460277</v>
      </c>
      <c r="D410">
        <f t="shared" si="46"/>
        <v>1.5121712655474621E-3</v>
      </c>
      <c r="E410">
        <f t="shared" si="47"/>
        <v>3.3603805901054715E-3</v>
      </c>
      <c r="F410">
        <f>D419/B419^2</f>
        <v>3.4349156509758848E-4</v>
      </c>
      <c r="J410" t="s">
        <v>107</v>
      </c>
      <c r="K410">
        <v>2</v>
      </c>
    </row>
    <row r="411" spans="1:11">
      <c r="A411">
        <v>260</v>
      </c>
      <c r="B411">
        <v>0.63</v>
      </c>
      <c r="C411">
        <f t="shared" si="45"/>
        <v>0.61890876294549135</v>
      </c>
      <c r="D411">
        <f t="shared" si="46"/>
        <v>1.2301553939930574E-4</v>
      </c>
      <c r="E411">
        <f t="shared" si="47"/>
        <v>1.9526276095127896E-4</v>
      </c>
    </row>
    <row r="412" spans="1:11">
      <c r="A412">
        <v>280</v>
      </c>
      <c r="B412">
        <v>0.74</v>
      </c>
      <c r="C412">
        <f t="shared" si="45"/>
        <v>0.76139559500600418</v>
      </c>
      <c r="D412">
        <f t="shared" si="46"/>
        <v>4.5777148566095128E-4</v>
      </c>
      <c r="E412">
        <f t="shared" si="47"/>
        <v>6.1861011575804227E-4</v>
      </c>
    </row>
    <row r="413" spans="1:11">
      <c r="A413">
        <v>290</v>
      </c>
      <c r="B413">
        <v>0.79</v>
      </c>
      <c r="C413">
        <f t="shared" si="45"/>
        <v>0.81728489465129606</v>
      </c>
      <c r="D413">
        <f t="shared" si="46"/>
        <v>7.4446547613232219E-4</v>
      </c>
      <c r="E413">
        <f t="shared" si="47"/>
        <v>9.4236136219281281E-4</v>
      </c>
    </row>
    <row r="414" spans="1:11">
      <c r="A414">
        <v>300</v>
      </c>
      <c r="B414">
        <v>0.83</v>
      </c>
      <c r="C414">
        <f t="shared" si="45"/>
        <v>0.86244803450683538</v>
      </c>
      <c r="D414">
        <f t="shared" si="46"/>
        <v>1.0528749433567823E-3</v>
      </c>
      <c r="E414">
        <f t="shared" si="47"/>
        <v>1.2685240281407016E-3</v>
      </c>
    </row>
    <row r="415" spans="1:11">
      <c r="A415">
        <v>315</v>
      </c>
      <c r="B415">
        <v>0.87</v>
      </c>
      <c r="C415">
        <f t="shared" si="45"/>
        <v>0.91232371262738821</v>
      </c>
      <c r="D415">
        <f t="shared" si="46"/>
        <v>1.7912966505657403E-3</v>
      </c>
      <c r="E415">
        <f t="shared" si="47"/>
        <v>2.0589616673169428E-3</v>
      </c>
    </row>
    <row r="416" spans="1:11">
      <c r="A416">
        <v>320</v>
      </c>
      <c r="B416">
        <v>0.88</v>
      </c>
      <c r="C416">
        <f t="shared" si="45"/>
        <v>0.92492327198888402</v>
      </c>
      <c r="D416">
        <f t="shared" si="46"/>
        <v>2.0181003661872512E-3</v>
      </c>
      <c r="E416">
        <f t="shared" si="47"/>
        <v>2.2932958706673311E-3</v>
      </c>
    </row>
    <row r="417" spans="1:11">
      <c r="A417">
        <v>330</v>
      </c>
      <c r="B417">
        <v>0.89</v>
      </c>
      <c r="C417">
        <f t="shared" si="45"/>
        <v>0.94526250187791261</v>
      </c>
      <c r="D417">
        <f t="shared" si="46"/>
        <v>3.0539441138062932E-3</v>
      </c>
      <c r="E417">
        <f t="shared" si="47"/>
        <v>3.4313978806812281E-3</v>
      </c>
    </row>
    <row r="418" spans="1:11">
      <c r="A418">
        <v>340</v>
      </c>
      <c r="B418">
        <v>0.9</v>
      </c>
      <c r="C418">
        <f t="shared" si="45"/>
        <v>0.96032792167047876</v>
      </c>
      <c r="D418">
        <f t="shared" si="46"/>
        <v>3.6394581330794176E-3</v>
      </c>
      <c r="E418">
        <f t="shared" si="47"/>
        <v>4.0438423700882419E-3</v>
      </c>
    </row>
    <row r="419" spans="1:11">
      <c r="B419">
        <f>SUM(B401:B418)</f>
        <v>7.29</v>
      </c>
      <c r="C419" s="6" t="s">
        <v>188</v>
      </c>
      <c r="D419" s="6">
        <f>SUM(D401:D418)</f>
        <v>1.8254550084702753E-2</v>
      </c>
      <c r="E419">
        <f>SUM(E401:E418)</f>
        <v>4.6585494786395239E-2</v>
      </c>
    </row>
    <row r="427" spans="1:11" ht="16.8">
      <c r="A427" s="1" t="s">
        <v>125</v>
      </c>
    </row>
    <row r="428" spans="1:11">
      <c r="A428" t="s">
        <v>135</v>
      </c>
    </row>
    <row r="429" spans="1:11">
      <c r="A429" t="s">
        <v>29</v>
      </c>
      <c r="B429" t="s">
        <v>43</v>
      </c>
      <c r="C429" t="s">
        <v>99</v>
      </c>
      <c r="D429" t="s">
        <v>120</v>
      </c>
      <c r="E429" t="s">
        <v>119</v>
      </c>
    </row>
    <row r="430" spans="1:11">
      <c r="A430">
        <v>0</v>
      </c>
      <c r="B430">
        <v>0</v>
      </c>
      <c r="C430">
        <f>(($K$437)*(EXP(($K$430)*(A430-$K$431))))/(1+EXP(($K$430)*(A430-$K$431))*($K$437))</f>
        <v>2.4954695581559146E-4</v>
      </c>
      <c r="D430">
        <f>(B430-C430)^2</f>
        <v>6.2273683156828753E-8</v>
      </c>
      <c r="E430">
        <v>0</v>
      </c>
      <c r="J430" s="6" t="s">
        <v>168</v>
      </c>
      <c r="K430" s="6">
        <v>3.3771266015779199E-2</v>
      </c>
    </row>
    <row r="431" spans="1:11">
      <c r="A431">
        <v>20</v>
      </c>
      <c r="B431">
        <v>0</v>
      </c>
      <c r="C431">
        <f t="shared" ref="C431:C447" si="48">(($K$437)*(EXP(($K$430)*(A431-$K$431))))/(1+EXP(($K$430)*(A431-$K$431))*($K$437))</f>
        <v>4.9020891944378424E-4</v>
      </c>
      <c r="D431">
        <f t="shared" ref="D431:D447" si="49">(B431-C431)^2</f>
        <v>2.4030478470224256E-7</v>
      </c>
      <c r="E431">
        <v>0</v>
      </c>
      <c r="J431" s="6" t="s">
        <v>169</v>
      </c>
      <c r="K431" s="6">
        <v>382.00475110056198</v>
      </c>
    </row>
    <row r="432" spans="1:11">
      <c r="A432">
        <v>30</v>
      </c>
      <c r="B432">
        <v>0</v>
      </c>
      <c r="C432">
        <f t="shared" si="48"/>
        <v>6.8700901238862738E-4</v>
      </c>
      <c r="D432">
        <f t="shared" si="49"/>
        <v>4.7198138310319716E-7</v>
      </c>
      <c r="E432">
        <v>0</v>
      </c>
    </row>
    <row r="433" spans="1:11">
      <c r="A433">
        <v>40</v>
      </c>
      <c r="B433">
        <v>0</v>
      </c>
      <c r="C433">
        <f t="shared" si="48"/>
        <v>9.627406986752932E-4</v>
      </c>
      <c r="D433">
        <f t="shared" si="49"/>
        <v>9.2686965288579169E-7</v>
      </c>
      <c r="E433">
        <v>0</v>
      </c>
      <c r="G433" s="6" t="s">
        <v>134</v>
      </c>
      <c r="H433" s="6">
        <f>(100/17)*E448</f>
        <v>0.27403232198348254</v>
      </c>
    </row>
    <row r="434" spans="1:11">
      <c r="A434">
        <v>50</v>
      </c>
      <c r="B434">
        <v>0</v>
      </c>
      <c r="C434">
        <f t="shared" si="48"/>
        <v>1.3489881571326935E-3</v>
      </c>
      <c r="D434">
        <f t="shared" si="49"/>
        <v>1.8197690480842606E-6</v>
      </c>
      <c r="E434" t="s">
        <v>189</v>
      </c>
    </row>
    <row r="435" spans="1:11">
      <c r="A435">
        <v>60</v>
      </c>
      <c r="B435">
        <v>0</v>
      </c>
      <c r="C435">
        <f t="shared" si="48"/>
        <v>1.8899033038601949E-3</v>
      </c>
      <c r="D435">
        <f t="shared" si="49"/>
        <v>3.5717344979416801E-6</v>
      </c>
      <c r="E435">
        <v>0</v>
      </c>
      <c r="J435" t="s">
        <v>105</v>
      </c>
      <c r="K435">
        <v>4</v>
      </c>
    </row>
    <row r="436" spans="1:11">
      <c r="A436">
        <v>90</v>
      </c>
      <c r="B436">
        <v>0</v>
      </c>
      <c r="C436">
        <f t="shared" si="48"/>
        <v>5.1880287309501961E-3</v>
      </c>
      <c r="D436">
        <f t="shared" si="49"/>
        <v>2.6915642113164701E-5</v>
      </c>
      <c r="E436">
        <v>0</v>
      </c>
      <c r="J436" t="s">
        <v>8</v>
      </c>
      <c r="K436">
        <v>4</v>
      </c>
    </row>
    <row r="437" spans="1:11">
      <c r="A437">
        <v>150</v>
      </c>
      <c r="B437">
        <v>0.02</v>
      </c>
      <c r="C437">
        <f t="shared" si="48"/>
        <v>3.8055029812644581E-2</v>
      </c>
      <c r="D437">
        <f t="shared" si="49"/>
        <v>3.2598410153548458E-4</v>
      </c>
      <c r="E437">
        <f>(B437-C437)^2/B437</f>
        <v>1.629920507677423E-2</v>
      </c>
      <c r="J437" t="s">
        <v>12</v>
      </c>
      <c r="K437">
        <v>100</v>
      </c>
    </row>
    <row r="438" spans="1:11">
      <c r="A438">
        <v>210</v>
      </c>
      <c r="B438">
        <v>0.28999999999999998</v>
      </c>
      <c r="C438">
        <f t="shared" si="48"/>
        <v>0.23082688993820602</v>
      </c>
      <c r="D438">
        <f t="shared" si="49"/>
        <v>3.5014569543851816E-3</v>
      </c>
      <c r="E438">
        <f t="shared" ref="E438:E447" si="50">(B438-C438)^2/B438</f>
        <v>1.2073989497879937E-2</v>
      </c>
      <c r="J438" t="s">
        <v>106</v>
      </c>
      <c r="K438">
        <v>19</v>
      </c>
    </row>
    <row r="439" spans="1:11">
      <c r="A439">
        <v>235</v>
      </c>
      <c r="B439">
        <v>0.45</v>
      </c>
      <c r="C439">
        <f t="shared" si="48"/>
        <v>0.41111295878484316</v>
      </c>
      <c r="D439">
        <f t="shared" si="49"/>
        <v>1.5122019744693075E-3</v>
      </c>
      <c r="E439">
        <f t="shared" si="50"/>
        <v>3.3604488321540165E-3</v>
      </c>
      <c r="J439" t="s">
        <v>107</v>
      </c>
      <c r="K439">
        <v>2</v>
      </c>
    </row>
    <row r="440" spans="1:11">
      <c r="A440">
        <v>260</v>
      </c>
      <c r="B440">
        <v>0.63</v>
      </c>
      <c r="C440">
        <f t="shared" si="48"/>
        <v>0.61890787319052354</v>
      </c>
      <c r="D440">
        <f t="shared" si="49"/>
        <v>1.2303527715750657E-4</v>
      </c>
      <c r="E440">
        <f t="shared" si="50"/>
        <v>1.952940907262009E-4</v>
      </c>
    </row>
    <row r="441" spans="1:11">
      <c r="A441">
        <v>280</v>
      </c>
      <c r="B441">
        <v>0.74</v>
      </c>
      <c r="C441">
        <f t="shared" si="48"/>
        <v>0.7613945984377648</v>
      </c>
      <c r="D441">
        <f t="shared" si="49"/>
        <v>4.5772884231320851E-4</v>
      </c>
      <c r="E441">
        <f t="shared" si="50"/>
        <v>6.1855248961244398E-4</v>
      </c>
    </row>
    <row r="442" spans="1:11">
      <c r="A442">
        <v>290</v>
      </c>
      <c r="B442">
        <v>0.79</v>
      </c>
      <c r="C442">
        <f t="shared" si="48"/>
        <v>0.81728394758326328</v>
      </c>
      <c r="D442">
        <f t="shared" si="49"/>
        <v>7.4441379572625635E-4</v>
      </c>
      <c r="E442">
        <f t="shared" si="50"/>
        <v>9.4229594395728647E-4</v>
      </c>
    </row>
    <row r="443" spans="1:11">
      <c r="A443">
        <v>300</v>
      </c>
      <c r="B443">
        <v>0.83</v>
      </c>
      <c r="C443">
        <f t="shared" si="48"/>
        <v>0.862447180517108</v>
      </c>
      <c r="D443">
        <f t="shared" si="49"/>
        <v>1.0528195235097958E-3</v>
      </c>
      <c r="E443">
        <f t="shared" si="50"/>
        <v>1.2684572572407178E-3</v>
      </c>
    </row>
    <row r="444" spans="1:11">
      <c r="A444">
        <v>315</v>
      </c>
      <c r="B444">
        <v>0.87</v>
      </c>
      <c r="C444">
        <f t="shared" si="48"/>
        <v>0.9123230340353925</v>
      </c>
      <c r="D444">
        <f t="shared" si="49"/>
        <v>1.7912392099609922E-3</v>
      </c>
      <c r="E444">
        <f t="shared" si="50"/>
        <v>2.0588956436333244E-3</v>
      </c>
    </row>
    <row r="445" spans="1:11">
      <c r="A445">
        <v>320</v>
      </c>
      <c r="B445">
        <v>0.88</v>
      </c>
      <c r="C445">
        <f t="shared" si="48"/>
        <v>0.92492265314881206</v>
      </c>
      <c r="D445">
        <f t="shared" si="49"/>
        <v>2.0180447659284735E-3</v>
      </c>
      <c r="E445">
        <f t="shared" si="50"/>
        <v>2.2932326885550837E-3</v>
      </c>
    </row>
    <row r="446" spans="1:11">
      <c r="A446">
        <v>330</v>
      </c>
      <c r="B446">
        <v>0.89</v>
      </c>
      <c r="C446">
        <f t="shared" si="48"/>
        <v>0.94526199644706665</v>
      </c>
      <c r="D446">
        <f t="shared" si="49"/>
        <v>3.0538882513156062E-3</v>
      </c>
      <c r="E446">
        <f t="shared" si="50"/>
        <v>3.4313351138377597E-3</v>
      </c>
    </row>
    <row r="447" spans="1:11">
      <c r="A447">
        <v>340</v>
      </c>
      <c r="B447">
        <v>0.9</v>
      </c>
      <c r="C447">
        <f t="shared" si="48"/>
        <v>0.96032751687695206</v>
      </c>
      <c r="D447">
        <f t="shared" si="49"/>
        <v>3.6394092925389329E-3</v>
      </c>
      <c r="E447">
        <f t="shared" si="50"/>
        <v>4.0437881028210368E-3</v>
      </c>
    </row>
    <row r="448" spans="1:11">
      <c r="D448" s="6">
        <f>SUM(D430:D447)</f>
        <v>1.8254230564003784E-2</v>
      </c>
      <c r="E448">
        <f>SUM(E430:E447)</f>
        <v>4.6585494737192028E-2</v>
      </c>
    </row>
    <row r="450" spans="1:11" ht="15.75" customHeight="1">
      <c r="A450" t="s">
        <v>135</v>
      </c>
    </row>
    <row r="451" spans="1:11" ht="15.75" customHeight="1">
      <c r="A451" t="s">
        <v>29</v>
      </c>
      <c r="B451" t="s">
        <v>43</v>
      </c>
      <c r="C451" t="s">
        <v>99</v>
      </c>
      <c r="D451" t="s">
        <v>120</v>
      </c>
      <c r="E451" t="s">
        <v>119</v>
      </c>
    </row>
    <row r="452" spans="1:11" ht="15.75" customHeight="1">
      <c r="A452">
        <v>0</v>
      </c>
      <c r="B452">
        <v>0</v>
      </c>
      <c r="C452">
        <f>(($K$437)*(EXP(($K$430)*(A452-$K$431))))/(1+EXP(($K$430)*(A452-$K$431))*($K$437))</f>
        <v>2.4954695581559146E-4</v>
      </c>
      <c r="D452">
        <f>(B452-C452)^2</f>
        <v>6.2273683156828753E-8</v>
      </c>
      <c r="E452">
        <v>0</v>
      </c>
      <c r="J452" s="6" t="s">
        <v>168</v>
      </c>
      <c r="K452" s="6">
        <v>3.3771266015779199E-2</v>
      </c>
    </row>
    <row r="453" spans="1:11" ht="15.75" customHeight="1">
      <c r="A453">
        <v>20</v>
      </c>
      <c r="B453">
        <v>0</v>
      </c>
      <c r="C453">
        <f t="shared" ref="C453:C469" si="51">(($K$437)*(EXP(($K$430)*(A453-$K$431))))/(1+EXP(($K$430)*(A453-$K$431))*($K$437))</f>
        <v>4.9020891944378424E-4</v>
      </c>
      <c r="D453">
        <f t="shared" ref="D453:D469" si="52">(B453-C453)^2</f>
        <v>2.4030478470224256E-7</v>
      </c>
      <c r="E453">
        <v>0</v>
      </c>
      <c r="J453" s="6" t="s">
        <v>169</v>
      </c>
      <c r="K453" s="6">
        <v>382.00475110056198</v>
      </c>
    </row>
    <row r="454" spans="1:11" ht="15.75" customHeight="1">
      <c r="A454">
        <v>30</v>
      </c>
      <c r="B454">
        <v>0</v>
      </c>
      <c r="C454">
        <f t="shared" si="51"/>
        <v>6.8700901238862738E-4</v>
      </c>
      <c r="D454">
        <f t="shared" si="52"/>
        <v>4.7198138310319716E-7</v>
      </c>
      <c r="E454">
        <v>0</v>
      </c>
    </row>
    <row r="455" spans="1:11" ht="15.75" customHeight="1">
      <c r="A455">
        <v>40</v>
      </c>
      <c r="B455">
        <v>0</v>
      </c>
      <c r="C455">
        <f t="shared" si="51"/>
        <v>9.627406986752932E-4</v>
      </c>
      <c r="D455">
        <f t="shared" si="52"/>
        <v>9.2686965288579169E-7</v>
      </c>
      <c r="E455">
        <v>0</v>
      </c>
      <c r="G455" s="6" t="s">
        <v>129</v>
      </c>
      <c r="H455" s="6">
        <f>(100/19)*E470</f>
        <v>0.24518681440627385</v>
      </c>
    </row>
    <row r="456" spans="1:11" ht="15.75" customHeight="1">
      <c r="A456">
        <v>50</v>
      </c>
      <c r="B456">
        <v>0</v>
      </c>
      <c r="C456">
        <f t="shared" si="51"/>
        <v>1.3489881571326935E-3</v>
      </c>
      <c r="D456">
        <f t="shared" si="52"/>
        <v>1.8197690480842606E-6</v>
      </c>
      <c r="E456">
        <v>0</v>
      </c>
    </row>
    <row r="457" spans="1:11" ht="15.75" customHeight="1">
      <c r="A457">
        <v>60</v>
      </c>
      <c r="B457">
        <v>0</v>
      </c>
      <c r="C457">
        <f t="shared" si="51"/>
        <v>1.8899033038601949E-3</v>
      </c>
      <c r="D457">
        <f t="shared" si="52"/>
        <v>3.5717344979416801E-6</v>
      </c>
      <c r="E457">
        <v>0</v>
      </c>
      <c r="J457" t="s">
        <v>105</v>
      </c>
      <c r="K457">
        <v>4</v>
      </c>
    </row>
    <row r="458" spans="1:11" ht="15.75" customHeight="1">
      <c r="A458">
        <v>90</v>
      </c>
      <c r="B458">
        <v>0</v>
      </c>
      <c r="C458">
        <f t="shared" si="51"/>
        <v>5.1880287309501961E-3</v>
      </c>
      <c r="D458">
        <f t="shared" si="52"/>
        <v>2.6915642113164701E-5</v>
      </c>
      <c r="E458">
        <v>0</v>
      </c>
      <c r="J458" t="s">
        <v>8</v>
      </c>
      <c r="K458">
        <v>4</v>
      </c>
    </row>
    <row r="459" spans="1:11" ht="15.75" customHeight="1">
      <c r="A459">
        <v>150</v>
      </c>
      <c r="B459">
        <v>0.02</v>
      </c>
      <c r="C459">
        <f t="shared" si="51"/>
        <v>3.8055029812644581E-2</v>
      </c>
      <c r="D459">
        <f t="shared" si="52"/>
        <v>3.2598410153548458E-4</v>
      </c>
      <c r="E459">
        <f>(B459-C459)^2/B459</f>
        <v>1.629920507677423E-2</v>
      </c>
      <c r="J459" t="s">
        <v>12</v>
      </c>
      <c r="K459">
        <v>100</v>
      </c>
    </row>
    <row r="460" spans="1:11" ht="15.75" customHeight="1">
      <c r="A460">
        <v>210</v>
      </c>
      <c r="B460">
        <v>0.28999999999999998</v>
      </c>
      <c r="C460">
        <f t="shared" si="51"/>
        <v>0.23082688993820602</v>
      </c>
      <c r="D460">
        <f t="shared" si="52"/>
        <v>3.5014569543851816E-3</v>
      </c>
      <c r="E460">
        <f t="shared" ref="E460:E469" si="53">(B460-C460)^2/B460</f>
        <v>1.2073989497879937E-2</v>
      </c>
      <c r="J460" t="s">
        <v>106</v>
      </c>
      <c r="K460">
        <v>19</v>
      </c>
    </row>
    <row r="461" spans="1:11" ht="15.75" customHeight="1">
      <c r="A461">
        <v>235</v>
      </c>
      <c r="B461">
        <v>0.45</v>
      </c>
      <c r="C461">
        <f t="shared" si="51"/>
        <v>0.41111295878484316</v>
      </c>
      <c r="D461">
        <f t="shared" si="52"/>
        <v>1.5122019744693075E-3</v>
      </c>
      <c r="E461">
        <f t="shared" si="53"/>
        <v>3.3604488321540165E-3</v>
      </c>
      <c r="J461" t="s">
        <v>107</v>
      </c>
      <c r="K461">
        <v>2</v>
      </c>
    </row>
    <row r="462" spans="1:11" ht="15.75" customHeight="1">
      <c r="A462">
        <v>260</v>
      </c>
      <c r="B462">
        <v>0.63</v>
      </c>
      <c r="C462">
        <f t="shared" si="51"/>
        <v>0.61890787319052354</v>
      </c>
      <c r="D462">
        <f t="shared" si="52"/>
        <v>1.2303527715750657E-4</v>
      </c>
      <c r="E462">
        <f t="shared" si="53"/>
        <v>1.952940907262009E-4</v>
      </c>
    </row>
    <row r="463" spans="1:11" ht="15.75" customHeight="1">
      <c r="A463">
        <v>280</v>
      </c>
      <c r="B463">
        <v>0.74</v>
      </c>
      <c r="C463">
        <f t="shared" si="51"/>
        <v>0.7613945984377648</v>
      </c>
      <c r="D463">
        <f t="shared" si="52"/>
        <v>4.5772884231320851E-4</v>
      </c>
      <c r="E463">
        <f t="shared" si="53"/>
        <v>6.1855248961244398E-4</v>
      </c>
    </row>
    <row r="464" spans="1:11" ht="15.75" customHeight="1">
      <c r="A464">
        <v>290</v>
      </c>
      <c r="B464">
        <v>0.79</v>
      </c>
      <c r="C464">
        <f t="shared" si="51"/>
        <v>0.81728394758326328</v>
      </c>
      <c r="D464">
        <f t="shared" si="52"/>
        <v>7.4441379572625635E-4</v>
      </c>
      <c r="E464">
        <f t="shared" si="53"/>
        <v>9.4229594395728647E-4</v>
      </c>
    </row>
    <row r="465" spans="1:11" ht="15.75" customHeight="1">
      <c r="A465">
        <v>300</v>
      </c>
      <c r="B465">
        <v>0.83</v>
      </c>
      <c r="C465">
        <f t="shared" si="51"/>
        <v>0.862447180517108</v>
      </c>
      <c r="D465">
        <f t="shared" si="52"/>
        <v>1.0528195235097958E-3</v>
      </c>
      <c r="E465">
        <f t="shared" si="53"/>
        <v>1.2684572572407178E-3</v>
      </c>
    </row>
    <row r="466" spans="1:11" ht="15.75" customHeight="1">
      <c r="A466">
        <v>315</v>
      </c>
      <c r="B466">
        <v>0.87</v>
      </c>
      <c r="C466">
        <f t="shared" si="51"/>
        <v>0.9123230340353925</v>
      </c>
      <c r="D466">
        <f t="shared" si="52"/>
        <v>1.7912392099609922E-3</v>
      </c>
      <c r="E466">
        <f t="shared" si="53"/>
        <v>2.0588956436333244E-3</v>
      </c>
    </row>
    <row r="467" spans="1:11" ht="15.75" customHeight="1">
      <c r="A467">
        <v>320</v>
      </c>
      <c r="B467">
        <v>0.88</v>
      </c>
      <c r="C467">
        <f t="shared" si="51"/>
        <v>0.92492265314881206</v>
      </c>
      <c r="D467">
        <f t="shared" si="52"/>
        <v>2.0180447659284735E-3</v>
      </c>
      <c r="E467">
        <f t="shared" si="53"/>
        <v>2.2932326885550837E-3</v>
      </c>
    </row>
    <row r="468" spans="1:11" ht="15.75" customHeight="1">
      <c r="A468">
        <v>330</v>
      </c>
      <c r="B468">
        <v>0.89</v>
      </c>
      <c r="C468">
        <f t="shared" si="51"/>
        <v>0.94526199644706665</v>
      </c>
      <c r="D468">
        <f t="shared" si="52"/>
        <v>3.0538882513156062E-3</v>
      </c>
      <c r="E468">
        <f t="shared" si="53"/>
        <v>3.4313351138377597E-3</v>
      </c>
    </row>
    <row r="469" spans="1:11" ht="15.75" customHeight="1">
      <c r="A469">
        <v>340</v>
      </c>
      <c r="B469">
        <v>0.9</v>
      </c>
      <c r="C469">
        <f t="shared" si="51"/>
        <v>0.96032751687695206</v>
      </c>
      <c r="D469">
        <f t="shared" si="52"/>
        <v>3.6394092925389329E-3</v>
      </c>
      <c r="E469">
        <f t="shared" si="53"/>
        <v>4.0437881028210368E-3</v>
      </c>
    </row>
    <row r="470" spans="1:11" ht="15.75" customHeight="1">
      <c r="E470">
        <f>SUM(E452:E469)</f>
        <v>4.6585494737192028E-2</v>
      </c>
    </row>
    <row r="471" spans="1:11" ht="15.75" customHeight="1"/>
    <row r="472" spans="1:11" ht="15.75" customHeight="1"/>
    <row r="473" spans="1:11" ht="15.75" customHeight="1"/>
    <row r="474" spans="1:11" ht="15.75" customHeight="1"/>
    <row r="475" spans="1:11" ht="15.75" customHeight="1"/>
    <row r="476" spans="1:11">
      <c r="A476" t="s">
        <v>29</v>
      </c>
      <c r="B476" t="s">
        <v>43</v>
      </c>
      <c r="C476" t="s">
        <v>112</v>
      </c>
      <c r="D476" t="s">
        <v>120</v>
      </c>
      <c r="E476" t="s">
        <v>137</v>
      </c>
    </row>
    <row r="477" spans="1:11">
      <c r="A477">
        <v>0</v>
      </c>
      <c r="B477">
        <v>0</v>
      </c>
      <c r="C477">
        <f>(($K$483)*(EXP(($K$478)*(A477-$K$479))))/(1+EXP(($K$478)*(A477-$K$479))*($K$483))</f>
        <v>3.481526372240789E-2</v>
      </c>
      <c r="D477">
        <f>(B477-C477)^2</f>
        <v>1.2121025880608108E-3</v>
      </c>
      <c r="E477">
        <f>ABS(B477-C477)</f>
        <v>3.481526372240789E-2</v>
      </c>
    </row>
    <row r="478" spans="1:11">
      <c r="A478">
        <v>10</v>
      </c>
      <c r="B478">
        <v>0</v>
      </c>
      <c r="C478">
        <f t="shared" ref="C478:C485" si="54">(($K$483)*(EXP(($K$478)*(A478-$K$479))))/(1+EXP(($K$478)*(A478-$K$479))*($K$483))</f>
        <v>6.9511072135372748E-2</v>
      </c>
      <c r="D478">
        <f t="shared" ref="D478:D485" si="55">(B478-C478)^2</f>
        <v>4.8317891494089934E-3</v>
      </c>
      <c r="E478">
        <f t="shared" ref="E478:E485" si="56">ABS(B478-C478)</f>
        <v>6.9511072135372748E-2</v>
      </c>
      <c r="J478" s="6" t="s">
        <v>168</v>
      </c>
      <c r="K478" s="6">
        <v>7.2803949053896894E-2</v>
      </c>
    </row>
    <row r="479" spans="1:11">
      <c r="A479">
        <v>20</v>
      </c>
      <c r="B479">
        <v>0.08</v>
      </c>
      <c r="C479">
        <f t="shared" si="54"/>
        <v>0.13398380960737083</v>
      </c>
      <c r="D479">
        <f t="shared" si="55"/>
        <v>2.9142516997248628E-3</v>
      </c>
      <c r="E479">
        <f t="shared" si="56"/>
        <v>5.3983809607370828E-2</v>
      </c>
      <c r="J479" s="6" t="s">
        <v>169</v>
      </c>
      <c r="K479" s="6">
        <v>108.88741483464</v>
      </c>
    </row>
    <row r="480" spans="1:11">
      <c r="A480">
        <v>30</v>
      </c>
      <c r="B480">
        <v>0.32</v>
      </c>
      <c r="C480">
        <f t="shared" si="54"/>
        <v>0.2426610774260374</v>
      </c>
      <c r="D480">
        <f t="shared" si="55"/>
        <v>5.9813089449013822E-3</v>
      </c>
      <c r="E480">
        <f t="shared" si="56"/>
        <v>7.7338922573962604E-2</v>
      </c>
      <c r="G480" s="6" t="s">
        <v>132</v>
      </c>
      <c r="H480" s="6">
        <f>E486</f>
        <v>0.5856443882874911</v>
      </c>
    </row>
    <row r="481" spans="1:11">
      <c r="A481">
        <v>48</v>
      </c>
      <c r="B481">
        <v>0.62</v>
      </c>
      <c r="C481">
        <f t="shared" si="54"/>
        <v>0.5429751871020686</v>
      </c>
      <c r="D481">
        <f t="shared" si="55"/>
        <v>5.9328218019613381E-3</v>
      </c>
      <c r="E481">
        <f t="shared" si="56"/>
        <v>7.7024812897931394E-2</v>
      </c>
    </row>
    <row r="482" spans="1:11">
      <c r="A482">
        <v>60</v>
      </c>
      <c r="B482">
        <v>0.74</v>
      </c>
      <c r="C482">
        <f t="shared" si="54"/>
        <v>0.74000091809472113</v>
      </c>
      <c r="D482">
        <f t="shared" si="55"/>
        <v>8.4289791697823444E-13</v>
      </c>
      <c r="E482">
        <f t="shared" si="56"/>
        <v>9.1809472113624224E-7</v>
      </c>
    </row>
    <row r="483" spans="1:11">
      <c r="A483">
        <v>85</v>
      </c>
      <c r="B483">
        <v>0.86</v>
      </c>
      <c r="C483">
        <f t="shared" si="54"/>
        <v>0.94614354618850527</v>
      </c>
      <c r="D483">
        <f t="shared" si="55"/>
        <v>7.4207105499311428E-3</v>
      </c>
      <c r="E483">
        <f t="shared" si="56"/>
        <v>8.6143546188505282E-2</v>
      </c>
      <c r="J483" t="s">
        <v>12</v>
      </c>
      <c r="K483">
        <v>100</v>
      </c>
    </row>
    <row r="484" spans="1:11">
      <c r="A484">
        <v>100</v>
      </c>
      <c r="B484">
        <v>0.89</v>
      </c>
      <c r="C484">
        <f t="shared" si="54"/>
        <v>0.98125915604205693</v>
      </c>
      <c r="D484">
        <f t="shared" si="55"/>
        <v>8.3282335615084951E-3</v>
      </c>
      <c r="E484">
        <f t="shared" si="56"/>
        <v>9.1259156042056921E-2</v>
      </c>
      <c r="J484" t="s">
        <v>8</v>
      </c>
      <c r="K484">
        <v>12</v>
      </c>
    </row>
    <row r="485" spans="1:11">
      <c r="A485">
        <v>120</v>
      </c>
      <c r="B485">
        <v>0.9</v>
      </c>
      <c r="C485">
        <f t="shared" si="54"/>
        <v>0.99556688702516227</v>
      </c>
      <c r="D485">
        <f t="shared" si="55"/>
        <v>9.1330298956801247E-3</v>
      </c>
      <c r="E485">
        <f t="shared" si="56"/>
        <v>9.556688702516225E-2</v>
      </c>
      <c r="J485" t="s">
        <v>105</v>
      </c>
      <c r="K485">
        <v>4</v>
      </c>
    </row>
    <row r="486" spans="1:11">
      <c r="D486" s="6">
        <f>SUM(D477:D485)</f>
        <v>4.575424819202005E-2</v>
      </c>
      <c r="E486">
        <f>SUM(E477:E485)</f>
        <v>0.5856443882874911</v>
      </c>
    </row>
    <row r="493" spans="1:11" ht="16.8">
      <c r="A493" s="10" t="s">
        <v>141</v>
      </c>
    </row>
    <row r="494" spans="1:11">
      <c r="B494" t="s">
        <v>55</v>
      </c>
    </row>
    <row r="495" spans="1:11">
      <c r="A495" t="s">
        <v>29</v>
      </c>
      <c r="B495" t="s">
        <v>43</v>
      </c>
      <c r="C495" t="s">
        <v>112</v>
      </c>
      <c r="D495" t="s">
        <v>120</v>
      </c>
      <c r="E495" t="s">
        <v>119</v>
      </c>
    </row>
    <row r="496" spans="1:11">
      <c r="A496">
        <v>0</v>
      </c>
      <c r="B496">
        <v>0</v>
      </c>
      <c r="C496">
        <f>(($K$502)*(EXP(($K$497)*(A496-$K$498))))/(1+EXP(($K$497)*(A496-$K$498))*($K$502))</f>
        <v>1.2017321883158672E-2</v>
      </c>
      <c r="D496">
        <f>(B496-C496)^2</f>
        <v>1.4441602524344429E-4</v>
      </c>
      <c r="E496">
        <f>(B496-C$147)^2</f>
        <v>0</v>
      </c>
    </row>
    <row r="497" spans="1:11">
      <c r="A497">
        <v>10</v>
      </c>
      <c r="B497">
        <v>0</v>
      </c>
      <c r="C497">
        <f t="shared" ref="C497:C504" si="57">(($K$502)*(EXP(($K$497)*(A497-$K$498))))/(1+EXP(($K$497)*(A497-$K$498))*($K$502))</f>
        <v>3.3454198553685942E-2</v>
      </c>
      <c r="D497">
        <f t="shared" ref="D497:D504" si="58">(B497-C497)^2</f>
        <v>1.1191834008694426E-3</v>
      </c>
      <c r="E497">
        <f>(B497-C$147)^2</f>
        <v>0</v>
      </c>
      <c r="J497" s="6" t="s">
        <v>168</v>
      </c>
      <c r="K497" s="6">
        <v>0.10457646755981399</v>
      </c>
    </row>
    <row r="498" spans="1:11">
      <c r="A498">
        <v>20</v>
      </c>
      <c r="B498">
        <v>0.08</v>
      </c>
      <c r="C498">
        <f t="shared" si="57"/>
        <v>8.9660547064328036E-2</v>
      </c>
      <c r="D498">
        <f t="shared" si="58"/>
        <v>9.3326169582097002E-5</v>
      </c>
      <c r="E498">
        <f>((B498-C498)/B498)^2</f>
        <v>1.4582213997202657E-2</v>
      </c>
      <c r="J498" s="6" t="s">
        <v>169</v>
      </c>
      <c r="K498" s="6">
        <v>86.199949782538297</v>
      </c>
    </row>
    <row r="499" spans="1:11">
      <c r="A499">
        <v>30</v>
      </c>
      <c r="B499">
        <v>0.32</v>
      </c>
      <c r="C499">
        <f t="shared" si="57"/>
        <v>0.21891130880315984</v>
      </c>
      <c r="D499">
        <f t="shared" si="58"/>
        <v>1.021892348789011E-2</v>
      </c>
      <c r="E499">
        <f t="shared" ref="E499:E504" si="59">((B499-C499)/B499)^2</f>
        <v>9.9794174686426845E-2</v>
      </c>
      <c r="G499" t="s">
        <v>121</v>
      </c>
      <c r="H499">
        <f>(100)*(1/7)^(0.5)*(F502)^(0.5)</f>
        <v>2.2073354093252053</v>
      </c>
    </row>
    <row r="500" spans="1:11">
      <c r="A500">
        <v>48</v>
      </c>
      <c r="B500">
        <v>0.62</v>
      </c>
      <c r="C500">
        <f t="shared" si="57"/>
        <v>0.64802163597356088</v>
      </c>
      <c r="D500">
        <f t="shared" si="58"/>
        <v>7.8521208263476164E-4</v>
      </c>
      <c r="E500">
        <f t="shared" si="59"/>
        <v>2.0426953242319501E-3</v>
      </c>
    </row>
    <row r="501" spans="1:11">
      <c r="A501">
        <v>60</v>
      </c>
      <c r="B501">
        <v>0.74</v>
      </c>
      <c r="C501">
        <f t="shared" si="57"/>
        <v>0.86591025854309522</v>
      </c>
      <c r="D501">
        <f t="shared" si="58"/>
        <v>1.5853393206389087E-2</v>
      </c>
      <c r="E501">
        <f t="shared" si="59"/>
        <v>2.8950681531024629E-2</v>
      </c>
    </row>
    <row r="502" spans="1:11">
      <c r="A502">
        <v>85</v>
      </c>
      <c r="B502">
        <v>0.86</v>
      </c>
      <c r="C502">
        <f t="shared" si="57"/>
        <v>0.98879008801129686</v>
      </c>
      <c r="D502">
        <f t="shared" si="58"/>
        <v>1.6586886769957596E-2</v>
      </c>
      <c r="E502">
        <f t="shared" si="59"/>
        <v>2.2426834464518111E-2</v>
      </c>
      <c r="F502">
        <f>D505/B505^2</f>
        <v>3.4106307264826106E-3</v>
      </c>
      <c r="J502" t="s">
        <v>12</v>
      </c>
      <c r="K502">
        <v>100</v>
      </c>
    </row>
    <row r="503" spans="1:11">
      <c r="A503">
        <v>100</v>
      </c>
      <c r="B503">
        <v>0.89</v>
      </c>
      <c r="C503">
        <f t="shared" si="57"/>
        <v>0.99764376366559249</v>
      </c>
      <c r="D503">
        <f t="shared" si="58"/>
        <v>1.1587179856093926E-2</v>
      </c>
      <c r="E503">
        <f t="shared" si="59"/>
        <v>1.4628430572016066E-2</v>
      </c>
      <c r="J503" t="s">
        <v>8</v>
      </c>
      <c r="K503">
        <v>12</v>
      </c>
    </row>
    <row r="504" spans="1:11">
      <c r="A504">
        <v>120</v>
      </c>
      <c r="B504">
        <v>0.9</v>
      </c>
      <c r="C504">
        <f t="shared" si="57"/>
        <v>0.99970840703293784</v>
      </c>
      <c r="D504">
        <f t="shared" si="58"/>
        <v>9.941766433046003E-3</v>
      </c>
      <c r="E504">
        <f t="shared" si="59"/>
        <v>1.2273785719809879E-2</v>
      </c>
      <c r="J504" t="s">
        <v>105</v>
      </c>
      <c r="K504">
        <v>4</v>
      </c>
    </row>
    <row r="505" spans="1:11">
      <c r="B505">
        <f>SUM(B496:B504)</f>
        <v>4.41</v>
      </c>
      <c r="D505">
        <f>SUM(D496:D504)</f>
        <v>6.6330287431706464E-2</v>
      </c>
      <c r="E505">
        <f>SUM(E496:E504)</f>
        <v>0.19469881629523014</v>
      </c>
    </row>
    <row r="513" spans="1:11" ht="16.8">
      <c r="A513" s="1" t="s">
        <v>125</v>
      </c>
    </row>
    <row r="514" spans="1:11">
      <c r="B514" t="s">
        <v>55</v>
      </c>
    </row>
    <row r="515" spans="1:11">
      <c r="A515" t="s">
        <v>29</v>
      </c>
      <c r="B515" t="s">
        <v>43</v>
      </c>
      <c r="C515" t="s">
        <v>112</v>
      </c>
      <c r="D515" t="s">
        <v>120</v>
      </c>
      <c r="E515" t="s">
        <v>101</v>
      </c>
    </row>
    <row r="516" spans="1:11">
      <c r="A516">
        <v>0</v>
      </c>
      <c r="B516">
        <v>0</v>
      </c>
      <c r="C516">
        <f>(($K$522)*(EXP(($K$517)*(A516-$K$518))))/(1+EXP(($K$517)*(A516-$K$518))*($K$522))</f>
        <v>2.2711280228921174E-2</v>
      </c>
      <c r="D516">
        <f>(B516-C516)^2</f>
        <v>5.1580224963658581E-4</v>
      </c>
      <c r="E516">
        <f>(B516-C$147)^2</f>
        <v>0</v>
      </c>
    </row>
    <row r="517" spans="1:11">
      <c r="A517">
        <v>10</v>
      </c>
      <c r="B517">
        <v>0</v>
      </c>
      <c r="C517">
        <f t="shared" ref="C517:C524" si="60">(($K$522)*(EXP(($K$517)*(A517-$K$518))))/(1+EXP(($K$517)*(A517-$K$518))*($K$522))</f>
        <v>5.1936883290431425E-2</v>
      </c>
      <c r="D517">
        <f t="shared" ref="D517:D524" si="61">(B517-C517)^2</f>
        <v>2.697439845923895E-3</v>
      </c>
      <c r="E517">
        <f>(B517-C$147)^2</f>
        <v>0</v>
      </c>
      <c r="J517" s="6" t="s">
        <v>168</v>
      </c>
      <c r="K517" s="6">
        <v>8.5752851722367907E-2</v>
      </c>
    </row>
    <row r="518" spans="1:11">
      <c r="A518">
        <v>20</v>
      </c>
      <c r="B518">
        <v>0.08</v>
      </c>
      <c r="C518">
        <f t="shared" si="60"/>
        <v>0.1143697048647722</v>
      </c>
      <c r="D518">
        <f t="shared" si="61"/>
        <v>1.1812766124915457E-3</v>
      </c>
      <c r="E518">
        <f>(B518-C518)^2/B518</f>
        <v>1.4765957656144321E-2</v>
      </c>
      <c r="J518" s="6" t="s">
        <v>169</v>
      </c>
      <c r="K518" s="6">
        <v>97.572155508870907</v>
      </c>
    </row>
    <row r="519" spans="1:11">
      <c r="A519">
        <v>30</v>
      </c>
      <c r="B519">
        <v>0.32</v>
      </c>
      <c r="C519">
        <f t="shared" si="60"/>
        <v>0.23337791915487099</v>
      </c>
      <c r="D519">
        <f t="shared" si="61"/>
        <v>7.5033848899400662E-3</v>
      </c>
      <c r="E519">
        <f t="shared" ref="E519:E524" si="62">(B519-C519)^2/B519</f>
        <v>2.3448077781062705E-2</v>
      </c>
    </row>
    <row r="520" spans="1:11">
      <c r="A520">
        <v>48</v>
      </c>
      <c r="B520">
        <v>0.62</v>
      </c>
      <c r="C520">
        <f t="shared" si="60"/>
        <v>0.58763969075305489</v>
      </c>
      <c r="D520">
        <f t="shared" si="61"/>
        <v>1.0471896145579211E-3</v>
      </c>
      <c r="E520">
        <f t="shared" si="62"/>
        <v>1.6890155073514856E-3</v>
      </c>
      <c r="G520" s="6" t="s">
        <v>134</v>
      </c>
      <c r="H520" s="6">
        <f>(100/7)*E525</f>
        <v>1.1656911499321925</v>
      </c>
    </row>
    <row r="521" spans="1:11">
      <c r="A521">
        <v>60</v>
      </c>
      <c r="B521">
        <v>0.74</v>
      </c>
      <c r="C521">
        <f t="shared" si="60"/>
        <v>0.79951257044621404</v>
      </c>
      <c r="D521">
        <f t="shared" si="61"/>
        <v>3.5417460411155902E-3</v>
      </c>
      <c r="E521">
        <f t="shared" si="62"/>
        <v>4.786143298804852E-3</v>
      </c>
    </row>
    <row r="522" spans="1:11">
      <c r="A522">
        <v>85</v>
      </c>
      <c r="B522">
        <v>0.86</v>
      </c>
      <c r="C522">
        <f t="shared" si="60"/>
        <v>0.97144831184533997</v>
      </c>
      <c r="D522">
        <f t="shared" si="61"/>
        <v>1.2420726213176149E-2</v>
      </c>
      <c r="E522">
        <f t="shared" si="62"/>
        <v>1.4442704899042034E-2</v>
      </c>
      <c r="J522" t="s">
        <v>12</v>
      </c>
      <c r="K522">
        <v>100</v>
      </c>
    </row>
    <row r="523" spans="1:11">
      <c r="A523">
        <v>100</v>
      </c>
      <c r="B523">
        <v>0.89</v>
      </c>
      <c r="C523">
        <f t="shared" si="60"/>
        <v>0.99194492112973454</v>
      </c>
      <c r="D523">
        <f t="shared" si="61"/>
        <v>1.0392766944147792E-2</v>
      </c>
      <c r="E523">
        <f t="shared" si="62"/>
        <v>1.1677266229379542E-2</v>
      </c>
      <c r="J523" t="s">
        <v>8</v>
      </c>
      <c r="K523">
        <v>12</v>
      </c>
    </row>
    <row r="524" spans="1:11">
      <c r="A524">
        <v>120</v>
      </c>
      <c r="B524">
        <v>0.9</v>
      </c>
      <c r="C524">
        <f t="shared" si="60"/>
        <v>0.99854082205422112</v>
      </c>
      <c r="D524">
        <f t="shared" si="61"/>
        <v>9.7102936111216672E-3</v>
      </c>
      <c r="E524">
        <f t="shared" si="62"/>
        <v>1.078921512346852E-2</v>
      </c>
      <c r="J524" t="s">
        <v>105</v>
      </c>
      <c r="K524">
        <v>4</v>
      </c>
    </row>
    <row r="525" spans="1:11">
      <c r="D525">
        <f>SUM(D516:D524)</f>
        <v>4.9010626022111217E-2</v>
      </c>
      <c r="E525">
        <f>SUM(E516:E524)</f>
        <v>8.1598380495253461E-2</v>
      </c>
      <c r="I525" s="6" t="s">
        <v>100</v>
      </c>
      <c r="J525" s="6"/>
      <c r="K525" s="6">
        <f>D525</f>
        <v>4.9010626022111217E-2</v>
      </c>
    </row>
    <row r="530" spans="1:11">
      <c r="B530" t="s">
        <v>55</v>
      </c>
    </row>
    <row r="531" spans="1:11">
      <c r="A531" t="s">
        <v>29</v>
      </c>
      <c r="B531" t="s">
        <v>43</v>
      </c>
      <c r="C531" t="s">
        <v>112</v>
      </c>
      <c r="D531" t="s">
        <v>120</v>
      </c>
      <c r="E531" t="s">
        <v>101</v>
      </c>
    </row>
    <row r="532" spans="1:11">
      <c r="A532">
        <v>0</v>
      </c>
      <c r="B532">
        <v>0</v>
      </c>
      <c r="C532">
        <f>(($K$538)*(EXP(($K$533)*(A532-$K$534))))/(1+EXP(($K$533)*(A532-$K$534))*($K$538))</f>
        <v>2.2711280228921174E-2</v>
      </c>
      <c r="D532">
        <f>(B532-C532)^2</f>
        <v>5.1580224963658581E-4</v>
      </c>
      <c r="E532">
        <f>(B532-C$147)^2</f>
        <v>0</v>
      </c>
    </row>
    <row r="533" spans="1:11">
      <c r="A533">
        <v>10</v>
      </c>
      <c r="B533">
        <v>0</v>
      </c>
      <c r="C533">
        <f t="shared" ref="C533:C540" si="63">(($K$538)*(EXP(($K$533)*(A533-$K$534))))/(1+EXP(($K$533)*(A533-$K$534))*($K$538))</f>
        <v>5.1936883290431425E-2</v>
      </c>
      <c r="D533">
        <f t="shared" ref="D533:D540" si="64">(B533-C533)^2</f>
        <v>2.697439845923895E-3</v>
      </c>
      <c r="E533">
        <f>(B533-C$147)^2</f>
        <v>0</v>
      </c>
      <c r="J533" s="6" t="s">
        <v>168</v>
      </c>
      <c r="K533" s="6">
        <v>8.5752851722367907E-2</v>
      </c>
    </row>
    <row r="534" spans="1:11">
      <c r="A534">
        <v>20</v>
      </c>
      <c r="B534">
        <v>0.08</v>
      </c>
      <c r="C534">
        <f t="shared" si="63"/>
        <v>0.1143697048647722</v>
      </c>
      <c r="D534">
        <f t="shared" si="64"/>
        <v>1.1812766124915457E-3</v>
      </c>
      <c r="E534">
        <f>ABS(B534-C534)/B534</f>
        <v>0.42962131080965249</v>
      </c>
      <c r="J534" s="6" t="s">
        <v>169</v>
      </c>
      <c r="K534" s="6">
        <v>97.572155508870907</v>
      </c>
    </row>
    <row r="535" spans="1:11">
      <c r="A535">
        <v>30</v>
      </c>
      <c r="B535">
        <v>0.32</v>
      </c>
      <c r="C535">
        <f t="shared" si="63"/>
        <v>0.23337791915487099</v>
      </c>
      <c r="D535">
        <f t="shared" si="64"/>
        <v>7.5033848899400662E-3</v>
      </c>
      <c r="E535">
        <f t="shared" ref="E535:E540" si="65">ABS(B535-C535)/B535</f>
        <v>0.27069400264102816</v>
      </c>
    </row>
    <row r="536" spans="1:11">
      <c r="A536">
        <v>48</v>
      </c>
      <c r="B536">
        <v>0.62</v>
      </c>
      <c r="C536">
        <f t="shared" si="63"/>
        <v>0.58763969075305489</v>
      </c>
      <c r="D536">
        <f t="shared" si="64"/>
        <v>1.0471896145579211E-3</v>
      </c>
      <c r="E536">
        <f t="shared" si="65"/>
        <v>5.2194047172492111E-2</v>
      </c>
      <c r="G536" s="6" t="s">
        <v>129</v>
      </c>
      <c r="H536" s="6">
        <f>(100/9)*E541</f>
        <v>13.183971898752805</v>
      </c>
    </row>
    <row r="537" spans="1:11">
      <c r="A537">
        <v>60</v>
      </c>
      <c r="B537">
        <v>0.74</v>
      </c>
      <c r="C537">
        <f t="shared" si="63"/>
        <v>0.79951257044621404</v>
      </c>
      <c r="D537">
        <f t="shared" si="64"/>
        <v>3.5417460411155902E-3</v>
      </c>
      <c r="E537">
        <f t="shared" si="65"/>
        <v>8.0422392494883851E-2</v>
      </c>
    </row>
    <row r="538" spans="1:11">
      <c r="A538">
        <v>85</v>
      </c>
      <c r="B538">
        <v>0.86</v>
      </c>
      <c r="C538">
        <f t="shared" si="63"/>
        <v>0.97144831184533997</v>
      </c>
      <c r="D538">
        <f t="shared" si="64"/>
        <v>1.2420726213176149E-2</v>
      </c>
      <c r="E538">
        <f t="shared" si="65"/>
        <v>0.12959106028527906</v>
      </c>
      <c r="J538" t="s">
        <v>12</v>
      </c>
      <c r="K538">
        <v>100</v>
      </c>
    </row>
    <row r="539" spans="1:11">
      <c r="A539">
        <v>100</v>
      </c>
      <c r="B539">
        <v>0.89</v>
      </c>
      <c r="C539">
        <f t="shared" si="63"/>
        <v>0.99194492112973454</v>
      </c>
      <c r="D539">
        <f t="shared" si="64"/>
        <v>1.0392766944147792E-2</v>
      </c>
      <c r="E539">
        <f t="shared" si="65"/>
        <v>0.1145448552019489</v>
      </c>
      <c r="J539" t="s">
        <v>8</v>
      </c>
      <c r="K539">
        <v>12</v>
      </c>
    </row>
    <row r="540" spans="1:11">
      <c r="A540">
        <v>120</v>
      </c>
      <c r="B540">
        <v>0.9</v>
      </c>
      <c r="C540">
        <f t="shared" si="63"/>
        <v>0.99854082205422112</v>
      </c>
      <c r="D540">
        <f t="shared" si="64"/>
        <v>9.7102936111216672E-3</v>
      </c>
      <c r="E540">
        <f t="shared" si="65"/>
        <v>0.10948980228246788</v>
      </c>
      <c r="J540" t="s">
        <v>105</v>
      </c>
      <c r="K540">
        <v>4</v>
      </c>
    </row>
    <row r="541" spans="1:11">
      <c r="D541">
        <f>SUM(D532:D540)</f>
        <v>4.9010626022111217E-2</v>
      </c>
      <c r="E541">
        <f>SUM(E532:E540)</f>
        <v>1.1865574708877524</v>
      </c>
      <c r="I541" s="6" t="s">
        <v>100</v>
      </c>
      <c r="J541" s="6"/>
      <c r="K541" s="6">
        <f>D541</f>
        <v>4.9010626022111217E-2</v>
      </c>
    </row>
    <row r="551" spans="1:11">
      <c r="C551" s="6" t="s">
        <v>187</v>
      </c>
      <c r="D551" s="6">
        <f>SUM(D534:D550)</f>
        <v>9.4808009948661953E-2</v>
      </c>
      <c r="E551">
        <f>SUM(E534:E550)</f>
        <v>2.3731149417755049</v>
      </c>
    </row>
    <row r="557" spans="1:11" ht="16.8">
      <c r="A557" s="3" t="s">
        <v>190</v>
      </c>
    </row>
    <row r="558" spans="1:11">
      <c r="A558" t="s">
        <v>63</v>
      </c>
      <c r="B558" t="s">
        <v>64</v>
      </c>
    </row>
    <row r="559" spans="1:11">
      <c r="A559" t="s">
        <v>29</v>
      </c>
      <c r="B559" t="s">
        <v>43</v>
      </c>
      <c r="C559" t="s">
        <v>99</v>
      </c>
      <c r="D559" t="s">
        <v>120</v>
      </c>
      <c r="E559" t="s">
        <v>119</v>
      </c>
    </row>
    <row r="560" spans="1:11">
      <c r="A560">
        <v>0</v>
      </c>
      <c r="B560">
        <v>0</v>
      </c>
      <c r="C560">
        <f>(($K$565)*(EXP(($K$560)*(A560-$K$561))))/(1+EXP(($K$560)*(A560-$K$561))*($K$565))</f>
        <v>6.7218846315353321E-4</v>
      </c>
      <c r="D560">
        <f>(B560-C560)^2</f>
        <v>4.5183732999670886E-7</v>
      </c>
      <c r="E560">
        <f t="shared" ref="E560:E566" si="66">(B560-C$172)^2</f>
        <v>0</v>
      </c>
      <c r="J560" s="6" t="s">
        <v>168</v>
      </c>
      <c r="K560" s="6">
        <v>3.6712265266531298E-2</v>
      </c>
    </row>
    <row r="561" spans="1:11">
      <c r="A561">
        <v>10</v>
      </c>
      <c r="B561">
        <v>0</v>
      </c>
      <c r="C561">
        <f t="shared" ref="C561:C576" si="67">(($K$565)*(EXP(($K$560)*(A561-$K$561))))/(1+EXP(($K$560)*(A561-$K$561))*($K$565))</f>
        <v>9.7006519779305037E-4</v>
      </c>
      <c r="D561">
        <f t="shared" ref="D561:D576" si="68">(B561-C561)^2</f>
        <v>9.4102648796926998E-7</v>
      </c>
      <c r="E561">
        <f t="shared" si="66"/>
        <v>0</v>
      </c>
      <c r="J561" s="6" t="s">
        <v>169</v>
      </c>
      <c r="K561" s="6">
        <v>305.519757910696</v>
      </c>
    </row>
    <row r="562" spans="1:11">
      <c r="A562">
        <v>22</v>
      </c>
      <c r="B562">
        <v>0</v>
      </c>
      <c r="C562">
        <f t="shared" si="67"/>
        <v>1.5062428108339996E-3</v>
      </c>
      <c r="D562">
        <f t="shared" si="68"/>
        <v>2.2687674051891082E-6</v>
      </c>
      <c r="E562">
        <f t="shared" si="66"/>
        <v>0</v>
      </c>
    </row>
    <row r="563" spans="1:11">
      <c r="A563">
        <v>30</v>
      </c>
      <c r="B563">
        <v>0</v>
      </c>
      <c r="C563">
        <f t="shared" si="67"/>
        <v>2.0194039631283474E-3</v>
      </c>
      <c r="D563">
        <f t="shared" si="68"/>
        <v>4.077992366298476E-6</v>
      </c>
      <c r="E563">
        <f t="shared" si="66"/>
        <v>0</v>
      </c>
      <c r="G563" s="6" t="s">
        <v>121</v>
      </c>
      <c r="H563" s="6">
        <f>(100)*(1/15)^(0.5)*(F570)^(0.5)</f>
        <v>1.5782968982967527</v>
      </c>
    </row>
    <row r="564" spans="1:11">
      <c r="A564">
        <v>41</v>
      </c>
      <c r="B564">
        <v>0</v>
      </c>
      <c r="C564">
        <f t="shared" si="67"/>
        <v>3.0211364075646385E-3</v>
      </c>
      <c r="D564">
        <f t="shared" si="68"/>
        <v>9.1272651931125691E-6</v>
      </c>
      <c r="E564">
        <f t="shared" si="66"/>
        <v>0</v>
      </c>
    </row>
    <row r="565" spans="1:11">
      <c r="A565">
        <v>50</v>
      </c>
      <c r="B565">
        <v>0</v>
      </c>
      <c r="C565">
        <f t="shared" si="67"/>
        <v>4.1990623400392614E-3</v>
      </c>
      <c r="D565">
        <f t="shared" si="68"/>
        <v>1.7632124535535997E-5</v>
      </c>
      <c r="E565">
        <f t="shared" si="66"/>
        <v>0</v>
      </c>
      <c r="J565" t="s">
        <v>12</v>
      </c>
      <c r="K565">
        <v>50</v>
      </c>
    </row>
    <row r="566" spans="1:11">
      <c r="A566">
        <v>60</v>
      </c>
      <c r="B566">
        <v>0</v>
      </c>
      <c r="C566">
        <f t="shared" si="67"/>
        <v>6.0503918237862853E-3</v>
      </c>
      <c r="D566">
        <f t="shared" si="68"/>
        <v>3.6607241221339931E-5</v>
      </c>
      <c r="E566">
        <f t="shared" si="66"/>
        <v>0</v>
      </c>
      <c r="J566" t="s">
        <v>8</v>
      </c>
      <c r="K566">
        <v>8</v>
      </c>
    </row>
    <row r="567" spans="1:11">
      <c r="A567">
        <v>80</v>
      </c>
      <c r="B567">
        <v>0.01</v>
      </c>
      <c r="C567">
        <f t="shared" si="67"/>
        <v>1.2526315581434804E-2</v>
      </c>
      <c r="D567">
        <f t="shared" si="68"/>
        <v>6.3822704170002732E-6</v>
      </c>
      <c r="E567">
        <f>((B567-C567)/B567)^2</f>
        <v>6.3822704170002728E-2</v>
      </c>
      <c r="J567" t="s">
        <v>105</v>
      </c>
      <c r="K567">
        <v>4</v>
      </c>
    </row>
    <row r="568" spans="1:11">
      <c r="A568">
        <v>100</v>
      </c>
      <c r="B568">
        <v>0.05</v>
      </c>
      <c r="C568">
        <f t="shared" si="67"/>
        <v>2.5754025570825585E-2</v>
      </c>
      <c r="D568">
        <f t="shared" si="68"/>
        <v>5.8786727602017975E-4</v>
      </c>
      <c r="E568">
        <f t="shared" ref="E568:E576" si="69">((B568-C568)/B568)^2</f>
        <v>0.23514691040807187</v>
      </c>
      <c r="J568" t="s">
        <v>107</v>
      </c>
      <c r="K568">
        <v>2</v>
      </c>
    </row>
    <row r="569" spans="1:11">
      <c r="A569">
        <v>155</v>
      </c>
      <c r="B569">
        <v>0.26</v>
      </c>
      <c r="C569">
        <f t="shared" si="67"/>
        <v>0.16604809260130235</v>
      </c>
      <c r="D569">
        <f t="shared" si="68"/>
        <v>8.8269609038534608E-3</v>
      </c>
      <c r="E569">
        <f t="shared" si="69"/>
        <v>0.13057634473156007</v>
      </c>
      <c r="J569" t="s">
        <v>106</v>
      </c>
      <c r="K569">
        <v>17</v>
      </c>
    </row>
    <row r="570" spans="1:11">
      <c r="A570">
        <v>210</v>
      </c>
      <c r="B570">
        <v>0.54</v>
      </c>
      <c r="C570">
        <f t="shared" si="67"/>
        <v>0.59995468875452673</v>
      </c>
      <c r="D570">
        <f t="shared" si="68"/>
        <v>3.5945647036521701E-3</v>
      </c>
      <c r="E570">
        <f t="shared" si="69"/>
        <v>1.232703945011032E-2</v>
      </c>
      <c r="F570">
        <f>D577/B577^2</f>
        <v>3.7365316487597247E-3</v>
      </c>
    </row>
    <row r="571" spans="1:11">
      <c r="A571">
        <v>240</v>
      </c>
      <c r="B571">
        <v>0.66</v>
      </c>
      <c r="C571">
        <f t="shared" si="67"/>
        <v>0.81856335568554184</v>
      </c>
      <c r="D571">
        <f t="shared" si="68"/>
        <v>2.5142337766259643E-2</v>
      </c>
      <c r="E571">
        <f t="shared" si="69"/>
        <v>5.7718865395453713E-2</v>
      </c>
    </row>
    <row r="572" spans="1:11">
      <c r="A572">
        <v>280</v>
      </c>
      <c r="B572">
        <v>0.79</v>
      </c>
      <c r="C572">
        <f t="shared" si="67"/>
        <v>0.95143807813958359</v>
      </c>
      <c r="D572">
        <f t="shared" si="68"/>
        <v>2.6062253073402285E-2</v>
      </c>
      <c r="E572">
        <f t="shared" si="69"/>
        <v>4.1759738941519443E-2</v>
      </c>
    </row>
    <row r="573" spans="1:11">
      <c r="A573">
        <v>300</v>
      </c>
      <c r="B573">
        <v>0.83</v>
      </c>
      <c r="C573">
        <f t="shared" si="67"/>
        <v>0.97609285119234879</v>
      </c>
      <c r="D573">
        <f t="shared" si="68"/>
        <v>2.1343121169509777E-2</v>
      </c>
      <c r="E573">
        <f t="shared" si="69"/>
        <v>3.0981450383959615E-2</v>
      </c>
    </row>
    <row r="574" spans="1:11">
      <c r="A574">
        <v>320</v>
      </c>
      <c r="B574">
        <v>0.86</v>
      </c>
      <c r="C574">
        <f t="shared" si="67"/>
        <v>0.98838328431741818</v>
      </c>
      <c r="D574">
        <f t="shared" si="68"/>
        <v>1.6482267692127035E-2</v>
      </c>
      <c r="E574">
        <f t="shared" si="69"/>
        <v>2.2285380870912707E-2</v>
      </c>
    </row>
    <row r="575" spans="1:11">
      <c r="A575">
        <v>340</v>
      </c>
      <c r="B575">
        <v>0.88</v>
      </c>
      <c r="C575">
        <f t="shared" si="67"/>
        <v>0.99439162889114796</v>
      </c>
      <c r="D575">
        <f t="shared" si="68"/>
        <v>1.3085444760370116E-2</v>
      </c>
      <c r="E575">
        <f t="shared" si="69"/>
        <v>1.6897526808329181E-2</v>
      </c>
    </row>
    <row r="576" spans="1:11">
      <c r="A576">
        <v>370</v>
      </c>
      <c r="B576">
        <v>0.9</v>
      </c>
      <c r="C576">
        <f t="shared" si="67"/>
        <v>0.99812868115017794</v>
      </c>
      <c r="D576">
        <f t="shared" si="68"/>
        <v>9.6292380642732829E-3</v>
      </c>
      <c r="E576">
        <f t="shared" si="69"/>
        <v>1.1887948227497881E-2</v>
      </c>
    </row>
    <row r="577" spans="1:11">
      <c r="B577">
        <f>SUM(B560:B576)</f>
        <v>5.78</v>
      </c>
      <c r="D577" s="6">
        <f>SUM(D560:D576)</f>
        <v>0.12483154393442439</v>
      </c>
      <c r="E577">
        <f>SUM(E560:E576)</f>
        <v>0.62340390938741752</v>
      </c>
    </row>
    <row r="583" spans="1:11" ht="16.8">
      <c r="A583" s="1" t="s">
        <v>125</v>
      </c>
    </row>
    <row r="585" spans="1:11">
      <c r="A585" t="s">
        <v>63</v>
      </c>
      <c r="B585" t="s">
        <v>64</v>
      </c>
    </row>
    <row r="586" spans="1:11">
      <c r="A586" t="s">
        <v>29</v>
      </c>
      <c r="B586" t="s">
        <v>43</v>
      </c>
      <c r="C586" t="s">
        <v>99</v>
      </c>
      <c r="D586" t="s">
        <v>120</v>
      </c>
      <c r="E586" t="s">
        <v>119</v>
      </c>
    </row>
    <row r="587" spans="1:11">
      <c r="A587">
        <v>0</v>
      </c>
      <c r="B587">
        <v>0</v>
      </c>
      <c r="C587">
        <f>(($K$592)*(EXP(($K$587)*(A587-$K$588))))/(1+EXP(($K$587)*(A587-$K$588))*($K$592))</f>
        <v>3.1965197090474237E-3</v>
      </c>
      <c r="D587">
        <f>(B587-C587)^2</f>
        <v>1.0217738250328627E-5</v>
      </c>
      <c r="E587">
        <f t="shared" ref="E587:E593" si="70">(B587-C$172)^2</f>
        <v>0</v>
      </c>
      <c r="J587" s="6" t="s">
        <v>168</v>
      </c>
      <c r="K587" s="6">
        <v>2.69979405405661E-2</v>
      </c>
    </row>
    <row r="588" spans="1:11">
      <c r="A588">
        <v>10</v>
      </c>
      <c r="B588">
        <v>0</v>
      </c>
      <c r="C588">
        <f t="shared" ref="C588:C603" si="71">(($K$592)*(EXP(($K$587)*(A588-$K$588))))/(1+EXP(($K$587)*(A588-$K$588))*($K$592))</f>
        <v>4.183096666784898E-3</v>
      </c>
      <c r="D588">
        <f t="shared" ref="D588:D603" si="72">(B588-C588)^2</f>
        <v>1.7498297723666925E-5</v>
      </c>
      <c r="E588">
        <f t="shared" si="70"/>
        <v>0</v>
      </c>
      <c r="J588" s="6" t="s">
        <v>169</v>
      </c>
      <c r="K588" s="6">
        <v>357.60186979394001</v>
      </c>
    </row>
    <row r="589" spans="1:11">
      <c r="A589">
        <v>22</v>
      </c>
      <c r="B589">
        <v>0</v>
      </c>
      <c r="C589">
        <f t="shared" si="71"/>
        <v>5.7743624949337224E-3</v>
      </c>
      <c r="D589">
        <f t="shared" si="72"/>
        <v>3.33432622228972E-5</v>
      </c>
      <c r="E589">
        <f t="shared" si="70"/>
        <v>0</v>
      </c>
    </row>
    <row r="590" spans="1:11">
      <c r="A590">
        <v>30</v>
      </c>
      <c r="B590">
        <v>0</v>
      </c>
      <c r="C590">
        <f t="shared" si="71"/>
        <v>7.1564944402084142E-3</v>
      </c>
      <c r="D590">
        <f t="shared" si="72"/>
        <v>5.1215412672733947E-5</v>
      </c>
      <c r="E590">
        <f t="shared" si="70"/>
        <v>0</v>
      </c>
      <c r="G590" s="6" t="s">
        <v>134</v>
      </c>
      <c r="H590" s="6">
        <f>(100/15)*E604</f>
        <v>0.70241783872064889</v>
      </c>
    </row>
    <row r="591" spans="1:11">
      <c r="A591">
        <v>41</v>
      </c>
      <c r="B591">
        <v>0</v>
      </c>
      <c r="C591">
        <f t="shared" si="71"/>
        <v>9.6073271622509719E-3</v>
      </c>
      <c r="D591">
        <f t="shared" si="72"/>
        <v>9.2300735202525318E-5</v>
      </c>
      <c r="E591">
        <f t="shared" si="70"/>
        <v>0</v>
      </c>
    </row>
    <row r="592" spans="1:11">
      <c r="A592">
        <v>50</v>
      </c>
      <c r="B592">
        <v>0</v>
      </c>
      <c r="C592">
        <f t="shared" si="71"/>
        <v>1.2217490299738756E-2</v>
      </c>
      <c r="D592">
        <f t="shared" si="72"/>
        <v>1.4926706922421058E-4</v>
      </c>
      <c r="E592">
        <f t="shared" si="70"/>
        <v>0</v>
      </c>
      <c r="J592" t="s">
        <v>12</v>
      </c>
      <c r="K592">
        <v>50</v>
      </c>
    </row>
    <row r="593" spans="1:11">
      <c r="A593">
        <v>60</v>
      </c>
      <c r="B593">
        <v>0</v>
      </c>
      <c r="C593">
        <f t="shared" si="71"/>
        <v>1.5943774744232881E-2</v>
      </c>
      <c r="D593">
        <f t="shared" si="72"/>
        <v>2.5420395309483829E-4</v>
      </c>
      <c r="E593">
        <f t="shared" si="70"/>
        <v>0</v>
      </c>
      <c r="J593" t="s">
        <v>8</v>
      </c>
      <c r="K593">
        <v>8</v>
      </c>
    </row>
    <row r="594" spans="1:11">
      <c r="A594">
        <v>80</v>
      </c>
      <c r="B594">
        <v>0.01</v>
      </c>
      <c r="C594">
        <f t="shared" si="71"/>
        <v>2.7049734683693299E-2</v>
      </c>
      <c r="D594">
        <f t="shared" si="72"/>
        <v>2.9069345278433429E-4</v>
      </c>
      <c r="E594">
        <f>(B594-C594)^2/B594</f>
        <v>2.9069345278433429E-2</v>
      </c>
      <c r="J594" t="s">
        <v>105</v>
      </c>
      <c r="K594">
        <v>4</v>
      </c>
    </row>
    <row r="595" spans="1:11">
      <c r="A595">
        <v>100</v>
      </c>
      <c r="B595">
        <v>0.05</v>
      </c>
      <c r="C595">
        <f t="shared" si="71"/>
        <v>4.5533815889303358E-2</v>
      </c>
      <c r="D595">
        <f t="shared" si="72"/>
        <v>1.9946800510639176E-5</v>
      </c>
      <c r="E595">
        <f t="shared" ref="E595:E603" si="73">(B595-C595)^2/B595</f>
        <v>3.9893601021278349E-4</v>
      </c>
      <c r="J595" t="s">
        <v>107</v>
      </c>
      <c r="K595">
        <v>2</v>
      </c>
    </row>
    <row r="596" spans="1:11">
      <c r="A596">
        <v>155</v>
      </c>
      <c r="B596">
        <v>0.26</v>
      </c>
      <c r="C596">
        <f t="shared" si="71"/>
        <v>0.17396108953367337</v>
      </c>
      <c r="D596">
        <f t="shared" si="72"/>
        <v>7.4026941142325718E-3</v>
      </c>
      <c r="E596">
        <f t="shared" si="73"/>
        <v>2.8471900439356046E-2</v>
      </c>
      <c r="J596" t="s">
        <v>106</v>
      </c>
      <c r="K596">
        <v>17</v>
      </c>
    </row>
    <row r="597" spans="1:11">
      <c r="A597">
        <v>210</v>
      </c>
      <c r="B597">
        <v>0.54</v>
      </c>
      <c r="C597">
        <f t="shared" si="71"/>
        <v>0.4817772000376308</v>
      </c>
      <c r="D597">
        <f t="shared" si="72"/>
        <v>3.3898944354580625E-3</v>
      </c>
      <c r="E597">
        <f t="shared" si="73"/>
        <v>6.2775822878853001E-3</v>
      </c>
    </row>
    <row r="598" spans="1:11">
      <c r="A598">
        <v>240</v>
      </c>
      <c r="B598">
        <v>0.66</v>
      </c>
      <c r="C598">
        <f t="shared" si="71"/>
        <v>0.67634271247528044</v>
      </c>
      <c r="D598">
        <f t="shared" si="72"/>
        <v>2.6708425104968587E-4</v>
      </c>
      <c r="E598">
        <f t="shared" si="73"/>
        <v>4.0467310765103916E-4</v>
      </c>
    </row>
    <row r="599" spans="1:11">
      <c r="A599">
        <v>280</v>
      </c>
      <c r="B599">
        <v>0.79</v>
      </c>
      <c r="C599">
        <f t="shared" si="71"/>
        <v>0.86019762472882844</v>
      </c>
      <c r="D599">
        <f t="shared" si="72"/>
        <v>4.9277065175694209E-3</v>
      </c>
      <c r="E599">
        <f t="shared" si="73"/>
        <v>6.2376031867967347E-3</v>
      </c>
    </row>
    <row r="600" spans="1:11">
      <c r="A600">
        <v>300</v>
      </c>
      <c r="B600">
        <v>0.83</v>
      </c>
      <c r="C600">
        <f t="shared" si="71"/>
        <v>0.91348041643292943</v>
      </c>
      <c r="D600">
        <f t="shared" si="72"/>
        <v>6.9689799278153212E-3</v>
      </c>
      <c r="E600">
        <f t="shared" si="73"/>
        <v>8.39636135881364E-3</v>
      </c>
    </row>
    <row r="601" spans="1:11">
      <c r="A601">
        <v>320</v>
      </c>
      <c r="B601">
        <v>0.86</v>
      </c>
      <c r="C601">
        <f t="shared" si="71"/>
        <v>0.94769049937020333</v>
      </c>
      <c r="D601">
        <f t="shared" si="72"/>
        <v>7.6896236797956334E-3</v>
      </c>
      <c r="E601">
        <f t="shared" si="73"/>
        <v>8.9414228834832944E-3</v>
      </c>
    </row>
    <row r="602" spans="1:11">
      <c r="A602">
        <v>340</v>
      </c>
      <c r="B602">
        <v>0.88</v>
      </c>
      <c r="C602">
        <f t="shared" si="71"/>
        <v>0.96883530564483866</v>
      </c>
      <c r="D602">
        <f t="shared" si="72"/>
        <v>7.8917115290119029E-3</v>
      </c>
      <c r="E602">
        <f t="shared" si="73"/>
        <v>8.9678540102407986E-3</v>
      </c>
    </row>
    <row r="603" spans="1:11">
      <c r="A603">
        <v>370</v>
      </c>
      <c r="B603">
        <v>0.9</v>
      </c>
      <c r="C603">
        <f t="shared" si="71"/>
        <v>0.98589119582763907</v>
      </c>
      <c r="D603">
        <f t="shared" si="72"/>
        <v>7.377297520701839E-3</v>
      </c>
      <c r="E603">
        <f t="shared" si="73"/>
        <v>8.1969972452242655E-3</v>
      </c>
    </row>
    <row r="604" spans="1:11">
      <c r="D604">
        <f>SUM(D587:D603)</f>
        <v>4.6833678697320615E-2</v>
      </c>
      <c r="E604">
        <f>SUM(E587:E603)</f>
        <v>0.10536267580809733</v>
      </c>
    </row>
    <row r="612" spans="1:11" ht="16.8">
      <c r="A612" s="1" t="s">
        <v>109</v>
      </c>
    </row>
    <row r="613" spans="1:11">
      <c r="A613" t="s">
        <v>63</v>
      </c>
      <c r="B613" t="s">
        <v>64</v>
      </c>
    </row>
    <row r="614" spans="1:11">
      <c r="A614" t="s">
        <v>29</v>
      </c>
      <c r="B614" t="s">
        <v>43</v>
      </c>
      <c r="C614" t="s">
        <v>99</v>
      </c>
      <c r="D614" t="s">
        <v>100</v>
      </c>
      <c r="E614" t="s">
        <v>182</v>
      </c>
    </row>
    <row r="615" spans="1:11">
      <c r="A615">
        <v>0</v>
      </c>
      <c r="B615">
        <v>0</v>
      </c>
      <c r="C615">
        <f>(($K$620)*(EXP(($K$615)*(A615-$K$616))))/(1+EXP(($K$615)*(A615-$K$616))*($K$620))</f>
        <v>1.2829382404258231E-2</v>
      </c>
      <c r="D615">
        <f>(B615-C615)^2</f>
        <v>1.6459305287469072E-4</v>
      </c>
      <c r="E615">
        <v>0</v>
      </c>
      <c r="J615" s="6" t="s">
        <v>168</v>
      </c>
      <c r="K615" s="6">
        <v>2.0388147561627101E-2</v>
      </c>
    </row>
    <row r="616" spans="1:11">
      <c r="A616">
        <v>10</v>
      </c>
      <c r="B616">
        <v>0</v>
      </c>
      <c r="C616">
        <f t="shared" ref="C616:C631" si="74">(($K$620)*(EXP(($K$615)*(A616-$K$616))))/(1+EXP(($K$615)*(A616-$K$616))*($K$620))</f>
        <v>1.5685274091178605E-2</v>
      </c>
      <c r="D616">
        <f t="shared" ref="D616:D631" si="75">(B616-C616)^2</f>
        <v>2.4602782331539883E-4</v>
      </c>
      <c r="E616">
        <v>0</v>
      </c>
      <c r="J616" s="6" t="s">
        <v>169</v>
      </c>
      <c r="K616" s="6">
        <v>404.89837682338799</v>
      </c>
    </row>
    <row r="617" spans="1:11">
      <c r="A617">
        <v>22</v>
      </c>
      <c r="B617">
        <v>0</v>
      </c>
      <c r="C617">
        <f t="shared" si="74"/>
        <v>1.9946262882442105E-2</v>
      </c>
      <c r="D617">
        <f t="shared" si="75"/>
        <v>3.978534029754876E-4</v>
      </c>
      <c r="E617">
        <v>0</v>
      </c>
    </row>
    <row r="618" spans="1:11">
      <c r="A618">
        <v>30</v>
      </c>
      <c r="B618">
        <v>0</v>
      </c>
      <c r="C618">
        <f t="shared" si="74"/>
        <v>2.3397274028057354E-2</v>
      </c>
      <c r="D618">
        <f t="shared" si="75"/>
        <v>5.4743243194400719E-4</v>
      </c>
      <c r="E618">
        <v>0</v>
      </c>
      <c r="F618" s="6"/>
      <c r="G618" s="6"/>
      <c r="H618" t="s">
        <v>129</v>
      </c>
      <c r="I618">
        <f>(100/17)*E632</f>
        <v>38.173531561069524</v>
      </c>
    </row>
    <row r="619" spans="1:11">
      <c r="A619">
        <v>41</v>
      </c>
      <c r="B619">
        <v>0</v>
      </c>
      <c r="C619">
        <f t="shared" si="74"/>
        <v>2.9108321817788142E-2</v>
      </c>
      <c r="D619">
        <f t="shared" si="75"/>
        <v>8.4729439904792118E-4</v>
      </c>
      <c r="E619">
        <v>0</v>
      </c>
    </row>
    <row r="620" spans="1:11">
      <c r="A620">
        <v>50</v>
      </c>
      <c r="B620">
        <v>0</v>
      </c>
      <c r="C620">
        <f t="shared" si="74"/>
        <v>3.4767113807038792E-2</v>
      </c>
      <c r="D620">
        <f t="shared" si="75"/>
        <v>1.2087522024715875E-3</v>
      </c>
      <c r="E620">
        <v>0</v>
      </c>
      <c r="J620" t="s">
        <v>12</v>
      </c>
      <c r="K620">
        <v>50</v>
      </c>
    </row>
    <row r="621" spans="1:11">
      <c r="A621">
        <v>60</v>
      </c>
      <c r="B621">
        <v>0</v>
      </c>
      <c r="C621">
        <f t="shared" si="74"/>
        <v>4.2297224919563482E-2</v>
      </c>
      <c r="D621">
        <f t="shared" si="75"/>
        <v>1.7890552358961419E-3</v>
      </c>
      <c r="E621">
        <v>0</v>
      </c>
      <c r="J621" t="s">
        <v>8</v>
      </c>
      <c r="K621">
        <v>8</v>
      </c>
    </row>
    <row r="622" spans="1:11">
      <c r="A622">
        <v>80</v>
      </c>
      <c r="B622">
        <v>0.01</v>
      </c>
      <c r="C622">
        <f t="shared" si="74"/>
        <v>6.2265868770288786E-2</v>
      </c>
      <c r="D622">
        <f t="shared" si="75"/>
        <v>2.7317210383130484E-3</v>
      </c>
      <c r="E622">
        <f>ABS(B622-C622)/B622</f>
        <v>5.2265868770288781</v>
      </c>
      <c r="J622" t="s">
        <v>105</v>
      </c>
      <c r="K622">
        <v>4</v>
      </c>
    </row>
    <row r="623" spans="1:11">
      <c r="A623">
        <v>100</v>
      </c>
      <c r="B623">
        <v>0.05</v>
      </c>
      <c r="C623">
        <f t="shared" si="74"/>
        <v>9.0768280104694163E-2</v>
      </c>
      <c r="D623">
        <f t="shared" si="75"/>
        <v>1.6620526626948016E-3</v>
      </c>
      <c r="E623">
        <f t="shared" ref="E623:E631" si="76">ABS(B623-C623)/B623</f>
        <v>0.8153656020938832</v>
      </c>
      <c r="J623" t="s">
        <v>107</v>
      </c>
      <c r="K623">
        <v>2</v>
      </c>
    </row>
    <row r="624" spans="1:11">
      <c r="A624">
        <v>155</v>
      </c>
      <c r="B624">
        <v>0.26</v>
      </c>
      <c r="C624">
        <f t="shared" si="74"/>
        <v>0.23452363338392496</v>
      </c>
      <c r="D624">
        <f t="shared" si="75"/>
        <v>6.4904525595666342E-4</v>
      </c>
      <c r="E624">
        <f t="shared" si="76"/>
        <v>9.7986025446442512E-2</v>
      </c>
      <c r="J624" t="s">
        <v>106</v>
      </c>
      <c r="K624">
        <v>17</v>
      </c>
    </row>
    <row r="625" spans="1:11">
      <c r="A625">
        <v>210</v>
      </c>
      <c r="B625">
        <v>0.54</v>
      </c>
      <c r="C625">
        <f t="shared" si="74"/>
        <v>0.48460640119112347</v>
      </c>
      <c r="D625">
        <f t="shared" si="75"/>
        <v>3.0684507889987712E-3</v>
      </c>
      <c r="E625">
        <f t="shared" si="76"/>
        <v>0.1025807385349566</v>
      </c>
    </row>
    <row r="626" spans="1:11">
      <c r="A626">
        <v>240</v>
      </c>
      <c r="B626">
        <v>0.66</v>
      </c>
      <c r="C626">
        <f t="shared" si="74"/>
        <v>0.63414732264830187</v>
      </c>
      <c r="D626">
        <f t="shared" si="75"/>
        <v>6.68360926251007E-4</v>
      </c>
      <c r="E626">
        <f t="shared" si="76"/>
        <v>3.9170723260148727E-2</v>
      </c>
    </row>
    <row r="627" spans="1:11">
      <c r="A627">
        <v>280</v>
      </c>
      <c r="B627">
        <v>0.79</v>
      </c>
      <c r="C627">
        <f t="shared" si="74"/>
        <v>0.79666452529264398</v>
      </c>
      <c r="D627">
        <f t="shared" si="75"/>
        <v>4.441589737629081E-5</v>
      </c>
      <c r="E627">
        <f t="shared" si="76"/>
        <v>8.4361079653720774E-3</v>
      </c>
    </row>
    <row r="628" spans="1:11">
      <c r="A628">
        <v>300</v>
      </c>
      <c r="B628">
        <v>0.83</v>
      </c>
      <c r="C628">
        <f t="shared" si="74"/>
        <v>0.85487246912833648</v>
      </c>
      <c r="D628">
        <f t="shared" si="75"/>
        <v>6.1863972054005301E-4</v>
      </c>
      <c r="E628">
        <f t="shared" si="76"/>
        <v>2.9966830275104238E-2</v>
      </c>
    </row>
    <row r="629" spans="1:11">
      <c r="A629">
        <v>320</v>
      </c>
      <c r="B629">
        <v>0.86</v>
      </c>
      <c r="C629">
        <f t="shared" si="74"/>
        <v>0.89853961521319836</v>
      </c>
      <c r="D629">
        <f t="shared" si="75"/>
        <v>1.4853019407813917E-3</v>
      </c>
      <c r="E629">
        <f t="shared" si="76"/>
        <v>4.4813506061858577E-2</v>
      </c>
    </row>
    <row r="630" spans="1:11">
      <c r="A630">
        <v>340</v>
      </c>
      <c r="B630">
        <v>0.88</v>
      </c>
      <c r="C630">
        <f t="shared" si="74"/>
        <v>0.93014152370182346</v>
      </c>
      <c r="D630">
        <f t="shared" si="75"/>
        <v>2.514172399140523E-3</v>
      </c>
      <c r="E630">
        <f t="shared" si="76"/>
        <v>5.6979004206617563E-2</v>
      </c>
    </row>
    <row r="631" spans="1:11">
      <c r="A631">
        <v>370</v>
      </c>
      <c r="B631">
        <v>0.9</v>
      </c>
      <c r="C631">
        <f t="shared" si="74"/>
        <v>0.96085345545770096</v>
      </c>
      <c r="D631">
        <f t="shared" si="75"/>
        <v>3.7031430411423915E-3</v>
      </c>
      <c r="E631">
        <f t="shared" si="76"/>
        <v>6.7614950508556593E-2</v>
      </c>
    </row>
    <row r="632" spans="1:11">
      <c r="D632">
        <f>SUM(D615:D631)</f>
        <v>2.2346312219720176E-2</v>
      </c>
      <c r="E632">
        <f>SUM(E622:E631)</f>
        <v>6.4895003653818186</v>
      </c>
    </row>
    <row r="636" spans="1:11">
      <c r="A636" t="s">
        <v>63</v>
      </c>
      <c r="B636" t="s">
        <v>64</v>
      </c>
    </row>
    <row r="637" spans="1:11">
      <c r="A637" t="s">
        <v>29</v>
      </c>
      <c r="B637" t="s">
        <v>43</v>
      </c>
      <c r="C637" t="s">
        <v>99</v>
      </c>
      <c r="D637" t="s">
        <v>100</v>
      </c>
    </row>
    <row r="638" spans="1:11">
      <c r="A638">
        <v>0</v>
      </c>
      <c r="B638">
        <v>0</v>
      </c>
      <c r="C638">
        <f>(($K$620)*(EXP(($K$615)*(A638-$K$616))))/(1+EXP(($K$615)*(A638-$K$616))*($K$620))</f>
        <v>1.2829382404258231E-2</v>
      </c>
      <c r="D638">
        <f>(B638-C638)^2</f>
        <v>1.6459305287469072E-4</v>
      </c>
      <c r="J638" s="6" t="s">
        <v>168</v>
      </c>
      <c r="K638" s="6">
        <v>2.0388147561627101E-2</v>
      </c>
    </row>
    <row r="639" spans="1:11">
      <c r="A639">
        <v>10</v>
      </c>
      <c r="B639">
        <v>0</v>
      </c>
      <c r="C639">
        <f t="shared" ref="C639:C654" si="77">(($K$620)*(EXP(($K$615)*(A639-$K$616))))/(1+EXP(($K$615)*(A639-$K$616))*($K$620))</f>
        <v>1.5685274091178605E-2</v>
      </c>
      <c r="D639">
        <f t="shared" ref="D639:D654" si="78">(B639-C639)^2</f>
        <v>2.4602782331539883E-4</v>
      </c>
      <c r="J639" s="6" t="s">
        <v>169</v>
      </c>
      <c r="K639" s="6">
        <v>404.89837682338799</v>
      </c>
    </row>
    <row r="640" spans="1:11" ht="16.5" customHeight="1">
      <c r="A640">
        <v>22</v>
      </c>
      <c r="B640">
        <v>0</v>
      </c>
      <c r="C640">
        <f t="shared" si="77"/>
        <v>1.9946262882442105E-2</v>
      </c>
      <c r="D640">
        <f t="shared" si="78"/>
        <v>3.978534029754876E-4</v>
      </c>
    </row>
    <row r="641" spans="1:11" ht="16.5" customHeight="1">
      <c r="A641">
        <v>30</v>
      </c>
      <c r="B641">
        <v>0</v>
      </c>
      <c r="C641">
        <f t="shared" si="77"/>
        <v>2.3397274028057354E-2</v>
      </c>
      <c r="D641">
        <f t="shared" si="78"/>
        <v>5.4743243194400719E-4</v>
      </c>
      <c r="F641" s="6" t="s">
        <v>100</v>
      </c>
      <c r="G641" s="6">
        <f>D655</f>
        <v>0</v>
      </c>
    </row>
    <row r="642" spans="1:11" ht="16.5" customHeight="1">
      <c r="A642">
        <v>41</v>
      </c>
      <c r="B642">
        <v>0</v>
      </c>
      <c r="C642">
        <f t="shared" si="77"/>
        <v>2.9108321817788142E-2</v>
      </c>
      <c r="D642">
        <f t="shared" si="78"/>
        <v>8.4729439904792118E-4</v>
      </c>
    </row>
    <row r="643" spans="1:11" ht="16.5" customHeight="1">
      <c r="A643">
        <v>50</v>
      </c>
      <c r="B643">
        <v>0</v>
      </c>
      <c r="C643">
        <f t="shared" si="77"/>
        <v>3.4767113807038792E-2</v>
      </c>
      <c r="D643">
        <f t="shared" si="78"/>
        <v>1.2087522024715875E-3</v>
      </c>
      <c r="J643" t="s">
        <v>12</v>
      </c>
      <c r="K643">
        <v>50</v>
      </c>
    </row>
    <row r="644" spans="1:11" ht="16.5" customHeight="1">
      <c r="A644">
        <v>60</v>
      </c>
      <c r="B644">
        <v>0</v>
      </c>
      <c r="C644">
        <f t="shared" si="77"/>
        <v>4.2297224919563482E-2</v>
      </c>
      <c r="D644">
        <f t="shared" si="78"/>
        <v>1.7890552358961419E-3</v>
      </c>
      <c r="J644" t="s">
        <v>8</v>
      </c>
      <c r="K644">
        <v>8</v>
      </c>
    </row>
    <row r="645" spans="1:11" ht="16.5" customHeight="1">
      <c r="A645">
        <v>80</v>
      </c>
      <c r="B645">
        <v>0.01</v>
      </c>
      <c r="C645">
        <f t="shared" si="77"/>
        <v>6.2265868770288786E-2</v>
      </c>
      <c r="D645">
        <f t="shared" si="78"/>
        <v>2.7317210383130484E-3</v>
      </c>
      <c r="J645" t="s">
        <v>105</v>
      </c>
      <c r="K645">
        <v>4</v>
      </c>
    </row>
    <row r="646" spans="1:11" ht="16.5" customHeight="1">
      <c r="A646">
        <v>100</v>
      </c>
      <c r="B646">
        <v>0.05</v>
      </c>
      <c r="C646">
        <f t="shared" si="77"/>
        <v>9.0768280104694163E-2</v>
      </c>
      <c r="D646">
        <f t="shared" si="78"/>
        <v>1.6620526626948016E-3</v>
      </c>
      <c r="J646" t="s">
        <v>107</v>
      </c>
      <c r="K646">
        <v>2</v>
      </c>
    </row>
    <row r="647" spans="1:11" ht="13.5" customHeight="1">
      <c r="A647">
        <v>155</v>
      </c>
      <c r="B647">
        <v>0.26</v>
      </c>
      <c r="C647">
        <f t="shared" si="77"/>
        <v>0.23452363338392496</v>
      </c>
      <c r="D647">
        <f t="shared" si="78"/>
        <v>6.4904525595666342E-4</v>
      </c>
      <c r="J647" t="s">
        <v>106</v>
      </c>
      <c r="K647">
        <v>17</v>
      </c>
    </row>
    <row r="648" spans="1:11" ht="13.5" customHeight="1">
      <c r="A648">
        <v>210</v>
      </c>
      <c r="B648">
        <v>0.54</v>
      </c>
      <c r="C648">
        <f t="shared" si="77"/>
        <v>0.48460640119112347</v>
      </c>
      <c r="D648">
        <f t="shared" si="78"/>
        <v>3.0684507889987712E-3</v>
      </c>
    </row>
    <row r="649" spans="1:11" ht="13.5" customHeight="1">
      <c r="A649">
        <v>240</v>
      </c>
      <c r="B649">
        <v>0.66</v>
      </c>
      <c r="C649">
        <f t="shared" si="77"/>
        <v>0.63414732264830187</v>
      </c>
      <c r="D649">
        <f t="shared" si="78"/>
        <v>6.68360926251007E-4</v>
      </c>
    </row>
    <row r="650" spans="1:11" ht="13.5" customHeight="1">
      <c r="A650">
        <v>280</v>
      </c>
      <c r="B650">
        <v>0.79</v>
      </c>
      <c r="C650">
        <f t="shared" si="77"/>
        <v>0.79666452529264398</v>
      </c>
      <c r="D650">
        <f t="shared" si="78"/>
        <v>4.441589737629081E-5</v>
      </c>
    </row>
    <row r="651" spans="1:11" ht="13.5" customHeight="1">
      <c r="A651">
        <v>300</v>
      </c>
      <c r="B651">
        <v>0.83</v>
      </c>
      <c r="C651">
        <f t="shared" si="77"/>
        <v>0.85487246912833648</v>
      </c>
      <c r="D651">
        <f t="shared" si="78"/>
        <v>6.1863972054005301E-4</v>
      </c>
    </row>
    <row r="652" spans="1:11" ht="13.5" customHeight="1">
      <c r="A652">
        <v>320</v>
      </c>
      <c r="B652">
        <v>0.86</v>
      </c>
      <c r="C652">
        <f t="shared" si="77"/>
        <v>0.89853961521319836</v>
      </c>
      <c r="D652">
        <f t="shared" si="78"/>
        <v>1.4853019407813917E-3</v>
      </c>
    </row>
    <row r="653" spans="1:11" ht="13.5" customHeight="1">
      <c r="A653">
        <v>340</v>
      </c>
      <c r="B653">
        <v>0.88</v>
      </c>
      <c r="C653">
        <f t="shared" si="77"/>
        <v>0.93014152370182346</v>
      </c>
      <c r="D653">
        <f t="shared" si="78"/>
        <v>2.514172399140523E-3</v>
      </c>
    </row>
    <row r="654" spans="1:11" ht="13.5" customHeight="1">
      <c r="A654">
        <v>370</v>
      </c>
      <c r="B654">
        <v>0.9</v>
      </c>
      <c r="C654">
        <f t="shared" si="77"/>
        <v>0.96085345545770096</v>
      </c>
      <c r="D654">
        <f t="shared" si="78"/>
        <v>3.7031430411423915E-3</v>
      </c>
    </row>
    <row r="659" spans="1:11" ht="16.8">
      <c r="A659" s="1" t="s">
        <v>144</v>
      </c>
    </row>
    <row r="660" spans="1:11">
      <c r="B660" t="s">
        <v>66</v>
      </c>
    </row>
    <row r="661" spans="1:11">
      <c r="A661" t="s">
        <v>29</v>
      </c>
      <c r="B661" t="s">
        <v>43</v>
      </c>
      <c r="C661" t="s">
        <v>99</v>
      </c>
      <c r="D661" t="s">
        <v>100</v>
      </c>
      <c r="E661" t="s">
        <v>137</v>
      </c>
    </row>
    <row r="662" spans="1:11">
      <c r="A662">
        <v>0</v>
      </c>
      <c r="B662">
        <v>0</v>
      </c>
      <c r="C662">
        <f>(($K$667)*(EXP(($K$662)*(A662-$K$663))))/(1+EXP(($K$662)*(A662-$K$663))*($K$667))</f>
        <v>2.7565090783058511E-2</v>
      </c>
      <c r="D662">
        <f>(B662-C662)^2</f>
        <v>7.598342298782573E-4</v>
      </c>
      <c r="E662">
        <f>ABS(B662-C662)</f>
        <v>2.7565090783058511E-2</v>
      </c>
      <c r="J662" s="6" t="s">
        <v>168</v>
      </c>
      <c r="K662" s="6">
        <v>8.7080257223753302E-2</v>
      </c>
    </row>
    <row r="663" spans="1:11">
      <c r="A663">
        <v>10</v>
      </c>
      <c r="B663">
        <v>0</v>
      </c>
      <c r="C663">
        <f t="shared" ref="C663:C671" si="79">(($K$667)*(EXP(($K$662)*(A663-$K$663))))/(1+EXP(($K$662)*(A663-$K$663))*($K$667))</f>
        <v>6.3420311804873952E-2</v>
      </c>
      <c r="D663">
        <f t="shared" ref="D663:D671" si="80">(B663-C663)^2</f>
        <v>4.0221359494274347E-3</v>
      </c>
      <c r="E663">
        <f t="shared" ref="E663:E671" si="81">ABS(B663-C663)</f>
        <v>6.3420311804873952E-2</v>
      </c>
      <c r="J663" s="6" t="s">
        <v>169</v>
      </c>
      <c r="K663" s="6">
        <v>98.459611441750994</v>
      </c>
    </row>
    <row r="664" spans="1:11">
      <c r="A664">
        <v>15</v>
      </c>
      <c r="B664">
        <v>0.01</v>
      </c>
      <c r="C664">
        <f t="shared" si="79"/>
        <v>9.4743152719416593E-2</v>
      </c>
      <c r="D664">
        <f t="shared" si="80"/>
        <v>7.1814019328263643E-3</v>
      </c>
      <c r="E664">
        <f t="shared" si="81"/>
        <v>8.4743152719416598E-2</v>
      </c>
      <c r="G664" s="6" t="s">
        <v>132</v>
      </c>
      <c r="H664" s="6">
        <f>E672</f>
        <v>0.38673568950811177</v>
      </c>
    </row>
    <row r="665" spans="1:11">
      <c r="A665">
        <v>25</v>
      </c>
      <c r="B665">
        <v>0.2</v>
      </c>
      <c r="C665">
        <f t="shared" si="79"/>
        <v>0.20000764735949073</v>
      </c>
      <c r="D665">
        <f t="shared" si="80"/>
        <v>5.8482107180220977E-11</v>
      </c>
      <c r="E665">
        <f t="shared" si="81"/>
        <v>7.6473594907144893E-6</v>
      </c>
    </row>
    <row r="666" spans="1:11">
      <c r="A666">
        <v>40</v>
      </c>
      <c r="B666">
        <v>0.48</v>
      </c>
      <c r="C666">
        <f t="shared" si="79"/>
        <v>0.48000000005527255</v>
      </c>
      <c r="D666">
        <f t="shared" si="80"/>
        <v>3.0550563646586617E-21</v>
      </c>
      <c r="E666">
        <f t="shared" si="81"/>
        <v>5.5272564303265881E-11</v>
      </c>
    </row>
    <row r="667" spans="1:11">
      <c r="A667">
        <v>50</v>
      </c>
      <c r="B667">
        <v>0.69</v>
      </c>
      <c r="C667">
        <f t="shared" si="79"/>
        <v>0.68799446499556449</v>
      </c>
      <c r="D667">
        <f t="shared" si="80"/>
        <v>4.0221706540159198E-6</v>
      </c>
      <c r="E667">
        <f t="shared" si="81"/>
        <v>2.0055350044354547E-3</v>
      </c>
      <c r="J667" t="s">
        <v>12</v>
      </c>
      <c r="K667">
        <v>150</v>
      </c>
    </row>
    <row r="668" spans="1:11">
      <c r="A668">
        <v>60</v>
      </c>
      <c r="B668">
        <v>0.83</v>
      </c>
      <c r="C668">
        <f t="shared" si="79"/>
        <v>0.84044763015515267</v>
      </c>
      <c r="D668">
        <f t="shared" si="80"/>
        <v>1.0915297585885623E-4</v>
      </c>
      <c r="E668">
        <f t="shared" si="81"/>
        <v>1.044763015515271E-2</v>
      </c>
      <c r="J668" t="s">
        <v>8</v>
      </c>
      <c r="K668">
        <v>8</v>
      </c>
    </row>
    <row r="669" spans="1:11">
      <c r="A669">
        <v>70</v>
      </c>
      <c r="B669">
        <v>0.88</v>
      </c>
      <c r="C669">
        <f t="shared" si="79"/>
        <v>0.92637981037433037</v>
      </c>
      <c r="D669">
        <f t="shared" si="80"/>
        <v>2.1510868103588425E-3</v>
      </c>
      <c r="E669">
        <f t="shared" si="81"/>
        <v>4.6379810374330366E-2</v>
      </c>
      <c r="J669" t="s">
        <v>105</v>
      </c>
      <c r="K669">
        <v>4</v>
      </c>
    </row>
    <row r="670" spans="1:11">
      <c r="A670">
        <v>75</v>
      </c>
      <c r="B670">
        <v>0.89</v>
      </c>
      <c r="C670">
        <f t="shared" si="79"/>
        <v>0.95109648764683674</v>
      </c>
      <c r="D670">
        <f t="shared" si="80"/>
        <v>3.7327808027800731E-3</v>
      </c>
      <c r="E670">
        <f t="shared" si="81"/>
        <v>6.1096487646836728E-2</v>
      </c>
      <c r="J670" t="s">
        <v>107</v>
      </c>
      <c r="K670">
        <v>2</v>
      </c>
    </row>
    <row r="671" spans="1:11">
      <c r="A671">
        <v>95</v>
      </c>
      <c r="B671">
        <v>0.9</v>
      </c>
      <c r="C671">
        <f t="shared" si="79"/>
        <v>0.99107002360524421</v>
      </c>
      <c r="D671">
        <f t="shared" si="80"/>
        <v>8.293749199459733E-3</v>
      </c>
      <c r="E671">
        <f t="shared" si="81"/>
        <v>9.1070023605244188E-2</v>
      </c>
      <c r="J671" t="s">
        <v>106</v>
      </c>
      <c r="K671">
        <v>10</v>
      </c>
    </row>
    <row r="672" spans="1:11">
      <c r="D672">
        <f>SUM(D662:D671)</f>
        <v>2.6254164129725688E-2</v>
      </c>
      <c r="E672">
        <f>SUM(E662:E671)</f>
        <v>0.38673568950811177</v>
      </c>
    </row>
    <row r="681" spans="1:11" ht="16.8">
      <c r="A681" s="3" t="s">
        <v>191</v>
      </c>
    </row>
    <row r="682" spans="1:11">
      <c r="B682" t="s">
        <v>66</v>
      </c>
    </row>
    <row r="683" spans="1:11">
      <c r="A683" t="s">
        <v>29</v>
      </c>
      <c r="B683" t="s">
        <v>43</v>
      </c>
      <c r="C683" t="s">
        <v>99</v>
      </c>
      <c r="D683" t="s">
        <v>120</v>
      </c>
      <c r="E683" t="s">
        <v>119</v>
      </c>
    </row>
    <row r="684" spans="1:11">
      <c r="A684">
        <v>0</v>
      </c>
      <c r="B684">
        <v>0</v>
      </c>
      <c r="C684">
        <f>(($K$689)*(EXP(($K$684)*(A684-$K$685))))/(1+EXP(($K$684)*(A684-$K$685))*($K$689))</f>
        <v>8.0396441899956649E-4</v>
      </c>
      <c r="D684">
        <f>(B684-C684)^2</f>
        <v>6.4635878701731046E-7</v>
      </c>
      <c r="E684">
        <v>0</v>
      </c>
      <c r="J684" s="6" t="s">
        <v>168</v>
      </c>
      <c r="K684" s="6">
        <v>0.17685645319630899</v>
      </c>
    </row>
    <row r="685" spans="1:11">
      <c r="A685">
        <v>10</v>
      </c>
      <c r="B685">
        <v>0</v>
      </c>
      <c r="C685">
        <f t="shared" ref="C685:C693" si="82">(($K$689)*(EXP(($K$684)*(A685-$K$685))))/(1+EXP(($K$684)*(A685-$K$685))*($K$689))</f>
        <v>4.6948335764361807E-3</v>
      </c>
      <c r="D685">
        <f t="shared" ref="D685:D693" si="83">(B685-C685)^2</f>
        <v>2.2041462310432539E-5</v>
      </c>
      <c r="E685">
        <v>0</v>
      </c>
      <c r="J685" s="6" t="s">
        <v>169</v>
      </c>
      <c r="K685" s="6">
        <v>68.6194160955732</v>
      </c>
    </row>
    <row r="686" spans="1:11">
      <c r="A686">
        <v>15</v>
      </c>
      <c r="B686">
        <v>0.01</v>
      </c>
      <c r="C686">
        <f t="shared" si="82"/>
        <v>1.1292000791432928E-2</v>
      </c>
      <c r="D686">
        <f t="shared" si="83"/>
        <v>1.6692660450633113E-6</v>
      </c>
      <c r="E686">
        <f>((B686-C686)/B686)^2</f>
        <v>1.6692660450633112E-2</v>
      </c>
      <c r="G686" s="6" t="s">
        <v>121</v>
      </c>
      <c r="H686" s="6">
        <f>(100)*(1/8)^(0.5)*(F692)^(0.5)</f>
        <v>2.2715532696993037</v>
      </c>
    </row>
    <row r="687" spans="1:11">
      <c r="A687">
        <v>25</v>
      </c>
      <c r="B687">
        <v>0.2</v>
      </c>
      <c r="C687">
        <f t="shared" si="82"/>
        <v>6.2753031881446167E-2</v>
      </c>
      <c r="D687">
        <f t="shared" si="83"/>
        <v>1.8836730257735339E-2</v>
      </c>
      <c r="E687">
        <f t="shared" ref="E687:E693" si="84">((B687-C687)/B687)^2</f>
        <v>0.47091825644338348</v>
      </c>
    </row>
    <row r="688" spans="1:11">
      <c r="A688">
        <v>40</v>
      </c>
      <c r="B688">
        <v>0.48</v>
      </c>
      <c r="C688">
        <f t="shared" si="82"/>
        <v>0.48727946323552118</v>
      </c>
      <c r="D688">
        <f t="shared" si="83"/>
        <v>5.2990584997304774E-5</v>
      </c>
      <c r="E688">
        <f t="shared" si="84"/>
        <v>2.2999385849524641E-4</v>
      </c>
    </row>
    <row r="689" spans="1:11">
      <c r="A689">
        <v>50</v>
      </c>
      <c r="B689">
        <v>0.69</v>
      </c>
      <c r="C689">
        <f t="shared" si="82"/>
        <v>0.84782865512206451</v>
      </c>
      <c r="D689">
        <f t="shared" si="83"/>
        <v>2.4909884377639597E-2</v>
      </c>
      <c r="E689">
        <f t="shared" si="84"/>
        <v>5.2320698125687043E-2</v>
      </c>
      <c r="J689" t="s">
        <v>12</v>
      </c>
      <c r="K689">
        <v>150</v>
      </c>
    </row>
    <row r="690" spans="1:11">
      <c r="A690">
        <v>60</v>
      </c>
      <c r="B690">
        <v>0.83</v>
      </c>
      <c r="C690">
        <f t="shared" si="82"/>
        <v>0.97029359249161229</v>
      </c>
      <c r="D690">
        <f t="shared" si="83"/>
        <v>1.9682292094202584E-2</v>
      </c>
      <c r="E690">
        <f t="shared" si="84"/>
        <v>2.8570608352739998E-2</v>
      </c>
      <c r="J690" t="s">
        <v>8</v>
      </c>
      <c r="K690">
        <v>8</v>
      </c>
    </row>
    <row r="691" spans="1:11">
      <c r="A691">
        <v>70</v>
      </c>
      <c r="B691">
        <v>0.88</v>
      </c>
      <c r="C691">
        <f t="shared" si="82"/>
        <v>0.99480474341881098</v>
      </c>
      <c r="D691">
        <f t="shared" si="83"/>
        <v>1.3180129111459021E-2</v>
      </c>
      <c r="E691">
        <f t="shared" si="84"/>
        <v>1.7019794823681586E-2</v>
      </c>
      <c r="J691" t="s">
        <v>105</v>
      </c>
      <c r="K691">
        <v>4</v>
      </c>
    </row>
    <row r="692" spans="1:11">
      <c r="A692">
        <v>75</v>
      </c>
      <c r="B692">
        <v>0.89</v>
      </c>
      <c r="C692">
        <f t="shared" si="82"/>
        <v>0.99784774104387186</v>
      </c>
      <c r="D692">
        <f t="shared" si="83"/>
        <v>1.163113524826604E-2</v>
      </c>
      <c r="E692">
        <f t="shared" si="84"/>
        <v>1.4683922797962429E-2</v>
      </c>
      <c r="F692">
        <f>D694/B694^2</f>
        <v>4.1279634056652784E-3</v>
      </c>
      <c r="J692" t="s">
        <v>107</v>
      </c>
      <c r="K692">
        <v>2</v>
      </c>
    </row>
    <row r="693" spans="1:11">
      <c r="A693">
        <v>95</v>
      </c>
      <c r="B693">
        <v>0.9</v>
      </c>
      <c r="C693">
        <f t="shared" si="82"/>
        <v>0.99993724514130256</v>
      </c>
      <c r="D693">
        <f t="shared" si="83"/>
        <v>9.9874529664327975E-3</v>
      </c>
      <c r="E693">
        <f t="shared" si="84"/>
        <v>1.2330188847447895E-2</v>
      </c>
      <c r="J693" t="s">
        <v>106</v>
      </c>
      <c r="K693">
        <v>10</v>
      </c>
    </row>
    <row r="694" spans="1:11">
      <c r="B694">
        <f>SUM(B684:B693)</f>
        <v>4.88</v>
      </c>
      <c r="D694" s="6">
        <f>SUM(D684:D693)</f>
        <v>9.8304971727875196E-2</v>
      </c>
      <c r="E694">
        <f>SUM(E684:E693)</f>
        <v>0.61276612370003058</v>
      </c>
    </row>
    <row r="698" spans="1:11">
      <c r="B698" t="s">
        <v>66</v>
      </c>
    </row>
    <row r="699" spans="1:11">
      <c r="A699" t="s">
        <v>29</v>
      </c>
      <c r="B699" t="s">
        <v>43</v>
      </c>
      <c r="C699" t="s">
        <v>99</v>
      </c>
      <c r="D699" t="s">
        <v>120</v>
      </c>
      <c r="E699" t="s">
        <v>119</v>
      </c>
    </row>
    <row r="700" spans="1:11">
      <c r="A700">
        <v>0</v>
      </c>
      <c r="B700">
        <v>0</v>
      </c>
      <c r="C700">
        <f>(($K$689)*(EXP(($K$684)*(A700-$K$685))))/(1+EXP(($K$684)*(A700-$K$685))*($K$689))</f>
        <v>8.0396441899956649E-4</v>
      </c>
      <c r="D700">
        <f>(B700-C700)^2</f>
        <v>6.4635878701731046E-7</v>
      </c>
      <c r="E700">
        <v>0</v>
      </c>
      <c r="J700" s="6" t="s">
        <v>168</v>
      </c>
      <c r="K700" s="6">
        <v>0.17685645319630899</v>
      </c>
    </row>
    <row r="701" spans="1:11">
      <c r="A701">
        <v>10</v>
      </c>
      <c r="B701">
        <v>0</v>
      </c>
      <c r="C701">
        <f t="shared" ref="C701:C709" si="85">(($K$689)*(EXP(($K$684)*(A701-$K$685))))/(1+EXP(($K$684)*(A701-$K$685))*($K$689))</f>
        <v>4.6948335764361807E-3</v>
      </c>
      <c r="D701">
        <f t="shared" ref="D701:D709" si="86">(B701-C701)^2</f>
        <v>2.2041462310432539E-5</v>
      </c>
      <c r="E701">
        <v>0</v>
      </c>
      <c r="J701" s="6" t="s">
        <v>169</v>
      </c>
      <c r="K701" s="6">
        <v>68.6194160955732</v>
      </c>
    </row>
    <row r="702" spans="1:11">
      <c r="A702">
        <v>15</v>
      </c>
      <c r="B702">
        <v>0.01</v>
      </c>
      <c r="C702">
        <f t="shared" si="85"/>
        <v>1.1292000791432928E-2</v>
      </c>
      <c r="D702">
        <f t="shared" si="86"/>
        <v>1.6692660450633113E-6</v>
      </c>
      <c r="E702">
        <f t="shared" ref="E702:E709" si="87">ABS((B702-C702))</f>
        <v>1.2920007914329276E-3</v>
      </c>
      <c r="G702" s="6" t="s">
        <v>129</v>
      </c>
      <c r="H702" s="6">
        <f>(100/10)*F706</f>
        <v>1.5707590355802667</v>
      </c>
    </row>
    <row r="703" spans="1:11">
      <c r="A703">
        <v>25</v>
      </c>
      <c r="B703">
        <v>0.2</v>
      </c>
      <c r="C703">
        <f t="shared" si="85"/>
        <v>6.2753031881446167E-2</v>
      </c>
      <c r="D703">
        <f t="shared" si="86"/>
        <v>1.8836730257735339E-2</v>
      </c>
      <c r="E703">
        <f t="shared" si="87"/>
        <v>0.13724696811855386</v>
      </c>
    </row>
    <row r="704" spans="1:11">
      <c r="A704">
        <v>40</v>
      </c>
      <c r="B704">
        <v>0.48</v>
      </c>
      <c r="C704">
        <f t="shared" si="85"/>
        <v>0.48727946323552118</v>
      </c>
      <c r="D704">
        <f t="shared" si="86"/>
        <v>5.2990584997304774E-5</v>
      </c>
      <c r="E704">
        <f t="shared" si="87"/>
        <v>7.2794632355211997E-3</v>
      </c>
    </row>
    <row r="705" spans="1:11">
      <c r="A705">
        <v>50</v>
      </c>
      <c r="B705">
        <v>0.69</v>
      </c>
      <c r="C705">
        <f t="shared" si="85"/>
        <v>0.84782865512206451</v>
      </c>
      <c r="D705">
        <f t="shared" si="86"/>
        <v>2.4909884377639597E-2</v>
      </c>
      <c r="E705">
        <f t="shared" si="87"/>
        <v>0.15782865512206457</v>
      </c>
      <c r="J705" t="s">
        <v>12</v>
      </c>
      <c r="K705">
        <v>150</v>
      </c>
    </row>
    <row r="706" spans="1:11">
      <c r="A706">
        <v>60</v>
      </c>
      <c r="B706">
        <v>0.83</v>
      </c>
      <c r="C706">
        <f t="shared" si="85"/>
        <v>0.97029359249161229</v>
      </c>
      <c r="D706">
        <f t="shared" si="86"/>
        <v>1.9682292094202584E-2</v>
      </c>
      <c r="E706">
        <f t="shared" si="87"/>
        <v>0.14029359249161233</v>
      </c>
      <c r="F706">
        <f>E710/B710</f>
        <v>0.15707590355802667</v>
      </c>
      <c r="J706" t="s">
        <v>8</v>
      </c>
      <c r="K706">
        <v>8</v>
      </c>
    </row>
    <row r="707" spans="1:11">
      <c r="A707">
        <v>70</v>
      </c>
      <c r="B707">
        <v>0.88</v>
      </c>
      <c r="C707">
        <f t="shared" si="85"/>
        <v>0.99480474341881098</v>
      </c>
      <c r="D707">
        <f t="shared" si="86"/>
        <v>1.3180129111459021E-2</v>
      </c>
      <c r="E707">
        <f t="shared" si="87"/>
        <v>0.11480474341881097</v>
      </c>
      <c r="J707" t="s">
        <v>105</v>
      </c>
      <c r="K707">
        <v>4</v>
      </c>
    </row>
    <row r="708" spans="1:11">
      <c r="A708">
        <v>75</v>
      </c>
      <c r="B708">
        <v>0.89</v>
      </c>
      <c r="C708">
        <f t="shared" si="85"/>
        <v>0.99784774104387186</v>
      </c>
      <c r="D708">
        <f t="shared" si="86"/>
        <v>1.163113524826604E-2</v>
      </c>
      <c r="E708">
        <f t="shared" si="87"/>
        <v>0.10784774104387185</v>
      </c>
      <c r="J708" t="s">
        <v>107</v>
      </c>
      <c r="K708">
        <v>2</v>
      </c>
    </row>
    <row r="709" spans="1:11">
      <c r="A709">
        <v>95</v>
      </c>
      <c r="B709">
        <v>0.9</v>
      </c>
      <c r="C709">
        <f t="shared" si="85"/>
        <v>0.99993724514130256</v>
      </c>
      <c r="D709">
        <f t="shared" si="86"/>
        <v>9.9874529664327975E-3</v>
      </c>
      <c r="E709">
        <f t="shared" si="87"/>
        <v>9.9937245141302533E-2</v>
      </c>
      <c r="J709" t="s">
        <v>106</v>
      </c>
      <c r="K709">
        <v>10</v>
      </c>
    </row>
    <row r="710" spans="1:11">
      <c r="B710">
        <f>SUM(B700:B709)</f>
        <v>4.88</v>
      </c>
      <c r="E710">
        <f>SUM(E700:E709)</f>
        <v>0.76653040936317018</v>
      </c>
    </row>
    <row r="718" spans="1:11">
      <c r="A718" t="s">
        <v>192</v>
      </c>
    </row>
    <row r="722" spans="1:11" ht="16.8">
      <c r="A722" s="1" t="s">
        <v>109</v>
      </c>
    </row>
    <row r="723" spans="1:11">
      <c r="B723" t="s">
        <v>111</v>
      </c>
    </row>
    <row r="724" spans="1:11">
      <c r="A724" t="s">
        <v>29</v>
      </c>
      <c r="B724" t="s">
        <v>43</v>
      </c>
      <c r="C724" t="s">
        <v>99</v>
      </c>
      <c r="D724" t="s">
        <v>100</v>
      </c>
    </row>
    <row r="725" spans="1:11">
      <c r="A725">
        <v>0</v>
      </c>
      <c r="B725">
        <v>0</v>
      </c>
      <c r="C725">
        <f>(($K$730)*(EXP(($K$725)*(A725-$K$726))))/(1+EXP(($K$725)*(A725-$K$726))*($K$730))</f>
        <v>5.3072098963482129E-3</v>
      </c>
      <c r="D725">
        <f>(B725-C725)^2</f>
        <v>2.8166476883896407E-5</v>
      </c>
      <c r="J725" s="6" t="s">
        <v>168</v>
      </c>
      <c r="K725" s="6">
        <v>5.4206377957566797E-2</v>
      </c>
    </row>
    <row r="726" spans="1:11">
      <c r="A726">
        <v>20</v>
      </c>
      <c r="B726">
        <v>0</v>
      </c>
      <c r="C726">
        <f t="shared" ref="C726:C738" si="88">(($K$730)*(EXP(($K$725)*(A726-$K$726))))/(1+EXP(($K$725)*(A726-$K$726))*($K$730))</f>
        <v>1.5531370937269152E-2</v>
      </c>
      <c r="D726">
        <f t="shared" ref="D726:D738" si="89">(B726-C726)^2</f>
        <v>2.4122348319104885E-4</v>
      </c>
      <c r="J726" s="6" t="s">
        <v>169</v>
      </c>
      <c r="K726" s="6">
        <v>181.50148079619399</v>
      </c>
    </row>
    <row r="727" spans="1:11">
      <c r="A727">
        <v>30</v>
      </c>
      <c r="B727">
        <v>0</v>
      </c>
      <c r="C727">
        <f t="shared" si="88"/>
        <v>2.6411830817561349E-2</v>
      </c>
      <c r="D727">
        <f t="shared" si="89"/>
        <v>6.9758480713548346E-4</v>
      </c>
    </row>
    <row r="728" spans="1:11">
      <c r="A728">
        <v>40</v>
      </c>
      <c r="B728">
        <v>0</v>
      </c>
      <c r="C728">
        <f t="shared" si="88"/>
        <v>4.4569486886753766E-2</v>
      </c>
      <c r="D728">
        <f t="shared" si="89"/>
        <v>1.9864391613485157E-3</v>
      </c>
      <c r="G728" s="6" t="s">
        <v>100</v>
      </c>
      <c r="H728" s="6">
        <f>D739</f>
        <v>1.3332336052821714E-2</v>
      </c>
    </row>
    <row r="729" spans="1:11">
      <c r="A729">
        <v>50</v>
      </c>
      <c r="B729">
        <v>0.01</v>
      </c>
      <c r="C729">
        <f t="shared" si="88"/>
        <v>7.4258087861281741E-2</v>
      </c>
      <c r="D729">
        <f t="shared" si="89"/>
        <v>4.1291018555882041E-3</v>
      </c>
    </row>
    <row r="730" spans="1:11">
      <c r="A730">
        <v>60</v>
      </c>
      <c r="B730">
        <v>0.11</v>
      </c>
      <c r="C730">
        <f t="shared" si="88"/>
        <v>0.12121387500800659</v>
      </c>
      <c r="D730">
        <f t="shared" si="89"/>
        <v>1.2575099269519487E-4</v>
      </c>
      <c r="J730" t="s">
        <v>12</v>
      </c>
      <c r="K730">
        <v>100</v>
      </c>
    </row>
    <row r="731" spans="1:11">
      <c r="A731">
        <v>80</v>
      </c>
      <c r="B731">
        <v>0.32</v>
      </c>
      <c r="C731">
        <f t="shared" si="88"/>
        <v>0.28969672119414458</v>
      </c>
      <c r="D731">
        <f t="shared" si="89"/>
        <v>9.1828870638540673E-4</v>
      </c>
      <c r="J731" t="s">
        <v>8</v>
      </c>
      <c r="K731">
        <v>12</v>
      </c>
    </row>
    <row r="732" spans="1:11">
      <c r="A732">
        <v>96</v>
      </c>
      <c r="B732">
        <v>0.52</v>
      </c>
      <c r="C732">
        <f t="shared" si="88"/>
        <v>0.49261168831744973</v>
      </c>
      <c r="D732">
        <f t="shared" si="89"/>
        <v>7.5011961682052081E-4</v>
      </c>
      <c r="J732" t="s">
        <v>105</v>
      </c>
      <c r="K732">
        <v>4</v>
      </c>
    </row>
    <row r="733" spans="1:11">
      <c r="A733">
        <v>105</v>
      </c>
      <c r="B733">
        <v>0.62</v>
      </c>
      <c r="C733">
        <f t="shared" si="88"/>
        <v>0.6126112869876319</v>
      </c>
      <c r="D733">
        <f t="shared" si="89"/>
        <v>5.4593079979137649E-5</v>
      </c>
      <c r="J733" t="s">
        <v>106</v>
      </c>
      <c r="K733">
        <v>14</v>
      </c>
    </row>
    <row r="734" spans="1:11">
      <c r="A734">
        <v>122</v>
      </c>
      <c r="B734">
        <v>0.81</v>
      </c>
      <c r="C734">
        <f t="shared" si="88"/>
        <v>0.79896055257682985</v>
      </c>
      <c r="D734">
        <f t="shared" si="89"/>
        <v>1.218693994089392E-4</v>
      </c>
      <c r="J734" t="s">
        <v>107</v>
      </c>
      <c r="K734">
        <v>2</v>
      </c>
    </row>
    <row r="735" spans="1:11">
      <c r="A735">
        <v>132</v>
      </c>
      <c r="B735">
        <v>0.86</v>
      </c>
      <c r="C735">
        <f t="shared" si="88"/>
        <v>0.87234728653770255</v>
      </c>
      <c r="D735">
        <f t="shared" si="89"/>
        <v>1.5245548484413092E-4</v>
      </c>
    </row>
    <row r="736" spans="1:11">
      <c r="A736">
        <v>138</v>
      </c>
      <c r="B736">
        <v>0.88</v>
      </c>
      <c r="C736">
        <f t="shared" si="88"/>
        <v>0.90440117204444015</v>
      </c>
      <c r="D736">
        <f t="shared" si="89"/>
        <v>5.954171971423672E-4</v>
      </c>
    </row>
    <row r="737" spans="1:11">
      <c r="A737">
        <v>143</v>
      </c>
      <c r="B737">
        <v>0.89</v>
      </c>
      <c r="C737">
        <f t="shared" si="88"/>
        <v>0.92540405892342437</v>
      </c>
      <c r="D737">
        <f t="shared" si="89"/>
        <v>1.2534473882533036E-3</v>
      </c>
    </row>
    <row r="738" spans="1:11">
      <c r="A738">
        <v>150</v>
      </c>
      <c r="B738">
        <v>0.9</v>
      </c>
      <c r="C738">
        <f t="shared" si="88"/>
        <v>0.94772712439635942</v>
      </c>
      <c r="D738">
        <f t="shared" si="89"/>
        <v>2.2778784031455643E-3</v>
      </c>
    </row>
    <row r="739" spans="1:11">
      <c r="D739" s="6">
        <f>SUM(D725:D738)</f>
        <v>1.3332336052821714E-2</v>
      </c>
    </row>
    <row r="745" spans="1:11" ht="16.8">
      <c r="A745" s="1" t="s">
        <v>184</v>
      </c>
    </row>
    <row r="746" spans="1:11">
      <c r="B746" t="s">
        <v>111</v>
      </c>
    </row>
    <row r="747" spans="1:11">
      <c r="A747" t="s">
        <v>29</v>
      </c>
      <c r="B747" t="s">
        <v>43</v>
      </c>
      <c r="C747" t="s">
        <v>99</v>
      </c>
      <c r="D747" t="s">
        <v>120</v>
      </c>
      <c r="E747" t="s">
        <v>137</v>
      </c>
    </row>
    <row r="748" spans="1:11">
      <c r="A748">
        <v>0</v>
      </c>
      <c r="B748">
        <v>0</v>
      </c>
      <c r="C748">
        <f>(($K$753)*(EXP(($K$748)*(A748-$K$749))))/(1+EXP(($K$748)*(A748-$K$749))*($K$753))</f>
        <v>5.2495762923113467E-3</v>
      </c>
      <c r="D748">
        <f>(B748-C748)^2</f>
        <v>2.7558051248797347E-5</v>
      </c>
      <c r="E748">
        <f>ABS(B748-C748)</f>
        <v>5.2495762923113467E-3</v>
      </c>
      <c r="J748" s="6" t="s">
        <v>168</v>
      </c>
      <c r="K748" s="6">
        <v>5.4608504850550098E-2</v>
      </c>
    </row>
    <row r="749" spans="1:11">
      <c r="A749">
        <v>20</v>
      </c>
      <c r="B749">
        <v>0</v>
      </c>
      <c r="C749">
        <f t="shared" ref="C749:C761" si="90">(($K$753)*(EXP(($K$748)*(A749-$K$749))))/(1+EXP(($K$748)*(A749-$K$749))*($K$753))</f>
        <v>1.5486568956859827E-2</v>
      </c>
      <c r="D749">
        <f t="shared" ref="D749:D761" si="91">(B749-C749)^2</f>
        <v>2.3983381805557446E-4</v>
      </c>
      <c r="E749">
        <f t="shared" ref="E749:E761" si="92">ABS(B749-C749)</f>
        <v>1.5486568956859827E-2</v>
      </c>
      <c r="J749" s="6" t="s">
        <v>169</v>
      </c>
      <c r="K749" s="6">
        <v>180.365947045692</v>
      </c>
    </row>
    <row r="750" spans="1:11">
      <c r="A750">
        <v>30</v>
      </c>
      <c r="B750">
        <v>0</v>
      </c>
      <c r="C750">
        <f t="shared" si="90"/>
        <v>2.6439796096522281E-2</v>
      </c>
      <c r="D750">
        <f t="shared" si="91"/>
        <v>6.9906281762567482E-4</v>
      </c>
      <c r="E750">
        <f t="shared" si="92"/>
        <v>2.6439796096522281E-2</v>
      </c>
    </row>
    <row r="751" spans="1:11">
      <c r="A751">
        <v>40</v>
      </c>
      <c r="B751">
        <v>0</v>
      </c>
      <c r="C751">
        <f t="shared" si="90"/>
        <v>4.4787518484968508E-2</v>
      </c>
      <c r="D751">
        <f t="shared" si="91"/>
        <v>2.0059218120413959E-3</v>
      </c>
      <c r="E751">
        <f t="shared" si="92"/>
        <v>4.4787518484968508E-2</v>
      </c>
      <c r="G751" s="6" t="s">
        <v>132</v>
      </c>
      <c r="H751" s="6">
        <f>E762</f>
        <v>0.35468586254750711</v>
      </c>
    </row>
    <row r="752" spans="1:11">
      <c r="A752">
        <v>50</v>
      </c>
      <c r="B752">
        <v>0.01</v>
      </c>
      <c r="C752">
        <f t="shared" si="90"/>
        <v>7.4888130356342925E-2</v>
      </c>
      <c r="D752">
        <f t="shared" si="91"/>
        <v>4.2104694611417529E-3</v>
      </c>
      <c r="E752">
        <f t="shared" si="92"/>
        <v>6.488813035634293E-2</v>
      </c>
    </row>
    <row r="753" spans="1:11">
      <c r="A753">
        <v>60</v>
      </c>
      <c r="B753">
        <v>0.11</v>
      </c>
      <c r="C753">
        <f t="shared" si="90"/>
        <v>0.12262170354569892</v>
      </c>
      <c r="D753">
        <f t="shared" si="91"/>
        <v>1.5930740039550855E-4</v>
      </c>
      <c r="E753">
        <f t="shared" si="92"/>
        <v>1.2621703545698915E-2</v>
      </c>
      <c r="J753" t="s">
        <v>12</v>
      </c>
      <c r="K753">
        <v>100</v>
      </c>
    </row>
    <row r="754" spans="1:11">
      <c r="A754">
        <v>80</v>
      </c>
      <c r="B754">
        <v>0.32</v>
      </c>
      <c r="C754">
        <f t="shared" si="90"/>
        <v>0.29407708480145517</v>
      </c>
      <c r="D754">
        <f t="shared" si="91"/>
        <v>6.71997532390947E-4</v>
      </c>
      <c r="E754">
        <f t="shared" si="92"/>
        <v>2.5922915198544838E-2</v>
      </c>
      <c r="J754" t="s">
        <v>8</v>
      </c>
      <c r="K754">
        <v>12</v>
      </c>
    </row>
    <row r="755" spans="1:11">
      <c r="A755">
        <v>96</v>
      </c>
      <c r="B755">
        <v>0.52</v>
      </c>
      <c r="C755">
        <f t="shared" si="90"/>
        <v>0.4995179895298586</v>
      </c>
      <c r="D755">
        <f t="shared" si="91"/>
        <v>4.1951275289898277E-4</v>
      </c>
      <c r="E755">
        <f t="shared" si="92"/>
        <v>2.0482010470141421E-2</v>
      </c>
      <c r="J755" t="s">
        <v>105</v>
      </c>
      <c r="K755">
        <v>4</v>
      </c>
    </row>
    <row r="756" spans="1:11">
      <c r="A756">
        <v>105</v>
      </c>
      <c r="B756">
        <v>0.62</v>
      </c>
      <c r="C756">
        <f t="shared" si="90"/>
        <v>0.62000006499223981</v>
      </c>
      <c r="D756">
        <f t="shared" si="91"/>
        <v>4.2239912358008051E-15</v>
      </c>
      <c r="E756">
        <f t="shared" si="92"/>
        <v>6.4992239812156072E-8</v>
      </c>
      <c r="J756" t="s">
        <v>106</v>
      </c>
      <c r="K756">
        <v>14</v>
      </c>
    </row>
    <row r="757" spans="1:11">
      <c r="A757">
        <v>122</v>
      </c>
      <c r="B757">
        <v>0.81</v>
      </c>
      <c r="C757">
        <f t="shared" si="90"/>
        <v>0.80500790589015392</v>
      </c>
      <c r="D757">
        <f t="shared" si="91"/>
        <v>2.492100360156047E-5</v>
      </c>
      <c r="E757">
        <f t="shared" si="92"/>
        <v>4.9920941098461347E-3</v>
      </c>
      <c r="J757" t="s">
        <v>107</v>
      </c>
      <c r="K757">
        <v>2</v>
      </c>
    </row>
    <row r="758" spans="1:11">
      <c r="A758">
        <v>132</v>
      </c>
      <c r="B758">
        <v>0.86</v>
      </c>
      <c r="C758">
        <f t="shared" si="90"/>
        <v>0.87696283308967626</v>
      </c>
      <c r="D758">
        <f t="shared" si="91"/>
        <v>2.8773770642821642E-4</v>
      </c>
      <c r="E758">
        <f t="shared" si="92"/>
        <v>1.6962833089676277E-2</v>
      </c>
    </row>
    <row r="759" spans="1:11">
      <c r="A759">
        <v>138</v>
      </c>
      <c r="B759">
        <v>0.88</v>
      </c>
      <c r="C759">
        <f t="shared" si="90"/>
        <v>0.90818139285729005</v>
      </c>
      <c r="D759">
        <f t="shared" si="91"/>
        <v>7.9419090337691837E-4</v>
      </c>
      <c r="E759">
        <f t="shared" si="92"/>
        <v>2.8181392857290044E-2</v>
      </c>
    </row>
    <row r="760" spans="1:11">
      <c r="A760">
        <v>143</v>
      </c>
      <c r="B760">
        <v>0.89</v>
      </c>
      <c r="C760">
        <f t="shared" si="90"/>
        <v>0.92855300936163088</v>
      </c>
      <c r="D760">
        <f t="shared" si="91"/>
        <v>1.486334530837997E-3</v>
      </c>
      <c r="E760">
        <f t="shared" si="92"/>
        <v>3.8553009361630863E-2</v>
      </c>
    </row>
    <row r="761" spans="1:11">
      <c r="A761">
        <v>150</v>
      </c>
      <c r="B761">
        <v>0.9</v>
      </c>
      <c r="C761">
        <f t="shared" si="90"/>
        <v>0.95011824873543393</v>
      </c>
      <c r="D761">
        <f t="shared" si="91"/>
        <v>2.5118388563068229E-3</v>
      </c>
      <c r="E761">
        <f t="shared" si="92"/>
        <v>5.0118248735433912E-2</v>
      </c>
    </row>
    <row r="762" spans="1:11">
      <c r="D762">
        <f>SUM(D748:D761)</f>
        <v>1.3538686646354374E-2</v>
      </c>
      <c r="E762">
        <f>SUM(E748:E761)</f>
        <v>0.35468586254750711</v>
      </c>
    </row>
    <row r="768" spans="1:11" ht="16.8">
      <c r="A768" s="3" t="s">
        <v>190</v>
      </c>
    </row>
    <row r="769" spans="1:11">
      <c r="B769" t="s">
        <v>111</v>
      </c>
    </row>
    <row r="770" spans="1:11">
      <c r="A770" t="s">
        <v>29</v>
      </c>
      <c r="B770" t="s">
        <v>43</v>
      </c>
      <c r="C770" t="s">
        <v>99</v>
      </c>
      <c r="D770" t="s">
        <v>120</v>
      </c>
      <c r="E770" t="s">
        <v>119</v>
      </c>
    </row>
    <row r="771" spans="1:11">
      <c r="A771">
        <v>0</v>
      </c>
      <c r="B771">
        <v>0</v>
      </c>
      <c r="C771">
        <f>(($K$776)*(EXP(($K$771)*(A771-$K$772))))/(1+EXP(($K$771)*(A771-$K$772))*($K$776))</f>
        <v>7.2498758758754458E-5</v>
      </c>
      <c r="D771">
        <f>(B771-C771)^2</f>
        <v>5.2560700215600764E-9</v>
      </c>
      <c r="E771">
        <v>0</v>
      </c>
      <c r="J771" s="6" t="s">
        <v>168</v>
      </c>
      <c r="K771" s="6">
        <v>0.102517948116257</v>
      </c>
    </row>
    <row r="772" spans="1:11">
      <c r="A772">
        <v>20</v>
      </c>
      <c r="B772">
        <v>0</v>
      </c>
      <c r="C772">
        <f t="shared" ref="C772:C784" si="93">(($K$776)*(EXP(($K$771)*(A772-$K$772))))/(1+EXP(($K$771)*(A772-$K$772))*($K$776))</f>
        <v>5.6308897743950531E-4</v>
      </c>
      <c r="D772">
        <f t="shared" ref="D772:D784" si="94">(B772-C772)^2</f>
        <v>3.1706919651386775E-7</v>
      </c>
      <c r="E772">
        <v>0</v>
      </c>
      <c r="J772" s="6" t="s">
        <v>169</v>
      </c>
      <c r="K772" s="6">
        <v>137.89818330531401</v>
      </c>
    </row>
    <row r="773" spans="1:11">
      <c r="A773">
        <v>30</v>
      </c>
      <c r="B773">
        <v>0</v>
      </c>
      <c r="C773">
        <f t="shared" si="93"/>
        <v>1.5680860359171902E-3</v>
      </c>
      <c r="D773">
        <f t="shared" si="94"/>
        <v>2.4588938160384878E-6</v>
      </c>
      <c r="E773">
        <v>0</v>
      </c>
    </row>
    <row r="774" spans="1:11">
      <c r="A774">
        <v>40</v>
      </c>
      <c r="B774">
        <v>0</v>
      </c>
      <c r="C774">
        <f t="shared" si="93"/>
        <v>4.3589712988319511E-3</v>
      </c>
      <c r="D774">
        <f t="shared" si="94"/>
        <v>1.9000630784040707E-5</v>
      </c>
      <c r="E774">
        <v>0</v>
      </c>
      <c r="G774" s="6" t="s">
        <v>121</v>
      </c>
      <c r="H774" s="6">
        <f>(100)*(1/12)^(0.5)*(F779)^(0.5)</f>
        <v>1.6363518307763603</v>
      </c>
    </row>
    <row r="775" spans="1:11">
      <c r="A775">
        <v>50</v>
      </c>
      <c r="B775">
        <v>0.01</v>
      </c>
      <c r="C775">
        <f t="shared" si="93"/>
        <v>1.2057099939229265E-2</v>
      </c>
      <c r="D775">
        <f t="shared" si="94"/>
        <v>4.2316601599770471E-6</v>
      </c>
      <c r="E775">
        <f>((B775-C775)/B775)^2</f>
        <v>4.2316601599770465E-2</v>
      </c>
    </row>
    <row r="776" spans="1:11">
      <c r="A776">
        <v>60</v>
      </c>
      <c r="B776">
        <v>0.11</v>
      </c>
      <c r="C776">
        <f t="shared" si="93"/>
        <v>3.2901193705368842E-2</v>
      </c>
      <c r="D776">
        <f t="shared" si="94"/>
        <v>5.9442259320570574E-3</v>
      </c>
      <c r="E776">
        <f t="shared" ref="E776:E784" si="95">((B776-C776)/B776)^2</f>
        <v>0.49125834149231878</v>
      </c>
      <c r="J776" t="s">
        <v>12</v>
      </c>
      <c r="K776">
        <v>100</v>
      </c>
    </row>
    <row r="777" spans="1:11">
      <c r="A777">
        <v>80</v>
      </c>
      <c r="B777">
        <v>0.32</v>
      </c>
      <c r="C777">
        <f t="shared" si="93"/>
        <v>0.20908778963068914</v>
      </c>
      <c r="D777">
        <f t="shared" si="94"/>
        <v>1.2301518409006271E-2</v>
      </c>
      <c r="E777">
        <f t="shared" si="95"/>
        <v>0.12013201571295185</v>
      </c>
      <c r="J777" t="s">
        <v>8</v>
      </c>
      <c r="K777">
        <v>12</v>
      </c>
    </row>
    <row r="778" spans="1:11">
      <c r="A778">
        <v>96</v>
      </c>
      <c r="B778">
        <v>0.52</v>
      </c>
      <c r="C778">
        <f t="shared" si="93"/>
        <v>0.57684972233595733</v>
      </c>
      <c r="D778">
        <f t="shared" si="94"/>
        <v>3.2318909296754432E-3</v>
      </c>
      <c r="E778">
        <f t="shared" si="95"/>
        <v>1.1952259355308591E-2</v>
      </c>
      <c r="J778" t="s">
        <v>105</v>
      </c>
      <c r="K778">
        <v>4</v>
      </c>
    </row>
    <row r="779" spans="1:11">
      <c r="A779">
        <v>105</v>
      </c>
      <c r="B779">
        <v>0.62</v>
      </c>
      <c r="C779">
        <f t="shared" si="93"/>
        <v>0.77425861866553825</v>
      </c>
      <c r="D779">
        <f t="shared" si="94"/>
        <v>2.3795721432599944E-2</v>
      </c>
      <c r="E779">
        <f t="shared" si="95"/>
        <v>6.1903541708116412E-2</v>
      </c>
      <c r="F779">
        <f>D785/B785^2</f>
        <v>3.2131767769021753E-3</v>
      </c>
      <c r="J779" t="s">
        <v>106</v>
      </c>
      <c r="K779">
        <v>14</v>
      </c>
    </row>
    <row r="780" spans="1:11">
      <c r="A780">
        <v>122</v>
      </c>
      <c r="B780">
        <v>0.81</v>
      </c>
      <c r="C780">
        <f t="shared" si="93"/>
        <v>0.9514466792114199</v>
      </c>
      <c r="D780">
        <f t="shared" si="94"/>
        <v>2.0007163059938313E-2</v>
      </c>
      <c r="E780">
        <f t="shared" si="95"/>
        <v>3.0494075689587428E-2</v>
      </c>
      <c r="J780" t="s">
        <v>107</v>
      </c>
      <c r="K780">
        <v>2</v>
      </c>
    </row>
    <row r="781" spans="1:11">
      <c r="A781">
        <v>132</v>
      </c>
      <c r="B781">
        <v>0.86</v>
      </c>
      <c r="C781">
        <f t="shared" si="93"/>
        <v>0.98202262872405</v>
      </c>
      <c r="D781">
        <f t="shared" si="94"/>
        <v>1.4889521920727355E-2</v>
      </c>
      <c r="E781">
        <f t="shared" si="95"/>
        <v>2.013185765376873E-2</v>
      </c>
    </row>
    <row r="782" spans="1:11">
      <c r="A782">
        <v>138</v>
      </c>
      <c r="B782">
        <v>0.88</v>
      </c>
      <c r="C782">
        <f t="shared" si="93"/>
        <v>0.99020081187142106</v>
      </c>
      <c r="D782">
        <f t="shared" si="94"/>
        <v>1.2144218937120336E-2</v>
      </c>
      <c r="E782">
        <f t="shared" si="95"/>
        <v>1.5682100900207045E-2</v>
      </c>
    </row>
    <row r="783" spans="1:11">
      <c r="A783">
        <v>143</v>
      </c>
      <c r="B783">
        <v>0.89</v>
      </c>
      <c r="C783">
        <f t="shared" si="93"/>
        <v>0.99410769313553204</v>
      </c>
      <c r="D783">
        <f t="shared" si="94"/>
        <v>1.0838411770002103E-2</v>
      </c>
      <c r="E783">
        <f t="shared" si="95"/>
        <v>1.3683135677316126E-2</v>
      </c>
    </row>
    <row r="784" spans="1:11">
      <c r="A784">
        <v>150</v>
      </c>
      <c r="B784">
        <v>0.9</v>
      </c>
      <c r="C784">
        <f t="shared" si="93"/>
        <v>0.99711638735492059</v>
      </c>
      <c r="D784">
        <f t="shared" si="94"/>
        <v>9.4315926928709749E-3</v>
      </c>
      <c r="E784">
        <f t="shared" si="95"/>
        <v>1.1643941596137006E-2</v>
      </c>
    </row>
    <row r="785" spans="1:11">
      <c r="B785">
        <f>SUM(B771:B784)</f>
        <v>5.92</v>
      </c>
      <c r="D785">
        <f>SUM(D771:D784)</f>
        <v>0.11261027859402439</v>
      </c>
      <c r="E785">
        <f>SUM(E771:E784)</f>
        <v>0.8191978713854825</v>
      </c>
    </row>
    <row r="789" spans="1:11" ht="16.8">
      <c r="A789" s="1" t="s">
        <v>125</v>
      </c>
    </row>
    <row r="790" spans="1:11">
      <c r="B790" t="s">
        <v>111</v>
      </c>
    </row>
    <row r="791" spans="1:11">
      <c r="A791" t="s">
        <v>29</v>
      </c>
      <c r="B791" t="s">
        <v>43</v>
      </c>
      <c r="C791" t="s">
        <v>99</v>
      </c>
      <c r="D791" t="s">
        <v>120</v>
      </c>
      <c r="E791" t="s">
        <v>119</v>
      </c>
    </row>
    <row r="792" spans="1:11">
      <c r="A792">
        <v>0</v>
      </c>
      <c r="B792">
        <v>0</v>
      </c>
      <c r="C792">
        <f>(($K$797)*(EXP(($K$792)*(A792-$K$793))))/(1+EXP(($K$792)*(A792-$K$793))*($K$797))</f>
        <v>7.2353958655141045E-4</v>
      </c>
      <c r="D792">
        <f>(B792-C792)^2</f>
        <v>5.2350953330698603E-7</v>
      </c>
      <c r="E792">
        <v>0</v>
      </c>
      <c r="J792" s="6" t="s">
        <v>168</v>
      </c>
      <c r="K792" s="6">
        <v>7.4938056726050195E-2</v>
      </c>
    </row>
    <row r="793" spans="1:11">
      <c r="A793">
        <v>20</v>
      </c>
      <c r="B793">
        <v>0</v>
      </c>
      <c r="C793">
        <f t="shared" ref="C793:C805" si="96">(($K$797)*(EXP(($K$792)*(A793-$K$793))))/(1+EXP(($K$792)*(A793-$K$793))*($K$797))</f>
        <v>3.2305394897475192E-3</v>
      </c>
      <c r="D793">
        <f t="shared" ref="D793:D805" si="97">(B793-C793)^2</f>
        <v>1.0436385394818162E-5</v>
      </c>
      <c r="E793">
        <v>0</v>
      </c>
      <c r="J793" s="6" t="s">
        <v>169</v>
      </c>
      <c r="K793" s="6">
        <v>157.94113431355601</v>
      </c>
    </row>
    <row r="794" spans="1:11">
      <c r="A794">
        <v>30</v>
      </c>
      <c r="B794">
        <v>0</v>
      </c>
      <c r="C794">
        <f t="shared" si="96"/>
        <v>6.8102710248476037E-3</v>
      </c>
      <c r="D794">
        <f t="shared" si="97"/>
        <v>4.6379791431878832E-5</v>
      </c>
      <c r="E794">
        <v>0</v>
      </c>
      <c r="G794" s="6" t="s">
        <v>134</v>
      </c>
      <c r="H794" s="6">
        <f>(100/12)*E806</f>
        <v>1.043626600453851</v>
      </c>
    </row>
    <row r="795" spans="1:11">
      <c r="A795">
        <v>40</v>
      </c>
      <c r="B795">
        <v>0</v>
      </c>
      <c r="C795">
        <f t="shared" si="96"/>
        <v>1.4299764379530615E-2</v>
      </c>
      <c r="D795">
        <f t="shared" si="97"/>
        <v>2.0448326131009258E-4</v>
      </c>
      <c r="E795">
        <v>0</v>
      </c>
    </row>
    <row r="796" spans="1:11">
      <c r="A796">
        <v>50</v>
      </c>
      <c r="B796">
        <v>0.01</v>
      </c>
      <c r="C796">
        <f t="shared" si="96"/>
        <v>2.9778762310901322E-2</v>
      </c>
      <c r="D796">
        <f t="shared" si="97"/>
        <v>3.9119943855113069E-4</v>
      </c>
      <c r="E796">
        <f>(B796-C796)^2/B796</f>
        <v>3.9119943855113068E-2</v>
      </c>
    </row>
    <row r="797" spans="1:11">
      <c r="A797">
        <v>60</v>
      </c>
      <c r="B797">
        <v>0.11</v>
      </c>
      <c r="C797">
        <f t="shared" si="96"/>
        <v>6.0976721502013199E-2</v>
      </c>
      <c r="D797">
        <f t="shared" si="97"/>
        <v>2.4032818346911749E-3</v>
      </c>
      <c r="E797">
        <f t="shared" ref="E797:E805" si="98">(B797-C797)^2/B797</f>
        <v>2.1848016679010679E-2</v>
      </c>
      <c r="J797" t="s">
        <v>12</v>
      </c>
      <c r="K797">
        <v>100</v>
      </c>
    </row>
    <row r="798" spans="1:11">
      <c r="A798">
        <v>80</v>
      </c>
      <c r="B798">
        <v>0.32</v>
      </c>
      <c r="C798">
        <f t="shared" si="96"/>
        <v>0.22520507350018898</v>
      </c>
      <c r="D798">
        <f t="shared" si="97"/>
        <v>8.9860780901045746E-3</v>
      </c>
      <c r="E798">
        <f t="shared" si="98"/>
        <v>2.8081494031576795E-2</v>
      </c>
      <c r="J798" t="s">
        <v>8</v>
      </c>
      <c r="K798">
        <v>12</v>
      </c>
    </row>
    <row r="799" spans="1:11">
      <c r="A799">
        <v>96</v>
      </c>
      <c r="B799">
        <v>0.52</v>
      </c>
      <c r="C799">
        <f t="shared" si="96"/>
        <v>0.49085650672230435</v>
      </c>
      <c r="D799">
        <f t="shared" si="97"/>
        <v>8.4934320042709237E-4</v>
      </c>
      <c r="E799">
        <f t="shared" si="98"/>
        <v>1.6333523085136391E-3</v>
      </c>
      <c r="J799" t="s">
        <v>105</v>
      </c>
      <c r="K799">
        <v>4</v>
      </c>
    </row>
    <row r="800" spans="1:11">
      <c r="A800">
        <v>105</v>
      </c>
      <c r="B800">
        <v>0.62</v>
      </c>
      <c r="C800">
        <f t="shared" si="96"/>
        <v>0.65427055938704326</v>
      </c>
      <c r="D800">
        <f t="shared" si="97"/>
        <v>1.1744712407008593E-3</v>
      </c>
      <c r="E800">
        <f t="shared" si="98"/>
        <v>1.8943084527433215E-3</v>
      </c>
      <c r="J800" t="s">
        <v>106</v>
      </c>
      <c r="K800">
        <v>14</v>
      </c>
    </row>
    <row r="801" spans="1:11">
      <c r="A801">
        <v>122</v>
      </c>
      <c r="B801">
        <v>0.81</v>
      </c>
      <c r="C801">
        <f t="shared" si="96"/>
        <v>0.87122251517287064</v>
      </c>
      <c r="D801">
        <f t="shared" si="97"/>
        <v>3.7481963640923687E-3</v>
      </c>
      <c r="E801">
        <f t="shared" si="98"/>
        <v>4.6274029186325538E-3</v>
      </c>
      <c r="J801" t="s">
        <v>107</v>
      </c>
      <c r="K801">
        <v>2</v>
      </c>
    </row>
    <row r="802" spans="1:11">
      <c r="A802">
        <v>132</v>
      </c>
      <c r="B802">
        <v>0.86</v>
      </c>
      <c r="C802">
        <f t="shared" si="96"/>
        <v>0.93469746118706198</v>
      </c>
      <c r="D802">
        <f t="shared" si="97"/>
        <v>5.5797107077926334E-3</v>
      </c>
      <c r="E802">
        <f t="shared" si="98"/>
        <v>6.4880357067356202E-3</v>
      </c>
    </row>
    <row r="803" spans="1:11">
      <c r="A803">
        <v>138</v>
      </c>
      <c r="B803">
        <v>0.88</v>
      </c>
      <c r="C803">
        <f t="shared" si="96"/>
        <v>0.95733687314593341</v>
      </c>
      <c r="D803">
        <f t="shared" si="97"/>
        <v>5.9809919479901956E-3</v>
      </c>
      <c r="E803">
        <f t="shared" si="98"/>
        <v>6.7965817590797681E-3</v>
      </c>
    </row>
    <row r="804" spans="1:11">
      <c r="A804">
        <v>143</v>
      </c>
      <c r="B804">
        <v>0.89</v>
      </c>
      <c r="C804">
        <f t="shared" si="96"/>
        <v>0.97027267879331214</v>
      </c>
      <c r="D804">
        <f t="shared" si="97"/>
        <v>6.4437029606542618E-3</v>
      </c>
      <c r="E804">
        <f t="shared" si="98"/>
        <v>7.2401156861283842E-3</v>
      </c>
    </row>
    <row r="805" spans="1:11">
      <c r="A805">
        <v>150</v>
      </c>
      <c r="B805">
        <v>0.9</v>
      </c>
      <c r="C805">
        <f t="shared" si="96"/>
        <v>0.98219091550308635</v>
      </c>
      <c r="D805">
        <f t="shared" si="97"/>
        <v>6.7553465912354761E-3</v>
      </c>
      <c r="E805">
        <f t="shared" si="98"/>
        <v>7.5059406569283069E-3</v>
      </c>
    </row>
    <row r="806" spans="1:11">
      <c r="D806">
        <f>SUM(D792:D805)</f>
        <v>4.2574145323909865E-2</v>
      </c>
      <c r="E806">
        <f>SUM(E792:E805)</f>
        <v>0.12523519205446212</v>
      </c>
    </row>
    <row r="809" spans="1:11">
      <c r="B809" t="s">
        <v>111</v>
      </c>
    </row>
    <row r="810" spans="1:11">
      <c r="A810" t="s">
        <v>29</v>
      </c>
      <c r="B810" t="s">
        <v>43</v>
      </c>
      <c r="C810" t="s">
        <v>99</v>
      </c>
      <c r="D810" t="s">
        <v>120</v>
      </c>
      <c r="E810" t="s">
        <v>119</v>
      </c>
    </row>
    <row r="811" spans="1:11">
      <c r="A811">
        <v>0</v>
      </c>
      <c r="B811">
        <v>0</v>
      </c>
      <c r="C811">
        <f>(($K$797)*(EXP(($K$792)*(A811-$K$793))))/(1+EXP(($K$792)*(A811-$K$793))*($K$797))</f>
        <v>7.2353958655141045E-4</v>
      </c>
      <c r="D811">
        <f>(B811-C811)^2</f>
        <v>5.2350953330698603E-7</v>
      </c>
      <c r="E811">
        <v>0</v>
      </c>
      <c r="J811" s="6" t="s">
        <v>168</v>
      </c>
      <c r="K811" s="6">
        <v>7.4938056726050195E-2</v>
      </c>
    </row>
    <row r="812" spans="1:11">
      <c r="A812">
        <v>20</v>
      </c>
      <c r="B812">
        <v>0</v>
      </c>
      <c r="C812">
        <f t="shared" ref="C812:C824" si="99">(($K$797)*(EXP(($K$792)*(A812-$K$793))))/(1+EXP(($K$792)*(A812-$K$793))*($K$797))</f>
        <v>3.2305394897475192E-3</v>
      </c>
      <c r="D812">
        <f t="shared" ref="D812:D824" si="100">(B812-C812)^2</f>
        <v>1.0436385394818162E-5</v>
      </c>
      <c r="E812">
        <v>0</v>
      </c>
      <c r="J812" s="6" t="s">
        <v>169</v>
      </c>
      <c r="K812" s="6">
        <v>157.94113431355601</v>
      </c>
    </row>
    <row r="813" spans="1:11">
      <c r="A813">
        <v>30</v>
      </c>
      <c r="B813">
        <v>0</v>
      </c>
      <c r="C813">
        <f t="shared" si="99"/>
        <v>6.8102710248476037E-3</v>
      </c>
      <c r="D813">
        <f t="shared" si="100"/>
        <v>4.6379791431878832E-5</v>
      </c>
      <c r="E813">
        <v>0</v>
      </c>
      <c r="G813" s="6" t="s">
        <v>129</v>
      </c>
      <c r="H813" s="6">
        <f>ABS(B815-C815)/B815</f>
        <v>1.9778762310901323</v>
      </c>
    </row>
    <row r="814" spans="1:11">
      <c r="A814">
        <v>40</v>
      </c>
      <c r="B814">
        <v>0</v>
      </c>
      <c r="C814">
        <f t="shared" si="99"/>
        <v>1.4299764379530615E-2</v>
      </c>
      <c r="D814">
        <f t="shared" si="100"/>
        <v>2.0448326131009258E-4</v>
      </c>
      <c r="E814">
        <v>0</v>
      </c>
    </row>
    <row r="815" spans="1:11">
      <c r="A815">
        <v>50</v>
      </c>
      <c r="B815">
        <v>0.01</v>
      </c>
      <c r="C815">
        <f t="shared" si="99"/>
        <v>2.9778762310901322E-2</v>
      </c>
      <c r="D815">
        <f t="shared" si="100"/>
        <v>3.9119943855113069E-4</v>
      </c>
      <c r="E815">
        <f>ABS(B815-C815)/B815</f>
        <v>1.9778762310901323</v>
      </c>
    </row>
    <row r="816" spans="1:11">
      <c r="A816">
        <v>60</v>
      </c>
      <c r="B816">
        <v>0.11</v>
      </c>
      <c r="C816">
        <f t="shared" si="99"/>
        <v>6.0976721502013199E-2</v>
      </c>
      <c r="D816">
        <f t="shared" si="100"/>
        <v>2.4032818346911749E-3</v>
      </c>
      <c r="E816">
        <f t="shared" ref="E816:E824" si="101">ABS(B816-C816)/B816</f>
        <v>0.4456661681635164</v>
      </c>
      <c r="J816" t="s">
        <v>12</v>
      </c>
      <c r="K816">
        <v>100</v>
      </c>
    </row>
    <row r="817" spans="1:11">
      <c r="A817">
        <v>80</v>
      </c>
      <c r="B817">
        <v>0.32</v>
      </c>
      <c r="C817">
        <f t="shared" si="99"/>
        <v>0.22520507350018898</v>
      </c>
      <c r="D817">
        <f t="shared" si="100"/>
        <v>8.9860780901045746E-3</v>
      </c>
      <c r="E817">
        <f t="shared" si="101"/>
        <v>0.29623414531190945</v>
      </c>
      <c r="J817" t="s">
        <v>8</v>
      </c>
      <c r="K817">
        <v>12</v>
      </c>
    </row>
    <row r="818" spans="1:11">
      <c r="A818">
        <v>96</v>
      </c>
      <c r="B818">
        <v>0.52</v>
      </c>
      <c r="C818">
        <f t="shared" si="99"/>
        <v>0.49085650672230435</v>
      </c>
      <c r="D818">
        <f t="shared" si="100"/>
        <v>8.4934320042709237E-4</v>
      </c>
      <c r="E818">
        <f t="shared" si="101"/>
        <v>5.6045179380183968E-2</v>
      </c>
      <c r="J818" t="s">
        <v>105</v>
      </c>
      <c r="K818">
        <v>4</v>
      </c>
    </row>
    <row r="819" spans="1:11">
      <c r="A819">
        <v>105</v>
      </c>
      <c r="B819">
        <v>0.62</v>
      </c>
      <c r="C819">
        <f t="shared" si="99"/>
        <v>0.65427055938704326</v>
      </c>
      <c r="D819">
        <f t="shared" si="100"/>
        <v>1.1744712407008593E-3</v>
      </c>
      <c r="E819">
        <f t="shared" si="101"/>
        <v>5.5275095785553653E-2</v>
      </c>
      <c r="J819" t="s">
        <v>106</v>
      </c>
      <c r="K819">
        <v>14</v>
      </c>
    </row>
    <row r="820" spans="1:11">
      <c r="A820">
        <v>122</v>
      </c>
      <c r="B820">
        <v>0.81</v>
      </c>
      <c r="C820">
        <f t="shared" si="99"/>
        <v>0.87122251517287064</v>
      </c>
      <c r="D820">
        <f t="shared" si="100"/>
        <v>3.7481963640923687E-3</v>
      </c>
      <c r="E820">
        <f t="shared" si="101"/>
        <v>7.5583352065272322E-2</v>
      </c>
      <c r="J820" t="s">
        <v>107</v>
      </c>
      <c r="K820">
        <v>2</v>
      </c>
    </row>
    <row r="821" spans="1:11">
      <c r="A821">
        <v>132</v>
      </c>
      <c r="B821">
        <v>0.86</v>
      </c>
      <c r="C821">
        <f t="shared" si="99"/>
        <v>0.93469746118706198</v>
      </c>
      <c r="D821">
        <f t="shared" si="100"/>
        <v>5.5797107077926334E-3</v>
      </c>
      <c r="E821">
        <f t="shared" si="101"/>
        <v>8.6857513008211623E-2</v>
      </c>
    </row>
    <row r="822" spans="1:11">
      <c r="A822">
        <v>138</v>
      </c>
      <c r="B822">
        <v>0.88</v>
      </c>
      <c r="C822">
        <f t="shared" si="99"/>
        <v>0.95733687314593341</v>
      </c>
      <c r="D822">
        <f t="shared" si="100"/>
        <v>5.9809919479901956E-3</v>
      </c>
      <c r="E822">
        <f t="shared" si="101"/>
        <v>8.7882810393106137E-2</v>
      </c>
    </row>
    <row r="823" spans="1:11">
      <c r="A823">
        <v>143</v>
      </c>
      <c r="B823">
        <v>0.89</v>
      </c>
      <c r="C823">
        <f t="shared" si="99"/>
        <v>0.97027267879331214</v>
      </c>
      <c r="D823">
        <f t="shared" si="100"/>
        <v>6.4437029606542618E-3</v>
      </c>
      <c r="E823">
        <f t="shared" si="101"/>
        <v>9.0194021116081033E-2</v>
      </c>
    </row>
    <row r="824" spans="1:11">
      <c r="A824">
        <v>150</v>
      </c>
      <c r="B824">
        <v>0.9</v>
      </c>
      <c r="C824">
        <f t="shared" si="99"/>
        <v>0.98219091550308635</v>
      </c>
      <c r="D824">
        <f t="shared" si="100"/>
        <v>6.7553465912354761E-3</v>
      </c>
      <c r="E824">
        <f t="shared" si="101"/>
        <v>9.1323239447873697E-2</v>
      </c>
    </row>
    <row r="825" spans="1:11">
      <c r="E825">
        <f>SUM(E811:E824)</f>
        <v>3.2629377557618406</v>
      </c>
    </row>
    <row r="837" spans="1:11">
      <c r="B837" t="s">
        <v>175</v>
      </c>
    </row>
    <row r="838" spans="1:11">
      <c r="A838" t="s">
        <v>29</v>
      </c>
      <c r="B838" t="s">
        <v>43</v>
      </c>
      <c r="C838" t="s">
        <v>99</v>
      </c>
      <c r="D838" t="s">
        <v>120</v>
      </c>
      <c r="E838" t="s">
        <v>193</v>
      </c>
    </row>
    <row r="839" spans="1:11">
      <c r="A839">
        <v>0</v>
      </c>
      <c r="B839">
        <v>0</v>
      </c>
      <c r="C839">
        <f>(($K$844)*(EXP(($K$839)*(A839-$K$840))))/(1+EXP(($K$839)*(A839-$K$840))*($K$844))</f>
        <v>7.7348856725141621E-4</v>
      </c>
      <c r="D839">
        <f>(B839-C839)^2</f>
        <v>5.9828456366864862E-7</v>
      </c>
      <c r="E839">
        <f>ABS(B839-C839)</f>
        <v>7.7348856725141621E-4</v>
      </c>
      <c r="J839" s="6" t="s">
        <v>168</v>
      </c>
      <c r="K839" s="6">
        <v>5.0024880235050702E-2</v>
      </c>
    </row>
    <row r="840" spans="1:11">
      <c r="A840">
        <v>20</v>
      </c>
      <c r="B840">
        <v>0</v>
      </c>
      <c r="C840">
        <f t="shared" ref="C840:C853" si="102">(($K$844)*(EXP(($K$839)*(A840-$K$840))))/(1+EXP(($K$839)*(A840-$K$840))*($K$844))</f>
        <v>2.100812093257761E-3</v>
      </c>
      <c r="D840">
        <f t="shared" ref="D840:D853" si="103">(B840-C840)^2</f>
        <v>4.4134114511780557E-6</v>
      </c>
      <c r="E840">
        <f t="shared" ref="E840:E853" si="104">ABS(B840-C840)</f>
        <v>2.100812093257761E-3</v>
      </c>
      <c r="J840" s="6" t="s">
        <v>169</v>
      </c>
      <c r="K840" s="6">
        <v>235.26285343267301</v>
      </c>
    </row>
    <row r="841" spans="1:11">
      <c r="A841">
        <v>40</v>
      </c>
      <c r="B841">
        <v>0</v>
      </c>
      <c r="C841">
        <f t="shared" si="102"/>
        <v>5.6928754162208044E-3</v>
      </c>
      <c r="D841">
        <f t="shared" si="103"/>
        <v>3.2408830504611194E-5</v>
      </c>
      <c r="E841">
        <f t="shared" si="104"/>
        <v>5.6928754162208044E-3</v>
      </c>
    </row>
    <row r="842" spans="1:11">
      <c r="A842">
        <v>50</v>
      </c>
      <c r="B842">
        <v>0</v>
      </c>
      <c r="C842">
        <f t="shared" si="102"/>
        <v>9.3537343079964589E-3</v>
      </c>
      <c r="D842">
        <f t="shared" si="103"/>
        <v>8.7492345504589994E-5</v>
      </c>
      <c r="E842">
        <f t="shared" si="104"/>
        <v>9.3537343079964589E-3</v>
      </c>
      <c r="G842" s="6" t="s">
        <v>132</v>
      </c>
      <c r="H842" s="6">
        <f>E854</f>
        <v>0.19312488080786164</v>
      </c>
    </row>
    <row r="843" spans="1:11">
      <c r="A843">
        <v>60</v>
      </c>
      <c r="B843">
        <v>0</v>
      </c>
      <c r="C843">
        <f t="shared" si="102"/>
        <v>1.533244256320533E-2</v>
      </c>
      <c r="D843">
        <f t="shared" si="103"/>
        <v>2.3508379495399041E-4</v>
      </c>
      <c r="E843">
        <f t="shared" si="104"/>
        <v>1.533244256320533E-2</v>
      </c>
    </row>
    <row r="844" spans="1:11">
      <c r="A844">
        <v>70</v>
      </c>
      <c r="B844">
        <v>0</v>
      </c>
      <c r="C844">
        <f t="shared" si="102"/>
        <v>2.5036036464749192E-2</v>
      </c>
      <c r="D844">
        <f t="shared" si="103"/>
        <v>6.2680312186425122E-4</v>
      </c>
      <c r="E844">
        <f t="shared" si="104"/>
        <v>2.5036036464749192E-2</v>
      </c>
      <c r="J844" t="s">
        <v>12</v>
      </c>
      <c r="K844">
        <v>100</v>
      </c>
    </row>
    <row r="845" spans="1:11">
      <c r="A845">
        <v>80</v>
      </c>
      <c r="B845">
        <v>0.01</v>
      </c>
      <c r="C845">
        <f t="shared" si="102"/>
        <v>4.0627452672604134E-2</v>
      </c>
      <c r="D845">
        <f t="shared" si="103"/>
        <v>9.3804085721260592E-4</v>
      </c>
      <c r="E845">
        <f t="shared" si="104"/>
        <v>3.0627452672604132E-2</v>
      </c>
      <c r="J845" t="s">
        <v>8</v>
      </c>
      <c r="K845">
        <v>12</v>
      </c>
    </row>
    <row r="846" spans="1:11">
      <c r="A846">
        <v>100</v>
      </c>
      <c r="B846">
        <v>0.09</v>
      </c>
      <c r="C846">
        <f t="shared" si="102"/>
        <v>0.10327648611589543</v>
      </c>
      <c r="D846">
        <f t="shared" si="103"/>
        <v>1.7626508358556427E-4</v>
      </c>
      <c r="E846">
        <f t="shared" si="104"/>
        <v>1.3276486115895436E-2</v>
      </c>
      <c r="J846" t="s">
        <v>105</v>
      </c>
      <c r="K846">
        <v>4</v>
      </c>
    </row>
    <row r="847" spans="1:11">
      <c r="A847">
        <v>115</v>
      </c>
      <c r="B847">
        <v>0.21</v>
      </c>
      <c r="C847">
        <f t="shared" si="102"/>
        <v>0.19608194973605683</v>
      </c>
      <c r="D847">
        <f t="shared" si="103"/>
        <v>1.9371212314964827E-4</v>
      </c>
      <c r="E847">
        <f t="shared" si="104"/>
        <v>1.391805026394316E-2</v>
      </c>
      <c r="J847" t="s">
        <v>106</v>
      </c>
      <c r="K847">
        <v>15</v>
      </c>
    </row>
    <row r="848" spans="1:11">
      <c r="A848">
        <v>130</v>
      </c>
      <c r="B848">
        <v>0.36</v>
      </c>
      <c r="C848">
        <f t="shared" si="102"/>
        <v>0.34060676298712517</v>
      </c>
      <c r="D848">
        <f t="shared" si="103"/>
        <v>3.7609764183753786E-4</v>
      </c>
      <c r="E848">
        <f t="shared" si="104"/>
        <v>1.939323701287482E-2</v>
      </c>
      <c r="J848" t="s">
        <v>107</v>
      </c>
      <c r="K848">
        <v>2</v>
      </c>
    </row>
    <row r="849" spans="1:5">
      <c r="A849">
        <v>140</v>
      </c>
      <c r="B849">
        <v>0.46</v>
      </c>
      <c r="C849">
        <f t="shared" si="102"/>
        <v>0.46000000055756229</v>
      </c>
      <c r="D849">
        <f t="shared" si="103"/>
        <v>3.1087568953110714E-19</v>
      </c>
      <c r="E849">
        <f t="shared" si="104"/>
        <v>5.5756227412828707E-10</v>
      </c>
    </row>
    <row r="850" spans="1:5">
      <c r="A850">
        <v>165</v>
      </c>
      <c r="B850">
        <v>0.72</v>
      </c>
      <c r="C850">
        <f t="shared" si="102"/>
        <v>0.74843432289837764</v>
      </c>
      <c r="D850">
        <f t="shared" si="103"/>
        <v>8.085107186892042E-4</v>
      </c>
      <c r="E850">
        <f t="shared" si="104"/>
        <v>2.8434322898377662E-2</v>
      </c>
    </row>
    <row r="851" spans="1:5">
      <c r="A851">
        <v>180</v>
      </c>
      <c r="B851">
        <v>0.88</v>
      </c>
      <c r="C851">
        <f t="shared" si="102"/>
        <v>0.86302586645275992</v>
      </c>
      <c r="D851">
        <f t="shared" si="103"/>
        <v>2.8812120967954143E-4</v>
      </c>
      <c r="E851">
        <f t="shared" si="104"/>
        <v>1.6974133547240089E-2</v>
      </c>
    </row>
    <row r="852" spans="1:5">
      <c r="A852">
        <v>185</v>
      </c>
      <c r="B852">
        <v>0.89</v>
      </c>
      <c r="C852">
        <f t="shared" si="102"/>
        <v>0.89000351121397347</v>
      </c>
      <c r="D852">
        <f t="shared" si="103"/>
        <v>1.2328623567432403E-11</v>
      </c>
      <c r="E852">
        <f t="shared" si="104"/>
        <v>3.5112139734616576E-6</v>
      </c>
    </row>
    <row r="853" spans="1:5">
      <c r="A853">
        <v>190</v>
      </c>
      <c r="B853">
        <v>0.9</v>
      </c>
      <c r="C853">
        <f t="shared" si="102"/>
        <v>0.91220829711270968</v>
      </c>
      <c r="D853">
        <f t="shared" si="103"/>
        <v>1.4904251839219487E-4</v>
      </c>
      <c r="E853">
        <f t="shared" si="104"/>
        <v>1.2208297112709654E-2</v>
      </c>
    </row>
    <row r="854" spans="1:5">
      <c r="D854" s="6">
        <f>SUM(D839:D853)</f>
        <v>3.9165899537172101E-3</v>
      </c>
      <c r="E854">
        <f>SUM(E839:E853)</f>
        <v>0.19312488080786164</v>
      </c>
    </row>
    <row r="862" spans="1:5" ht="16.8">
      <c r="A862" s="10" t="s">
        <v>145</v>
      </c>
    </row>
    <row r="863" spans="1:5">
      <c r="B863" t="s">
        <v>175</v>
      </c>
    </row>
    <row r="864" spans="1:5">
      <c r="A864" t="s">
        <v>29</v>
      </c>
      <c r="B864" t="s">
        <v>43</v>
      </c>
      <c r="C864" t="s">
        <v>99</v>
      </c>
      <c r="D864" t="s">
        <v>120</v>
      </c>
      <c r="E864" t="s">
        <v>119</v>
      </c>
    </row>
    <row r="865" spans="1:11">
      <c r="A865">
        <v>0</v>
      </c>
      <c r="B865">
        <v>0</v>
      </c>
      <c r="C865">
        <f>(($K$870)*(EXP(($K$865)*(A865-$K$866))))/(1+EXP(($K$865)*(A865-$K$866))*($K$870))</f>
        <v>2.5607489300505685E-5</v>
      </c>
      <c r="D865">
        <f>(B865-C865)^2</f>
        <v>6.5574350827551317E-10</v>
      </c>
      <c r="E865">
        <v>0</v>
      </c>
      <c r="J865" s="6" t="s">
        <v>168</v>
      </c>
      <c r="K865" s="6">
        <v>7.7041162159705703E-2</v>
      </c>
    </row>
    <row r="866" spans="1:11">
      <c r="A866">
        <v>20</v>
      </c>
      <c r="B866">
        <v>0</v>
      </c>
      <c r="C866">
        <f t="shared" ref="C866:C879" si="105">(($K$870)*(EXP(($K$865)*(A866-$K$866))))/(1+EXP(($K$865)*(A866-$K$866))*($K$870))</f>
        <v>1.1953559196967754E-4</v>
      </c>
      <c r="D866">
        <f t="shared" ref="D866:D879" si="106">(B866-C866)^2</f>
        <v>1.4288757747541238E-8</v>
      </c>
      <c r="E866">
        <v>0</v>
      </c>
      <c r="J866" s="6" t="s">
        <v>169</v>
      </c>
      <c r="K866" s="6">
        <v>197.008584127663</v>
      </c>
    </row>
    <row r="867" spans="1:11">
      <c r="A867">
        <v>40</v>
      </c>
      <c r="B867">
        <v>0</v>
      </c>
      <c r="C867">
        <f t="shared" si="105"/>
        <v>5.5779917652578627E-4</v>
      </c>
      <c r="D867">
        <f t="shared" si="106"/>
        <v>3.111399213328453E-7</v>
      </c>
      <c r="E867">
        <v>0</v>
      </c>
      <c r="G867" s="6" t="s">
        <v>121</v>
      </c>
      <c r="H867" s="6">
        <f>(100)*(1/13)^(0.5)*(F871)^(0.5)</f>
        <v>1.5658492518646918</v>
      </c>
    </row>
    <row r="868" spans="1:11">
      <c r="A868">
        <v>50</v>
      </c>
      <c r="B868">
        <v>0</v>
      </c>
      <c r="C868">
        <f t="shared" si="105"/>
        <v>1.2044320624256736E-3</v>
      </c>
      <c r="D868">
        <f t="shared" si="106"/>
        <v>1.4506565929989619E-6</v>
      </c>
      <c r="E868">
        <v>0</v>
      </c>
    </row>
    <row r="869" spans="1:11">
      <c r="A869">
        <v>60</v>
      </c>
      <c r="B869">
        <v>0</v>
      </c>
      <c r="C869">
        <f t="shared" si="105"/>
        <v>2.5987298476077723E-3</v>
      </c>
      <c r="D869">
        <f t="shared" si="106"/>
        <v>6.7533968208475152E-6</v>
      </c>
      <c r="E869">
        <v>0</v>
      </c>
    </row>
    <row r="870" spans="1:11">
      <c r="A870">
        <v>70</v>
      </c>
      <c r="B870">
        <v>0</v>
      </c>
      <c r="C870">
        <f t="shared" si="105"/>
        <v>5.5980747101065688E-3</v>
      </c>
      <c r="D870">
        <f t="shared" si="106"/>
        <v>3.1338440459934744E-5</v>
      </c>
      <c r="E870">
        <v>0</v>
      </c>
      <c r="J870" t="s">
        <v>12</v>
      </c>
      <c r="K870">
        <v>100</v>
      </c>
    </row>
    <row r="871" spans="1:11">
      <c r="A871">
        <v>80</v>
      </c>
      <c r="B871">
        <v>0.01</v>
      </c>
      <c r="C871">
        <f t="shared" si="105"/>
        <v>1.2017428125166735E-2</v>
      </c>
      <c r="D871">
        <f t="shared" si="106"/>
        <v>4.0700162402137653E-6</v>
      </c>
      <c r="E871">
        <f>((B871-C871)/B871)^2</f>
        <v>4.0700162402137655E-2</v>
      </c>
      <c r="F871">
        <f>D880/B880^2</f>
        <v>3.1874490434347794E-3</v>
      </c>
      <c r="J871" t="s">
        <v>8</v>
      </c>
      <c r="K871">
        <v>12</v>
      </c>
    </row>
    <row r="872" spans="1:11">
      <c r="A872">
        <v>100</v>
      </c>
      <c r="B872">
        <v>0.09</v>
      </c>
      <c r="C872">
        <f t="shared" si="105"/>
        <v>5.3733689353674639E-2</v>
      </c>
      <c r="D872">
        <f t="shared" si="106"/>
        <v>1.3152452878957719E-3</v>
      </c>
      <c r="E872">
        <f t="shared" ref="E872:E879" si="107">((B872-C872)/B872)^2</f>
        <v>0.16237596146861383</v>
      </c>
      <c r="J872" t="s">
        <v>105</v>
      </c>
      <c r="K872">
        <v>4</v>
      </c>
    </row>
    <row r="873" spans="1:11">
      <c r="A873">
        <v>115</v>
      </c>
      <c r="B873">
        <v>0.21</v>
      </c>
      <c r="C873">
        <f t="shared" si="105"/>
        <v>0.15279229455511859</v>
      </c>
      <c r="D873">
        <f t="shared" si="106"/>
        <v>3.2727215622683136E-3</v>
      </c>
      <c r="E873">
        <f t="shared" si="107"/>
        <v>7.4211373294066074E-2</v>
      </c>
      <c r="J873" t="s">
        <v>106</v>
      </c>
      <c r="K873">
        <v>15</v>
      </c>
    </row>
    <row r="874" spans="1:11">
      <c r="A874">
        <v>130</v>
      </c>
      <c r="B874">
        <v>0.36</v>
      </c>
      <c r="C874">
        <f t="shared" si="105"/>
        <v>0.36418422437585429</v>
      </c>
      <c r="D874">
        <f t="shared" si="106"/>
        <v>1.750773362749336E-5</v>
      </c>
      <c r="E874">
        <f t="shared" si="107"/>
        <v>1.3509053724917718E-4</v>
      </c>
      <c r="J874" t="s">
        <v>107</v>
      </c>
      <c r="K874">
        <v>2</v>
      </c>
    </row>
    <row r="875" spans="1:11">
      <c r="A875">
        <v>140</v>
      </c>
      <c r="B875">
        <v>0.46</v>
      </c>
      <c r="C875">
        <f t="shared" si="105"/>
        <v>0.55308977922968305</v>
      </c>
      <c r="D875">
        <f t="shared" si="106"/>
        <v>8.6657069970311265E-3</v>
      </c>
      <c r="E875">
        <f t="shared" si="107"/>
        <v>4.0953246677840859E-2</v>
      </c>
    </row>
    <row r="876" spans="1:11">
      <c r="A876">
        <v>165</v>
      </c>
      <c r="B876">
        <v>0.72</v>
      </c>
      <c r="C876">
        <f t="shared" si="105"/>
        <v>0.89465445099664509</v>
      </c>
      <c r="D876">
        <f t="shared" si="106"/>
        <v>3.050417725293951E-2</v>
      </c>
      <c r="E876">
        <f t="shared" si="107"/>
        <v>5.8842934515701217E-2</v>
      </c>
    </row>
    <row r="877" spans="1:11">
      <c r="A877">
        <v>180</v>
      </c>
      <c r="B877">
        <v>0.88</v>
      </c>
      <c r="C877">
        <f t="shared" si="105"/>
        <v>0.96425030232295206</v>
      </c>
      <c r="D877">
        <f t="shared" si="106"/>
        <v>7.0981134415088205E-3</v>
      </c>
      <c r="E877">
        <f t="shared" si="107"/>
        <v>9.1659522746756449E-3</v>
      </c>
    </row>
    <row r="878" spans="1:11">
      <c r="A878">
        <v>185</v>
      </c>
      <c r="B878">
        <v>0.89</v>
      </c>
      <c r="C878">
        <f t="shared" si="105"/>
        <v>0.97539792936582648</v>
      </c>
      <c r="D878">
        <f t="shared" si="106"/>
        <v>7.2928063399706859E-3</v>
      </c>
      <c r="E878">
        <f t="shared" si="107"/>
        <v>9.2069263223970282E-3</v>
      </c>
    </row>
    <row r="879" spans="1:11">
      <c r="A879">
        <v>190</v>
      </c>
      <c r="B879">
        <v>0.9</v>
      </c>
      <c r="C879">
        <f t="shared" si="105"/>
        <v>0.98313026962070815</v>
      </c>
      <c r="D879">
        <f t="shared" si="106"/>
        <v>6.9106417272116289E-3</v>
      </c>
      <c r="E879">
        <f t="shared" si="107"/>
        <v>8.5316564533476913E-3</v>
      </c>
    </row>
    <row r="880" spans="1:11">
      <c r="B880">
        <f>SUM(B865:B879)</f>
        <v>4.5200000000000005</v>
      </c>
      <c r="D880" s="6">
        <f>SUM(D865:D879)</f>
        <v>6.5120858936989934E-2</v>
      </c>
      <c r="E880">
        <f>SUM(E865:E879)</f>
        <v>0.40412330394602913</v>
      </c>
    </row>
    <row r="884" spans="1:11">
      <c r="B884" t="s">
        <v>175</v>
      </c>
    </row>
    <row r="885" spans="1:11">
      <c r="A885" t="s">
        <v>29</v>
      </c>
      <c r="B885" t="s">
        <v>43</v>
      </c>
      <c r="C885" t="s">
        <v>99</v>
      </c>
      <c r="D885" t="s">
        <v>120</v>
      </c>
      <c r="E885" t="s">
        <v>119</v>
      </c>
    </row>
    <row r="886" spans="1:11">
      <c r="A886">
        <v>0</v>
      </c>
      <c r="B886">
        <v>0</v>
      </c>
      <c r="C886">
        <f>(($K$870)*(EXP(($K$865)*(A886-$K$866))))/(1+EXP(($K$865)*(A886-$K$866))*($K$870))</f>
        <v>2.5607489300505685E-5</v>
      </c>
      <c r="D886">
        <f>(B886-C886)^2</f>
        <v>6.5574350827551317E-10</v>
      </c>
      <c r="E886">
        <v>0</v>
      </c>
      <c r="J886" s="6" t="s">
        <v>168</v>
      </c>
      <c r="K886" s="6">
        <v>7.7041162159705703E-2</v>
      </c>
    </row>
    <row r="887" spans="1:11">
      <c r="A887">
        <v>20</v>
      </c>
      <c r="B887">
        <v>0</v>
      </c>
      <c r="C887">
        <f t="shared" ref="C887:C900" si="108">(($K$870)*(EXP(($K$865)*(A887-$K$866))))/(1+EXP(($K$865)*(A887-$K$866))*($K$870))</f>
        <v>1.1953559196967754E-4</v>
      </c>
      <c r="D887">
        <f t="shared" ref="D887:D900" si="109">(B887-C887)^2</f>
        <v>1.4288757747541238E-8</v>
      </c>
      <c r="E887">
        <v>0</v>
      </c>
      <c r="J887" s="6" t="s">
        <v>169</v>
      </c>
      <c r="K887" s="6">
        <v>197.008584127663</v>
      </c>
    </row>
    <row r="888" spans="1:11">
      <c r="A888">
        <v>40</v>
      </c>
      <c r="B888">
        <v>0</v>
      </c>
      <c r="C888">
        <f t="shared" si="108"/>
        <v>5.5779917652578627E-4</v>
      </c>
      <c r="D888">
        <f t="shared" si="109"/>
        <v>3.111399213328453E-7</v>
      </c>
      <c r="E888">
        <v>0</v>
      </c>
      <c r="G888" s="6" t="s">
        <v>129</v>
      </c>
      <c r="H888" s="6">
        <f>(100/15)*F894</f>
        <v>0.83303660092138765</v>
      </c>
    </row>
    <row r="889" spans="1:11">
      <c r="A889">
        <v>50</v>
      </c>
      <c r="B889">
        <v>0</v>
      </c>
      <c r="C889">
        <f t="shared" si="108"/>
        <v>1.2044320624256736E-3</v>
      </c>
      <c r="D889">
        <f t="shared" si="109"/>
        <v>1.4506565929989619E-6</v>
      </c>
      <c r="E889">
        <v>0</v>
      </c>
    </row>
    <row r="890" spans="1:11">
      <c r="A890">
        <v>60</v>
      </c>
      <c r="B890">
        <v>0</v>
      </c>
      <c r="C890">
        <f t="shared" si="108"/>
        <v>2.5987298476077723E-3</v>
      </c>
      <c r="D890">
        <f t="shared" si="109"/>
        <v>6.7533968208475152E-6</v>
      </c>
      <c r="E890">
        <v>0</v>
      </c>
    </row>
    <row r="891" spans="1:11">
      <c r="A891">
        <v>70</v>
      </c>
      <c r="B891">
        <v>0</v>
      </c>
      <c r="C891">
        <f t="shared" si="108"/>
        <v>5.5980747101065688E-3</v>
      </c>
      <c r="D891">
        <f t="shared" si="109"/>
        <v>3.1338440459934744E-5</v>
      </c>
      <c r="E891">
        <v>0</v>
      </c>
      <c r="J891" t="s">
        <v>12</v>
      </c>
      <c r="K891">
        <v>100</v>
      </c>
    </row>
    <row r="892" spans="1:11">
      <c r="A892">
        <v>80</v>
      </c>
      <c r="B892">
        <v>0.01</v>
      </c>
      <c r="C892">
        <f t="shared" si="108"/>
        <v>1.2017428125166735E-2</v>
      </c>
      <c r="D892">
        <f t="shared" si="109"/>
        <v>4.0700162402137653E-6</v>
      </c>
      <c r="E892">
        <f t="shared" ref="E892:E900" si="110">ABS(B892-C892)</f>
        <v>2.0174281251667345E-3</v>
      </c>
      <c r="J892" t="s">
        <v>8</v>
      </c>
      <c r="K892">
        <v>12</v>
      </c>
    </row>
    <row r="893" spans="1:11">
      <c r="A893">
        <v>100</v>
      </c>
      <c r="B893">
        <v>0.09</v>
      </c>
      <c r="C893">
        <f t="shared" si="108"/>
        <v>5.3733689353674639E-2</v>
      </c>
      <c r="D893">
        <f t="shared" si="109"/>
        <v>1.3152452878957719E-3</v>
      </c>
      <c r="E893">
        <f t="shared" si="110"/>
        <v>3.6266310646325357E-2</v>
      </c>
      <c r="J893" t="s">
        <v>105</v>
      </c>
      <c r="K893">
        <v>4</v>
      </c>
    </row>
    <row r="894" spans="1:11">
      <c r="A894">
        <v>115</v>
      </c>
      <c r="B894">
        <v>0.21</v>
      </c>
      <c r="C894">
        <f t="shared" si="108"/>
        <v>0.15279229455511859</v>
      </c>
      <c r="D894">
        <f t="shared" si="109"/>
        <v>3.2727215622683136E-3</v>
      </c>
      <c r="E894">
        <f t="shared" si="110"/>
        <v>5.7207705444881407E-2</v>
      </c>
      <c r="F894">
        <f>E901/C901</f>
        <v>0.12495549013820814</v>
      </c>
      <c r="J894" t="s">
        <v>106</v>
      </c>
      <c r="K894">
        <v>15</v>
      </c>
    </row>
    <row r="895" spans="1:11">
      <c r="A895">
        <v>130</v>
      </c>
      <c r="B895">
        <v>0.36</v>
      </c>
      <c r="C895">
        <f t="shared" si="108"/>
        <v>0.36418422437585429</v>
      </c>
      <c r="D895">
        <f t="shared" si="109"/>
        <v>1.750773362749336E-5</v>
      </c>
      <c r="E895">
        <f t="shared" si="110"/>
        <v>4.1842243758543063E-3</v>
      </c>
      <c r="J895" t="s">
        <v>107</v>
      </c>
      <c r="K895">
        <v>2</v>
      </c>
    </row>
    <row r="896" spans="1:11">
      <c r="A896">
        <v>140</v>
      </c>
      <c r="B896">
        <v>0.46</v>
      </c>
      <c r="C896">
        <f t="shared" si="108"/>
        <v>0.55308977922968305</v>
      </c>
      <c r="D896">
        <f t="shared" si="109"/>
        <v>8.6657069970311265E-3</v>
      </c>
      <c r="E896">
        <f t="shared" si="110"/>
        <v>9.3089779229683034E-2</v>
      </c>
    </row>
    <row r="897" spans="1:5">
      <c r="A897">
        <v>165</v>
      </c>
      <c r="B897">
        <v>0.72</v>
      </c>
      <c r="C897">
        <f t="shared" si="108"/>
        <v>0.89465445099664509</v>
      </c>
      <c r="D897">
        <f t="shared" si="109"/>
        <v>3.050417725293951E-2</v>
      </c>
      <c r="E897">
        <f t="shared" si="110"/>
        <v>0.17465445099664512</v>
      </c>
    </row>
    <row r="898" spans="1:5">
      <c r="A898">
        <v>180</v>
      </c>
      <c r="B898">
        <v>0.88</v>
      </c>
      <c r="C898">
        <f t="shared" si="108"/>
        <v>0.96425030232295206</v>
      </c>
      <c r="D898">
        <f t="shared" si="109"/>
        <v>7.0981134415088205E-3</v>
      </c>
      <c r="E898">
        <f t="shared" si="110"/>
        <v>8.4250302322952053E-2</v>
      </c>
    </row>
    <row r="899" spans="1:5">
      <c r="A899">
        <v>185</v>
      </c>
      <c r="B899">
        <v>0.89</v>
      </c>
      <c r="C899">
        <f t="shared" si="108"/>
        <v>0.97539792936582648</v>
      </c>
      <c r="D899">
        <f t="shared" si="109"/>
        <v>7.2928063399706859E-3</v>
      </c>
      <c r="E899">
        <f t="shared" si="110"/>
        <v>8.5397929365826464E-2</v>
      </c>
    </row>
    <row r="900" spans="1:5">
      <c r="A900">
        <v>190</v>
      </c>
      <c r="B900">
        <v>0.9</v>
      </c>
      <c r="C900">
        <f t="shared" si="108"/>
        <v>0.98313026962070815</v>
      </c>
      <c r="D900">
        <f t="shared" si="109"/>
        <v>6.9106417272116289E-3</v>
      </c>
      <c r="E900">
        <f t="shared" si="110"/>
        <v>8.313026962070813E-2</v>
      </c>
    </row>
    <row r="901" spans="1:5">
      <c r="C901">
        <f>SUM(C886:C900)</f>
        <v>4.9633545468235658</v>
      </c>
      <c r="D901" s="6">
        <f>SUM(D886:D900)</f>
        <v>6.5120858936989934E-2</v>
      </c>
      <c r="E901">
        <f>SUM(E886:E900)</f>
        <v>0.62019840012804262</v>
      </c>
    </row>
    <row r="908" spans="1:5" ht="15.6">
      <c r="A908" s="4" t="s">
        <v>194</v>
      </c>
      <c r="B908" s="4"/>
      <c r="C908" s="4"/>
      <c r="D908" s="4"/>
      <c r="E908" s="4"/>
    </row>
    <row r="909" spans="1:5" ht="15.6">
      <c r="A909" s="4" t="s">
        <v>152</v>
      </c>
      <c r="B909" s="4"/>
      <c r="C909" s="4"/>
      <c r="D909" s="4"/>
      <c r="E909" s="4"/>
    </row>
    <row r="910" spans="1:5" ht="15.6">
      <c r="A910" s="4" t="s">
        <v>195</v>
      </c>
      <c r="B910" s="4" t="s">
        <v>196</v>
      </c>
      <c r="C910" s="4" t="s">
        <v>197</v>
      </c>
      <c r="D910" s="4" t="s">
        <v>156</v>
      </c>
    </row>
    <row r="911" spans="1:5" ht="15.6">
      <c r="A911" s="4" t="s">
        <v>100</v>
      </c>
      <c r="B911" s="4">
        <v>3.5299999999999998E-2</v>
      </c>
      <c r="C911" s="4">
        <v>236.8801</v>
      </c>
      <c r="D911" s="4">
        <v>2.2899099999999999E-2</v>
      </c>
    </row>
    <row r="912" spans="1:5" ht="15.6">
      <c r="A912" s="4" t="s">
        <v>157</v>
      </c>
      <c r="B912" s="4">
        <v>3.5299999999999998E-2</v>
      </c>
      <c r="C912" s="4">
        <v>236.8801</v>
      </c>
      <c r="D912" s="4">
        <v>5.2430370000000002</v>
      </c>
    </row>
    <row r="913" spans="1:4" ht="15.6">
      <c r="A913" s="4" t="s">
        <v>121</v>
      </c>
      <c r="B913" s="4">
        <v>7.6200000000000004E-2</v>
      </c>
      <c r="C913" s="4">
        <v>158.96709999999999</v>
      </c>
      <c r="D913" s="4">
        <v>22.382180000000002</v>
      </c>
    </row>
    <row r="914" spans="1:4" ht="15.6">
      <c r="A914" s="4" t="s">
        <v>129</v>
      </c>
      <c r="B914" s="4">
        <v>3.5299999999999998E-2</v>
      </c>
      <c r="C914" s="4">
        <v>236.8801</v>
      </c>
      <c r="D914" s="4">
        <v>0.51249999999999996</v>
      </c>
    </row>
    <row r="915" spans="1:4" ht="15.6">
      <c r="A915" s="4" t="s">
        <v>132</v>
      </c>
      <c r="B915" s="4">
        <v>3.5299999999999998E-2</v>
      </c>
      <c r="C915" s="4">
        <v>236.8801</v>
      </c>
      <c r="D915" s="4">
        <v>0.57220000000000004</v>
      </c>
    </row>
    <row r="916" spans="1:4" ht="15.6">
      <c r="A916" s="4" t="s">
        <v>6</v>
      </c>
      <c r="B916" s="4">
        <v>3.5299999999999998E-2</v>
      </c>
      <c r="C916" s="4">
        <v>236.8801</v>
      </c>
      <c r="D916" s="4">
        <v>0.98570000000000002</v>
      </c>
    </row>
    <row r="917" spans="1:4" ht="15.6">
      <c r="A917" s="4"/>
      <c r="D917" s="4"/>
    </row>
    <row r="918" spans="1:4" ht="15.6">
      <c r="A918" s="4"/>
      <c r="B918" s="4"/>
      <c r="C918" s="4"/>
      <c r="D918" s="4"/>
    </row>
    <row r="919" spans="1:4" ht="15.6">
      <c r="A919" s="4" t="s">
        <v>198</v>
      </c>
      <c r="B919" s="4"/>
      <c r="C919" s="4"/>
      <c r="D919" s="4"/>
    </row>
    <row r="920" spans="1:4" ht="15.6">
      <c r="A920" s="4" t="s">
        <v>195</v>
      </c>
      <c r="B920" s="4" t="s">
        <v>196</v>
      </c>
      <c r="C920" s="4" t="s">
        <v>197</v>
      </c>
      <c r="D920" s="4" t="s">
        <v>156</v>
      </c>
    </row>
    <row r="921" spans="1:4" ht="15.6">
      <c r="A921" s="4" t="s">
        <v>100</v>
      </c>
      <c r="B921" s="4">
        <v>0.03</v>
      </c>
      <c r="C921" s="4">
        <v>355.09160000000003</v>
      </c>
      <c r="D921" s="4">
        <v>1.8423999999999999E-2</v>
      </c>
    </row>
    <row r="922" spans="1:4" ht="15.6">
      <c r="A922" s="4" t="s">
        <v>157</v>
      </c>
      <c r="B922" s="4">
        <v>4.19E-2</v>
      </c>
      <c r="C922" s="4">
        <v>310.73399999999998</v>
      </c>
      <c r="D922" s="4">
        <v>0.64753000000000005</v>
      </c>
    </row>
    <row r="923" spans="1:4" ht="15.6">
      <c r="A923" s="4" t="s">
        <v>121</v>
      </c>
      <c r="B923" s="4">
        <v>5.6099999999999997E-2</v>
      </c>
      <c r="C923" s="4">
        <v>275.55470000000003</v>
      </c>
      <c r="D923" s="4">
        <v>17.643609999999999</v>
      </c>
    </row>
    <row r="924" spans="1:4" ht="15.6">
      <c r="A924" s="4" t="s">
        <v>129</v>
      </c>
      <c r="B924" s="4">
        <v>4.19E-2</v>
      </c>
      <c r="C924" s="4">
        <v>310.73399999999998</v>
      </c>
      <c r="D924" s="4">
        <v>14.907</v>
      </c>
    </row>
    <row r="925" spans="1:4" ht="15.6">
      <c r="A925" s="4" t="s">
        <v>132</v>
      </c>
      <c r="B925" s="4">
        <v>2.9100000000000001E-2</v>
      </c>
      <c r="C925" s="4">
        <v>357.71120000000002</v>
      </c>
      <c r="D925" s="4">
        <v>0.446849</v>
      </c>
    </row>
    <row r="926" spans="1:4" ht="15.6">
      <c r="A926" s="4" t="s">
        <v>6</v>
      </c>
      <c r="B926" s="4">
        <v>2.99557092461285E-2</v>
      </c>
      <c r="C926" s="4">
        <v>355.091637951302</v>
      </c>
      <c r="D926" s="4">
        <v>0.99229999999999996</v>
      </c>
    </row>
    <row r="927" spans="1:4" ht="15.6">
      <c r="A927" s="4"/>
      <c r="D927" s="4"/>
    </row>
    <row r="928" spans="1:4" ht="15.6">
      <c r="A928" s="4" t="s">
        <v>199</v>
      </c>
      <c r="B928" s="4"/>
      <c r="C928" s="4"/>
      <c r="D928" s="4"/>
    </row>
    <row r="929" spans="1:4" ht="15.6">
      <c r="A929" s="4" t="s">
        <v>195</v>
      </c>
      <c r="B929" s="4" t="s">
        <v>196</v>
      </c>
      <c r="C929" s="4" t="s">
        <v>197</v>
      </c>
      <c r="D929" s="4" t="s">
        <v>156</v>
      </c>
    </row>
    <row r="930" spans="1:4" ht="15.6">
      <c r="A930" s="4" t="s">
        <v>100</v>
      </c>
      <c r="B930" s="4">
        <v>3.6735999999999998E-2</v>
      </c>
      <c r="C930" s="4">
        <v>442.10879999999997</v>
      </c>
      <c r="D930" s="4">
        <v>8.9400000000000005E-4</v>
      </c>
    </row>
    <row r="931" spans="1:4" ht="15.6">
      <c r="A931" s="4" t="s">
        <v>157</v>
      </c>
      <c r="B931" s="4">
        <v>3.9586000000000003E-2</v>
      </c>
      <c r="C931" s="4">
        <v>432.85730000000001</v>
      </c>
      <c r="D931" s="4">
        <v>5.8508999999999999E-2</v>
      </c>
    </row>
    <row r="932" spans="1:4" ht="15.6">
      <c r="A932" s="4" t="s">
        <v>121</v>
      </c>
      <c r="B932" s="4">
        <v>4.5055999999999999E-2</v>
      </c>
      <c r="C932" s="4">
        <v>415.57299999999998</v>
      </c>
      <c r="D932" s="4">
        <v>6.9066000000000001</v>
      </c>
    </row>
    <row r="933" spans="1:4" ht="15.6">
      <c r="A933" s="4" t="s">
        <v>129</v>
      </c>
      <c r="B933" s="4">
        <v>3.959E-2</v>
      </c>
      <c r="C933" s="4">
        <v>432.85730000000001</v>
      </c>
      <c r="D933" s="4">
        <v>3.9134000000000002</v>
      </c>
    </row>
    <row r="934" spans="1:4" ht="15.6">
      <c r="A934" s="4" t="s">
        <v>132</v>
      </c>
      <c r="B934" s="4">
        <v>3.6385000000000001E-2</v>
      </c>
      <c r="C934" s="4">
        <v>442.98079999999999</v>
      </c>
      <c r="D934" s="4">
        <v>7.9665E-2</v>
      </c>
    </row>
    <row r="935" spans="1:4" ht="15.6">
      <c r="A935" s="4"/>
      <c r="B935" s="4">
        <v>3.6735828230728698E-2</v>
      </c>
      <c r="C935" s="4">
        <v>442.10880213447803</v>
      </c>
      <c r="D935" s="4">
        <v>0.99970000000000003</v>
      </c>
    </row>
    <row r="936" spans="1:4" ht="15.6">
      <c r="A936" s="4"/>
      <c r="D936" s="4"/>
    </row>
    <row r="937" spans="1:4" ht="15.6">
      <c r="A937" s="4"/>
      <c r="B937" s="4"/>
      <c r="C937" s="4"/>
      <c r="D937" s="4"/>
    </row>
    <row r="938" spans="1:4" ht="15.6">
      <c r="A938" s="4" t="s">
        <v>200</v>
      </c>
      <c r="B938" s="4"/>
      <c r="C938" s="4"/>
      <c r="D938" s="4"/>
    </row>
    <row r="939" spans="1:4" ht="15.6">
      <c r="A939" s="4" t="s">
        <v>195</v>
      </c>
      <c r="B939" s="4" t="s">
        <v>196</v>
      </c>
      <c r="C939" s="4" t="s">
        <v>197</v>
      </c>
      <c r="D939" s="4" t="s">
        <v>156</v>
      </c>
    </row>
    <row r="940" spans="1:4" ht="15.6">
      <c r="A940" s="4" t="s">
        <v>100</v>
      </c>
      <c r="B940" s="4">
        <v>2.7517E-2</v>
      </c>
      <c r="C940" s="4">
        <v>410.67129999999997</v>
      </c>
      <c r="D940" s="4">
        <v>5.4999999999999997E-3</v>
      </c>
    </row>
    <row r="941" spans="1:4" ht="15.6">
      <c r="A941" s="4" t="s">
        <v>157</v>
      </c>
      <c r="B941" s="4">
        <v>3.3771000000000002E-2</v>
      </c>
      <c r="C941" s="4">
        <v>382.00479999999999</v>
      </c>
      <c r="D941" s="4">
        <v>0.27400000000000002</v>
      </c>
    </row>
    <row r="942" spans="1:4" ht="15.6">
      <c r="A942" s="4" t="s">
        <v>121</v>
      </c>
      <c r="B942" s="4">
        <v>3.3771000000000002E-2</v>
      </c>
      <c r="C942" s="4">
        <v>382.0043</v>
      </c>
      <c r="D942" s="4">
        <v>5.2347999999999999</v>
      </c>
    </row>
    <row r="943" spans="1:4" ht="15.6">
      <c r="A943" s="4" t="s">
        <v>129</v>
      </c>
      <c r="B943" s="4">
        <v>3.3770000000000001E-2</v>
      </c>
      <c r="C943" s="4">
        <v>382.00479999999999</v>
      </c>
      <c r="D943" s="4">
        <v>0.2452</v>
      </c>
    </row>
    <row r="944" spans="1:4" ht="15.6">
      <c r="A944" s="4" t="s">
        <v>132</v>
      </c>
      <c r="B944" s="4">
        <v>2.7517E-2</v>
      </c>
      <c r="C944" s="4">
        <v>409.6524</v>
      </c>
      <c r="D944" s="4">
        <v>0.19539999999999999</v>
      </c>
    </row>
    <row r="945" spans="1:4" ht="15.6">
      <c r="A945" s="4" t="s">
        <v>6</v>
      </c>
      <c r="B945" s="4">
        <v>2.75172833449711E-2</v>
      </c>
      <c r="C945" s="4">
        <v>410.67129999999997</v>
      </c>
      <c r="D945" s="4">
        <v>0.998</v>
      </c>
    </row>
    <row r="946" spans="1:4" ht="15.6">
      <c r="A946" s="4"/>
      <c r="D946" s="4"/>
    </row>
    <row r="947" spans="1:4" ht="15.6">
      <c r="A947" s="4"/>
      <c r="B947" s="4"/>
      <c r="C947" s="4"/>
      <c r="D947" s="4"/>
    </row>
    <row r="948" spans="1:4" ht="15.6">
      <c r="A948" s="4" t="s">
        <v>201</v>
      </c>
      <c r="B948" s="4"/>
      <c r="C948" s="4"/>
      <c r="D948" s="4"/>
    </row>
    <row r="949" spans="1:4" ht="15.6">
      <c r="A949" s="4" t="s">
        <v>195</v>
      </c>
      <c r="B949" s="4" t="s">
        <v>196</v>
      </c>
      <c r="C949" s="4" t="s">
        <v>197</v>
      </c>
      <c r="D949" s="4" t="s">
        <v>156</v>
      </c>
    </row>
    <row r="950" spans="1:4" ht="15.6">
      <c r="A950" s="4" t="s">
        <v>100</v>
      </c>
      <c r="B950" s="4">
        <v>7.2525999999999993E-2</v>
      </c>
      <c r="C950" s="4">
        <v>107.0992</v>
      </c>
      <c r="D950" s="4">
        <v>4.4311999999999997E-2</v>
      </c>
    </row>
    <row r="951" spans="1:4" ht="15.6">
      <c r="A951" s="4" t="s">
        <v>157</v>
      </c>
      <c r="B951" s="4">
        <v>8.5752999999999996E-2</v>
      </c>
      <c r="C951" s="4">
        <v>97.572199999999995</v>
      </c>
      <c r="D951" s="4">
        <v>1.165691</v>
      </c>
    </row>
    <row r="952" spans="1:4" ht="15.6">
      <c r="A952" s="4" t="s">
        <v>121</v>
      </c>
      <c r="B952" s="4">
        <v>0.104576</v>
      </c>
      <c r="C952" s="4">
        <v>86.2</v>
      </c>
      <c r="D952" s="4">
        <v>16.67756</v>
      </c>
    </row>
    <row r="953" spans="1:4" ht="15.6">
      <c r="A953" s="4" t="s">
        <v>129</v>
      </c>
      <c r="B953" s="4">
        <v>8.5750000000000007E-2</v>
      </c>
      <c r="C953" s="4">
        <v>97.572199999999995</v>
      </c>
      <c r="D953" s="4">
        <v>13.183999999999999</v>
      </c>
    </row>
    <row r="954" spans="1:4" ht="15.6">
      <c r="A954" s="4" t="s">
        <v>132</v>
      </c>
      <c r="B954" s="4">
        <v>7.2803999999999994E-2</v>
      </c>
      <c r="C954" s="4">
        <v>108.8874</v>
      </c>
      <c r="D954" s="4">
        <v>0.58564400000000005</v>
      </c>
    </row>
    <row r="955" spans="1:4" ht="15.6">
      <c r="A955" s="4" t="s">
        <v>6</v>
      </c>
      <c r="B955" s="4">
        <v>7.25263486828817E-2</v>
      </c>
      <c r="C955" s="4">
        <v>107.6992</v>
      </c>
      <c r="D955" s="4">
        <v>0.96419999999999995</v>
      </c>
    </row>
    <row r="956" spans="1:4" ht="15.6">
      <c r="A956" s="4"/>
      <c r="D956" s="4"/>
    </row>
    <row r="957" spans="1:4" ht="15.6">
      <c r="A957" s="4"/>
      <c r="B957" s="4"/>
      <c r="C957" s="4"/>
      <c r="D957" s="4"/>
    </row>
    <row r="958" spans="1:4" ht="15.6">
      <c r="A958" s="4" t="s">
        <v>202</v>
      </c>
      <c r="B958" s="4"/>
      <c r="C958" s="4"/>
      <c r="D958" s="4"/>
    </row>
    <row r="959" spans="1:4" ht="15.6">
      <c r="A959" s="4" t="s">
        <v>195</v>
      </c>
      <c r="B959" s="4" t="s">
        <v>196</v>
      </c>
      <c r="C959" s="4" t="s">
        <v>197</v>
      </c>
      <c r="D959" s="4" t="s">
        <v>156</v>
      </c>
    </row>
    <row r="960" spans="1:4" ht="15.6">
      <c r="A960" s="4" t="s">
        <v>100</v>
      </c>
      <c r="B960" s="4">
        <v>2.0388E-2</v>
      </c>
      <c r="C960" s="4">
        <v>404.89839999999998</v>
      </c>
      <c r="D960" s="4">
        <v>2.2346000000000001E-2</v>
      </c>
    </row>
    <row r="961" spans="1:4" ht="15.6">
      <c r="A961" s="4" t="s">
        <v>157</v>
      </c>
      <c r="B961" s="4">
        <v>2.6998000000000001E-2</v>
      </c>
      <c r="C961" s="4">
        <v>357.6019</v>
      </c>
      <c r="D961" s="4">
        <v>0.70241799999999999</v>
      </c>
    </row>
    <row r="962" spans="1:4" ht="15.6">
      <c r="A962" s="4" t="s">
        <v>121</v>
      </c>
      <c r="B962" s="4">
        <v>3.6712000000000002E-2</v>
      </c>
      <c r="C962" s="4">
        <v>305.51979999999998</v>
      </c>
      <c r="D962" s="4">
        <v>20.386330000000001</v>
      </c>
    </row>
    <row r="963" spans="1:4" ht="15.6">
      <c r="A963" s="4" t="s">
        <v>129</v>
      </c>
      <c r="B963" s="4">
        <v>2.7E-2</v>
      </c>
      <c r="C963" s="4">
        <v>357.6019</v>
      </c>
      <c r="D963" s="4">
        <v>0.70240000000000002</v>
      </c>
    </row>
    <row r="964" spans="1:4" ht="15.6">
      <c r="A964" s="4" t="s">
        <v>132</v>
      </c>
      <c r="B964" s="4">
        <v>2.0691999999999999E-2</v>
      </c>
      <c r="C964" s="4">
        <v>405.03160000000003</v>
      </c>
      <c r="D964" s="4">
        <v>0.55290700000000004</v>
      </c>
    </row>
    <row r="965" spans="1:4" ht="15.6">
      <c r="A965" s="4" t="s">
        <v>6</v>
      </c>
      <c r="B965" s="4">
        <v>2.0388147561627101E-2</v>
      </c>
      <c r="C965" s="4">
        <v>404.89837682338799</v>
      </c>
      <c r="D965" s="4">
        <v>0.99099999999999999</v>
      </c>
    </row>
    <row r="966" spans="1:4" ht="15.6">
      <c r="A966" s="4"/>
      <c r="D966" s="4"/>
    </row>
    <row r="967" spans="1:4" ht="15.6">
      <c r="A967" s="4"/>
      <c r="B967" s="4"/>
      <c r="C967" s="4"/>
      <c r="D967" s="4"/>
    </row>
    <row r="968" spans="1:4" ht="15.6">
      <c r="A968" s="4" t="s">
        <v>203</v>
      </c>
      <c r="B968" s="4"/>
      <c r="C968" s="4"/>
      <c r="D968" s="4"/>
    </row>
    <row r="969" spans="1:4" ht="15.6">
      <c r="A969" s="4" t="s">
        <v>195</v>
      </c>
      <c r="B969" s="4" t="s">
        <v>196</v>
      </c>
      <c r="C969" s="4" t="s">
        <v>197</v>
      </c>
      <c r="D969" s="4" t="s">
        <v>156</v>
      </c>
    </row>
    <row r="970" spans="1:4" ht="15.6">
      <c r="A970" s="4" t="s">
        <v>100</v>
      </c>
      <c r="B970" s="4">
        <v>8.9176000000000005E-2</v>
      </c>
      <c r="C970" s="4">
        <v>98.342060000000004</v>
      </c>
      <c r="D970" s="4">
        <v>2.3927E-2</v>
      </c>
    </row>
    <row r="971" spans="1:4" ht="15.6">
      <c r="A971" s="4" t="s">
        <v>157</v>
      </c>
      <c r="B971" s="4">
        <v>0.132409</v>
      </c>
      <c r="C971" s="4">
        <v>79.941810000000004</v>
      </c>
      <c r="D971" s="4">
        <v>1.672838</v>
      </c>
    </row>
    <row r="972" spans="1:4" ht="15.6">
      <c r="A972" s="4" t="s">
        <v>121</v>
      </c>
      <c r="B972" s="4">
        <v>0.1769</v>
      </c>
      <c r="C972" s="4">
        <v>68.619420000000005</v>
      </c>
      <c r="D972" s="4">
        <v>27.675940000000001</v>
      </c>
    </row>
    <row r="973" spans="1:4" ht="15.6">
      <c r="A973" s="4" t="s">
        <v>129</v>
      </c>
      <c r="B973" s="4">
        <v>0.1769</v>
      </c>
      <c r="C973" s="4">
        <v>68.619399999999999</v>
      </c>
      <c r="D973" s="4">
        <v>15.910399999999999</v>
      </c>
    </row>
    <row r="974" spans="1:4" ht="15.6">
      <c r="A974" s="4" t="s">
        <v>132</v>
      </c>
      <c r="B974" s="4">
        <v>8.7080000000000005E-2</v>
      </c>
      <c r="C974" s="4">
        <v>98.459609999999998</v>
      </c>
      <c r="D974" s="4">
        <v>0.38673600000000002</v>
      </c>
    </row>
    <row r="975" spans="1:4" ht="15.6">
      <c r="A975" s="4" t="s">
        <v>6</v>
      </c>
      <c r="B975" s="4">
        <v>8.9175536066372907E-2</v>
      </c>
      <c r="C975" s="4">
        <v>98.342058078301093</v>
      </c>
      <c r="D975" s="4">
        <v>0.98340000000000005</v>
      </c>
    </row>
    <row r="976" spans="1:4" ht="15.6">
      <c r="A976" s="4"/>
      <c r="D976" s="4"/>
    </row>
    <row r="977" spans="1:4" ht="15.6">
      <c r="A977" s="4"/>
      <c r="B977" s="4"/>
      <c r="C977" s="4"/>
      <c r="D977" s="4"/>
    </row>
    <row r="978" spans="1:4" ht="15.6">
      <c r="A978" s="4" t="s">
        <v>204</v>
      </c>
      <c r="B978" s="4"/>
      <c r="C978" s="4"/>
      <c r="D978" s="4"/>
    </row>
    <row r="979" spans="1:4" ht="15.6">
      <c r="A979" s="4" t="s">
        <v>195</v>
      </c>
      <c r="B979" s="4" t="s">
        <v>196</v>
      </c>
      <c r="C979" s="4" t="s">
        <v>197</v>
      </c>
      <c r="D979" s="4" t="s">
        <v>156</v>
      </c>
    </row>
    <row r="980" spans="1:4" ht="15.6">
      <c r="A980" s="4" t="s">
        <v>100</v>
      </c>
      <c r="B980" s="4">
        <v>5.4205999999999997E-2</v>
      </c>
      <c r="C980" s="4">
        <v>181.50149999999999</v>
      </c>
      <c r="D980" s="4">
        <v>1.3332E-2</v>
      </c>
    </row>
    <row r="981" spans="1:4" ht="15.6">
      <c r="A981" s="4" t="s">
        <v>157</v>
      </c>
      <c r="B981" s="4">
        <v>7.4938000000000005E-2</v>
      </c>
      <c r="C981" s="4">
        <v>157.94110000000001</v>
      </c>
      <c r="D981" s="4">
        <v>1.0436270000000001</v>
      </c>
    </row>
    <row r="982" spans="1:4" ht="15.6">
      <c r="A982" s="4" t="s">
        <v>121</v>
      </c>
      <c r="B982" s="4">
        <v>0.102518</v>
      </c>
      <c r="C982" s="4">
        <v>137.8982</v>
      </c>
      <c r="D982" s="4">
        <v>26.127859999999998</v>
      </c>
    </row>
    <row r="983" spans="1:4" ht="15.6">
      <c r="A983" s="4" t="s">
        <v>129</v>
      </c>
      <c r="B983" s="4">
        <v>7.4940000000000007E-2</v>
      </c>
      <c r="C983" s="4">
        <v>157.49109999999999</v>
      </c>
      <c r="D983" s="4">
        <v>1.9779</v>
      </c>
    </row>
    <row r="984" spans="1:4" ht="15.6">
      <c r="A984" s="4" t="s">
        <v>132</v>
      </c>
      <c r="B984" s="4">
        <v>5.4608999999999998E-2</v>
      </c>
      <c r="C984" s="4">
        <v>180.36590000000001</v>
      </c>
      <c r="D984" s="4">
        <v>0.354686</v>
      </c>
    </row>
    <row r="985" spans="1:4" ht="15.6">
      <c r="A985" s="4" t="s">
        <v>6</v>
      </c>
      <c r="B985" s="4">
        <v>5.4206377957566797E-2</v>
      </c>
      <c r="C985" s="4">
        <v>181.50148079619399</v>
      </c>
      <c r="D985" s="4">
        <v>0.99350000000000005</v>
      </c>
    </row>
    <row r="986" spans="1:4" ht="15.6">
      <c r="A986" s="4"/>
      <c r="D986" s="4"/>
    </row>
    <row r="987" spans="1:4" ht="15.6">
      <c r="A987" s="4"/>
      <c r="B987" s="4"/>
      <c r="C987" s="4"/>
      <c r="D987" s="4"/>
    </row>
    <row r="988" spans="1:4" ht="15.6">
      <c r="A988" s="4"/>
      <c r="B988" s="4"/>
      <c r="C988" s="4"/>
      <c r="D988" s="4"/>
    </row>
    <row r="989" spans="1:4" ht="15.6">
      <c r="A989" s="4" t="s">
        <v>205</v>
      </c>
      <c r="B989" s="4"/>
      <c r="C989" s="4"/>
      <c r="D989" s="4"/>
    </row>
    <row r="990" spans="1:4" ht="15.6">
      <c r="A990" s="4" t="s">
        <v>195</v>
      </c>
      <c r="B990" s="4" t="s">
        <v>196</v>
      </c>
      <c r="C990" s="4" t="s">
        <v>197</v>
      </c>
      <c r="D990" s="4" t="s">
        <v>156</v>
      </c>
    </row>
    <row r="991" spans="1:4" ht="15.6">
      <c r="A991" s="4" t="s">
        <v>100</v>
      </c>
      <c r="B991" s="4">
        <v>4.9988999999999999E-2</v>
      </c>
      <c r="C991" s="4">
        <v>235.4376</v>
      </c>
      <c r="D991" s="4">
        <v>3.9100000000000003E-3</v>
      </c>
    </row>
    <row r="992" spans="1:4" ht="15.6">
      <c r="A992" s="4" t="s">
        <v>157</v>
      </c>
      <c r="B992" s="4">
        <v>5.8895000000000003E-2</v>
      </c>
      <c r="C992" s="4">
        <v>220.6157</v>
      </c>
      <c r="D992" s="4">
        <v>0.36442799999999997</v>
      </c>
    </row>
    <row r="993" spans="1:4" ht="15.6">
      <c r="A993" s="4" t="s">
        <v>121</v>
      </c>
      <c r="B993" s="4">
        <v>7.7040999999999998E-2</v>
      </c>
      <c r="C993" s="4">
        <v>197.0086</v>
      </c>
      <c r="D993" s="4">
        <v>17.631340000000002</v>
      </c>
    </row>
    <row r="994" spans="1:4" ht="15.6">
      <c r="A994" s="4" t="s">
        <v>129</v>
      </c>
      <c r="B994" s="4">
        <v>7.7039999999999997E-2</v>
      </c>
      <c r="C994" s="4">
        <v>197.0086</v>
      </c>
      <c r="D994" s="4">
        <v>10.785</v>
      </c>
    </row>
    <row r="995" spans="1:4" ht="15.6">
      <c r="A995" s="4" t="s">
        <v>132</v>
      </c>
      <c r="B995" s="4">
        <v>5.0025E-2</v>
      </c>
      <c r="C995" s="4">
        <v>235.2629</v>
      </c>
      <c r="D995" s="4">
        <v>0.19312499999999999</v>
      </c>
    </row>
    <row r="996" spans="1:4" ht="15.6">
      <c r="A996" s="4" t="s">
        <v>6</v>
      </c>
      <c r="B996" s="4">
        <v>4.9989302942979902E-2</v>
      </c>
      <c r="C996" s="4">
        <v>235.43760693908399</v>
      </c>
      <c r="D996" s="4">
        <v>0.998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1"/>
  <sheetViews>
    <sheetView workbookViewId="0">
      <selection activeCell="M14" sqref="M14"/>
    </sheetView>
  </sheetViews>
  <sheetFormatPr defaultColWidth="9" defaultRowHeight="14.4"/>
  <cols>
    <col min="3" max="3" width="12.88671875"/>
    <col min="4" max="4" width="12" customWidth="1"/>
  </cols>
  <sheetData>
    <row r="2" spans="1:11">
      <c r="A2" t="s">
        <v>206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100</v>
      </c>
      <c r="E5" t="s">
        <v>101</v>
      </c>
    </row>
    <row r="6" spans="1:11">
      <c r="A6">
        <v>0</v>
      </c>
      <c r="B6">
        <v>0</v>
      </c>
      <c r="C6">
        <f>EXP((($K$6*$K$13*A6)/($K$7))-(($K$6*$K$11)/($K$12)))</f>
        <v>0.11616622246778356</v>
      </c>
      <c r="D6">
        <f>(B6-C6)^2</f>
        <v>1.3494591242434583E-2</v>
      </c>
      <c r="E6">
        <f>(B6-C$20)^2</f>
        <v>0.1760125389443451</v>
      </c>
      <c r="J6" s="22" t="s">
        <v>207</v>
      </c>
      <c r="K6">
        <v>0.155373515914209</v>
      </c>
    </row>
    <row r="7" spans="1:11">
      <c r="A7">
        <v>10</v>
      </c>
      <c r="B7">
        <v>0</v>
      </c>
      <c r="C7">
        <f t="shared" ref="C7:C19" si="0">EXP((($K$6*$K$13*A7)/($K$7))-(($K$6*$K$11)/($K$12)))</f>
        <v>0.12977310220207097</v>
      </c>
      <c r="D7">
        <f t="shared" ref="D7:D19" si="1">(B7-C7)^2</f>
        <v>1.6841058055149159E-2</v>
      </c>
      <c r="E7">
        <f t="shared" ref="E7:E19" si="2">(B7-C$20)^2</f>
        <v>0.1760125389443451</v>
      </c>
      <c r="J7" t="s">
        <v>208</v>
      </c>
      <c r="K7">
        <v>1402.7255769404201</v>
      </c>
    </row>
    <row r="8" spans="1:11">
      <c r="A8">
        <v>15</v>
      </c>
      <c r="B8">
        <v>0</v>
      </c>
      <c r="C8">
        <f t="shared" si="0"/>
        <v>0.13716303817177061</v>
      </c>
      <c r="D8">
        <f t="shared" si="1"/>
        <v>1.8813699040510602E-2</v>
      </c>
      <c r="E8">
        <f t="shared" si="2"/>
        <v>0.1760125389443451</v>
      </c>
    </row>
    <row r="9" spans="1:11">
      <c r="A9">
        <v>20</v>
      </c>
      <c r="B9">
        <v>0</v>
      </c>
      <c r="C9">
        <f t="shared" si="0"/>
        <v>0.14497379442479236</v>
      </c>
      <c r="D9">
        <f t="shared" si="1"/>
        <v>2.1017401069921955E-2</v>
      </c>
      <c r="E9">
        <f t="shared" si="2"/>
        <v>0.1760125389443451</v>
      </c>
      <c r="J9" t="s">
        <v>104</v>
      </c>
      <c r="K9">
        <f>1-(D20/E20)</f>
        <v>0.86877940252339214</v>
      </c>
    </row>
    <row r="10" spans="1:11">
      <c r="A10">
        <v>25</v>
      </c>
      <c r="B10">
        <v>0</v>
      </c>
      <c r="C10">
        <f t="shared" si="0"/>
        <v>0.15322933459378218</v>
      </c>
      <c r="D10">
        <f t="shared" si="1"/>
        <v>2.3479228980053255E-2</v>
      </c>
      <c r="E10">
        <f t="shared" si="2"/>
        <v>0.1760125389443451</v>
      </c>
    </row>
    <row r="11" spans="1:11">
      <c r="A11">
        <v>40</v>
      </c>
      <c r="B11">
        <v>0.01</v>
      </c>
      <c r="C11">
        <f t="shared" si="0"/>
        <v>0.18092523474928976</v>
      </c>
      <c r="D11">
        <f t="shared" si="1"/>
        <v>2.9215435874099808E-2</v>
      </c>
      <c r="E11">
        <f t="shared" si="2"/>
        <v>0.16772176927894861</v>
      </c>
      <c r="J11" t="s">
        <v>209</v>
      </c>
      <c r="K11">
        <v>4</v>
      </c>
    </row>
    <row r="12" spans="1:11">
      <c r="A12">
        <v>70</v>
      </c>
      <c r="B12">
        <v>0.24</v>
      </c>
      <c r="C12">
        <f t="shared" si="0"/>
        <v>0.25223979402230262</v>
      </c>
      <c r="D12">
        <f t="shared" si="1"/>
        <v>1.4981255770839521E-4</v>
      </c>
      <c r="E12">
        <f t="shared" si="2"/>
        <v>3.2234066974829181E-2</v>
      </c>
      <c r="J12" s="22" t="s">
        <v>210</v>
      </c>
      <c r="K12">
        <v>0.28870000000000001</v>
      </c>
    </row>
    <row r="13" spans="1:11">
      <c r="A13">
        <v>92</v>
      </c>
      <c r="B13">
        <v>0.43</v>
      </c>
      <c r="C13">
        <f t="shared" si="0"/>
        <v>0.32184310232443725</v>
      </c>
      <c r="D13">
        <f t="shared" si="1"/>
        <v>1.1697914514802151E-2</v>
      </c>
      <c r="E13">
        <f t="shared" si="2"/>
        <v>1.094433322957345E-4</v>
      </c>
      <c r="J13" s="22" t="s">
        <v>12</v>
      </c>
      <c r="K13">
        <v>100</v>
      </c>
    </row>
    <row r="14" spans="1:11">
      <c r="A14">
        <v>110</v>
      </c>
      <c r="B14">
        <v>0.56000000000000005</v>
      </c>
      <c r="C14">
        <f t="shared" si="0"/>
        <v>0.39285553904667947</v>
      </c>
      <c r="D14">
        <f t="shared" si="1"/>
        <v>2.7937270827376109E-2</v>
      </c>
      <c r="E14">
        <f t="shared" si="2"/>
        <v>1.972943768214129E-2</v>
      </c>
      <c r="J14" s="22" t="s">
        <v>8</v>
      </c>
      <c r="K14">
        <v>8</v>
      </c>
    </row>
    <row r="15" spans="1:11">
      <c r="A15">
        <v>130</v>
      </c>
      <c r="B15">
        <v>0.7</v>
      </c>
      <c r="C15">
        <f t="shared" si="0"/>
        <v>0.490278128585866</v>
      </c>
      <c r="D15">
        <f t="shared" si="1"/>
        <v>4.3983263349446536E-2</v>
      </c>
      <c r="E15">
        <f t="shared" si="2"/>
        <v>7.865866236659029E-2</v>
      </c>
      <c r="J15" s="22" t="s">
        <v>106</v>
      </c>
      <c r="K15">
        <v>15</v>
      </c>
    </row>
    <row r="16" spans="1:11">
      <c r="A16">
        <v>160</v>
      </c>
      <c r="B16">
        <v>0.85</v>
      </c>
      <c r="C16">
        <f t="shared" si="0"/>
        <v>0.68352905187331425</v>
      </c>
      <c r="D16">
        <f t="shared" si="1"/>
        <v>2.771257657019769E-2</v>
      </c>
      <c r="E16">
        <f t="shared" si="2"/>
        <v>0.18529711738564283</v>
      </c>
      <c r="J16" s="22" t="s">
        <v>107</v>
      </c>
      <c r="K16">
        <v>2</v>
      </c>
    </row>
    <row r="17" spans="1:19">
      <c r="A17">
        <v>180</v>
      </c>
      <c r="B17">
        <v>0.88</v>
      </c>
      <c r="C17">
        <f t="shared" si="0"/>
        <v>0.85303454088934372</v>
      </c>
      <c r="D17">
        <f t="shared" si="1"/>
        <v>7.2713598504847612E-4</v>
      </c>
      <c r="E17">
        <f t="shared" si="2"/>
        <v>0.21202480838945337</v>
      </c>
    </row>
    <row r="18" spans="1:19">
      <c r="A18">
        <v>190</v>
      </c>
      <c r="B18">
        <v>0.89</v>
      </c>
      <c r="C18">
        <f t="shared" si="0"/>
        <v>0.95295290063710392</v>
      </c>
      <c r="D18">
        <f t="shared" si="1"/>
        <v>3.9630676986250769E-3</v>
      </c>
      <c r="E18">
        <f t="shared" si="2"/>
        <v>0.22133403872405688</v>
      </c>
    </row>
    <row r="19" spans="1:19">
      <c r="A19">
        <v>200</v>
      </c>
      <c r="B19">
        <v>0.9</v>
      </c>
      <c r="C19">
        <f t="shared" si="0"/>
        <v>1.0645749817890109</v>
      </c>
      <c r="D19">
        <f t="shared" si="1"/>
        <v>2.7084924630853258E-2</v>
      </c>
      <c r="E19">
        <f t="shared" si="2"/>
        <v>0.2308432690586604</v>
      </c>
    </row>
    <row r="20" spans="1:19">
      <c r="C20">
        <f>AVERAGE(C6:C19)</f>
        <v>0.41953848326982485</v>
      </c>
      <c r="D20">
        <f>SUM(D6:D19)</f>
        <v>0.26611738039622701</v>
      </c>
      <c r="E20">
        <f>SUM(E6:E19)</f>
        <v>2.0280153079143441</v>
      </c>
      <c r="S20" t="s">
        <v>211</v>
      </c>
    </row>
    <row r="21" spans="1:19">
      <c r="S21" t="s">
        <v>212</v>
      </c>
    </row>
    <row r="25" spans="1:19">
      <c r="B25" t="s">
        <v>130</v>
      </c>
    </row>
    <row r="26" spans="1:19">
      <c r="A26" t="s">
        <v>29</v>
      </c>
      <c r="B26" t="s">
        <v>43</v>
      </c>
      <c r="C26" t="s">
        <v>99</v>
      </c>
      <c r="D26" t="s">
        <v>100</v>
      </c>
      <c r="E26" t="s">
        <v>101</v>
      </c>
    </row>
    <row r="27" spans="1:19" ht="15.6">
      <c r="A27">
        <v>0</v>
      </c>
      <c r="B27">
        <v>0</v>
      </c>
      <c r="C27">
        <f>EXP((($K$27*$K$34*A27)/($K$28))-(($K$27*$K$32)/($K$33)))</f>
        <v>5.2731121281172598E-2</v>
      </c>
      <c r="D27">
        <f>(B27-C27)^2</f>
        <v>2.7805711515697337E-3</v>
      </c>
      <c r="E27">
        <f>(B27-C$45)^2</f>
        <v>0.11706483677030115</v>
      </c>
      <c r="J27" t="s">
        <v>207</v>
      </c>
      <c r="K27" s="4">
        <v>0.106189253677025</v>
      </c>
    </row>
    <row r="28" spans="1:19" ht="15.6">
      <c r="A28">
        <v>20</v>
      </c>
      <c r="B28">
        <v>0</v>
      </c>
      <c r="C28">
        <f t="shared" ref="C28:C44" si="3">EXP((($K$27*$K$34*A28)/($K$28))-(($K$27*$K$32)/($K$33)))</f>
        <v>6.4491262467752927E-2</v>
      </c>
      <c r="D28">
        <f t="shared" ref="D28:D44" si="4">(B28-C28)^2</f>
        <v>4.1591229346845974E-3</v>
      </c>
      <c r="E28">
        <f t="shared" ref="E28:E44" si="5">(B28-C$45)^2</f>
        <v>0.11706483677030115</v>
      </c>
      <c r="J28" t="s">
        <v>208</v>
      </c>
      <c r="K28" s="4">
        <v>1054.90939987818</v>
      </c>
    </row>
    <row r="29" spans="1:19" ht="15.6">
      <c r="A29">
        <v>30</v>
      </c>
      <c r="B29">
        <v>0</v>
      </c>
      <c r="C29">
        <f t="shared" si="3"/>
        <v>7.1321064214451502E-2</v>
      </c>
      <c r="D29">
        <f t="shared" si="4"/>
        <v>5.0866942006819148E-3</v>
      </c>
      <c r="E29">
        <f t="shared" si="5"/>
        <v>0.11706483677030115</v>
      </c>
      <c r="K29" s="4"/>
    </row>
    <row r="30" spans="1:19" ht="15.6">
      <c r="A30">
        <v>40</v>
      </c>
      <c r="B30">
        <v>0</v>
      </c>
      <c r="C30">
        <f t="shared" si="3"/>
        <v>7.8874160716350894E-2</v>
      </c>
      <c r="D30">
        <f t="shared" si="4"/>
        <v>6.2211332287087509E-3</v>
      </c>
      <c r="E30">
        <f t="shared" si="5"/>
        <v>0.11706483677030115</v>
      </c>
      <c r="J30" s="23" t="s">
        <v>104</v>
      </c>
      <c r="K30" s="4">
        <f>1-(D45/E45)</f>
        <v>0.90207157636094726</v>
      </c>
    </row>
    <row r="31" spans="1:19" ht="15.6">
      <c r="A31">
        <v>50</v>
      </c>
      <c r="B31">
        <v>0</v>
      </c>
      <c r="C31">
        <f t="shared" si="3"/>
        <v>8.7227150873727261E-2</v>
      </c>
      <c r="D31">
        <f t="shared" si="4"/>
        <v>7.6085758495479782E-3</v>
      </c>
      <c r="E31">
        <f t="shared" si="5"/>
        <v>0.11706483677030115</v>
      </c>
      <c r="K31" s="4"/>
    </row>
    <row r="32" spans="1:19" ht="15.6">
      <c r="A32">
        <v>60</v>
      </c>
      <c r="B32">
        <v>0</v>
      </c>
      <c r="C32">
        <f t="shared" si="3"/>
        <v>9.6464745620687062E-2</v>
      </c>
      <c r="D32">
        <f t="shared" si="4"/>
        <v>9.3054471476638635E-3</v>
      </c>
      <c r="E32">
        <f t="shared" si="5"/>
        <v>0.11706483677030115</v>
      </c>
      <c r="J32" t="s">
        <v>209</v>
      </c>
      <c r="K32" s="4">
        <v>8</v>
      </c>
    </row>
    <row r="33" spans="1:11" ht="15.6">
      <c r="A33">
        <v>70</v>
      </c>
      <c r="B33">
        <v>0</v>
      </c>
      <c r="C33">
        <f t="shared" si="3"/>
        <v>0.10668062701182024</v>
      </c>
      <c r="D33">
        <f t="shared" si="4"/>
        <v>1.1380756179635109E-2</v>
      </c>
      <c r="E33">
        <f t="shared" si="5"/>
        <v>0.11706483677030115</v>
      </c>
      <c r="J33" t="s">
        <v>210</v>
      </c>
      <c r="K33" s="4">
        <v>0.28870000000000001</v>
      </c>
    </row>
    <row r="34" spans="1:11" ht="15.6">
      <c r="A34">
        <v>80</v>
      </c>
      <c r="B34">
        <v>0</v>
      </c>
      <c r="C34">
        <f t="shared" si="3"/>
        <v>0.11797839828848809</v>
      </c>
      <c r="D34">
        <f t="shared" si="4"/>
        <v>1.3918902462717131E-2</v>
      </c>
      <c r="E34">
        <f t="shared" si="5"/>
        <v>0.11706483677030115</v>
      </c>
      <c r="J34" s="22" t="s">
        <v>12</v>
      </c>
      <c r="K34" s="4">
        <v>100</v>
      </c>
    </row>
    <row r="35" spans="1:11" ht="15.6">
      <c r="A35">
        <v>115</v>
      </c>
      <c r="B35">
        <v>0.01</v>
      </c>
      <c r="C35">
        <f t="shared" si="3"/>
        <v>0.16780765651518179</v>
      </c>
      <c r="D35">
        <f t="shared" si="4"/>
        <v>2.4903256454813595E-2</v>
      </c>
      <c r="E35">
        <f t="shared" si="5"/>
        <v>0.11032188896192788</v>
      </c>
      <c r="J35" s="22" t="s">
        <v>8</v>
      </c>
      <c r="K35" s="4">
        <v>8</v>
      </c>
    </row>
    <row r="36" spans="1:11" ht="15.6">
      <c r="A36">
        <v>140</v>
      </c>
      <c r="B36">
        <v>0.08</v>
      </c>
      <c r="C36">
        <f t="shared" si="3"/>
        <v>0.21582617443218585</v>
      </c>
      <c r="D36">
        <f t="shared" si="4"/>
        <v>1.8448749660882582E-2</v>
      </c>
      <c r="E36">
        <f t="shared" si="5"/>
        <v>6.8721254303315021E-2</v>
      </c>
      <c r="J36" s="22" t="s">
        <v>106</v>
      </c>
      <c r="K36" s="4">
        <v>19</v>
      </c>
    </row>
    <row r="37" spans="1:11" ht="15.6">
      <c r="A37">
        <v>170</v>
      </c>
      <c r="B37">
        <v>0.3</v>
      </c>
      <c r="C37">
        <f t="shared" si="3"/>
        <v>0.29191399825843106</v>
      </c>
      <c r="D37">
        <f t="shared" si="4"/>
        <v>6.5383424164655718E-5</v>
      </c>
      <c r="E37">
        <f t="shared" si="5"/>
        <v>1.7764025191032244E-3</v>
      </c>
      <c r="J37" s="22" t="s">
        <v>107</v>
      </c>
      <c r="K37" s="4">
        <v>2</v>
      </c>
    </row>
    <row r="38" spans="1:11" ht="15.6">
      <c r="A38">
        <v>195</v>
      </c>
      <c r="B38">
        <v>0.49</v>
      </c>
      <c r="C38">
        <f t="shared" si="3"/>
        <v>0.37544580989736298</v>
      </c>
      <c r="D38">
        <f t="shared" si="4"/>
        <v>1.3122662470071099E-2</v>
      </c>
      <c r="E38">
        <f t="shared" si="5"/>
        <v>2.18603941600112E-2</v>
      </c>
      <c r="K38" s="4"/>
    </row>
    <row r="39" spans="1:11" ht="15.6">
      <c r="A39">
        <v>210</v>
      </c>
      <c r="B39">
        <v>0.6</v>
      </c>
      <c r="C39">
        <f t="shared" si="3"/>
        <v>0.43663914315830871</v>
      </c>
      <c r="D39">
        <f t="shared" si="4"/>
        <v>2.6686769548051551E-2</v>
      </c>
      <c r="E39">
        <f t="shared" si="5"/>
        <v>6.648796826790529E-2</v>
      </c>
      <c r="K39" s="4"/>
    </row>
    <row r="40" spans="1:11" ht="15.6">
      <c r="A40">
        <v>230</v>
      </c>
      <c r="B40">
        <v>0.71</v>
      </c>
      <c r="C40">
        <f t="shared" si="3"/>
        <v>0.53401879006072672</v>
      </c>
      <c r="D40">
        <f t="shared" si="4"/>
        <v>3.0969386251690562E-2</v>
      </c>
      <c r="E40">
        <f t="shared" si="5"/>
        <v>0.13531554237579937</v>
      </c>
      <c r="K40" s="4"/>
    </row>
    <row r="41" spans="1:11" ht="15.6">
      <c r="A41">
        <v>250</v>
      </c>
      <c r="B41">
        <v>0.8</v>
      </c>
      <c r="C41">
        <f t="shared" si="3"/>
        <v>0.6531161317219073</v>
      </c>
      <c r="D41">
        <f t="shared" si="4"/>
        <v>2.1574870760336099E-2</v>
      </c>
      <c r="E41">
        <f t="shared" si="5"/>
        <v>0.20962901210044005</v>
      </c>
      <c r="K41" s="4"/>
    </row>
    <row r="42" spans="1:11" ht="15.6">
      <c r="A42">
        <v>270</v>
      </c>
      <c r="B42">
        <v>0.85</v>
      </c>
      <c r="C42">
        <f t="shared" si="3"/>
        <v>0.7987746675859112</v>
      </c>
      <c r="D42">
        <f t="shared" si="4"/>
        <v>2.6240346809338943E-3</v>
      </c>
      <c r="E42">
        <f t="shared" si="5"/>
        <v>0.25791427305857362</v>
      </c>
      <c r="K42" s="4"/>
    </row>
    <row r="43" spans="1:11" ht="15.6">
      <c r="A43">
        <v>285</v>
      </c>
      <c r="B43">
        <v>0.87</v>
      </c>
      <c r="C43">
        <f t="shared" si="3"/>
        <v>0.92896571818612494</v>
      </c>
      <c r="D43">
        <f t="shared" si="4"/>
        <v>3.4769559212055067E-3</v>
      </c>
      <c r="E43">
        <f t="shared" si="5"/>
        <v>0.27862837744182711</v>
      </c>
      <c r="K43" s="4"/>
    </row>
    <row r="44" spans="1:11" ht="15.6">
      <c r="A44">
        <v>300</v>
      </c>
      <c r="B44">
        <v>0.9</v>
      </c>
      <c r="C44">
        <f t="shared" si="3"/>
        <v>1.0803764072453472</v>
      </c>
      <c r="D44">
        <f t="shared" si="4"/>
        <v>3.2535648290739343E-2</v>
      </c>
      <c r="E44">
        <f t="shared" si="5"/>
        <v>0.31119953401670736</v>
      </c>
      <c r="K44" s="4"/>
    </row>
    <row r="45" spans="1:11" ht="15.6">
      <c r="C45">
        <f>AVERAGE(C27:C44)</f>
        <v>0.34214739041866321</v>
      </c>
      <c r="D45">
        <f>SUM(D27:D44)</f>
        <v>0.23486892061809797</v>
      </c>
      <c r="E45">
        <f>SUM(E27:E44)</f>
        <v>2.3983733413680195</v>
      </c>
      <c r="K45" s="4"/>
    </row>
    <row r="46" spans="1:11" ht="15.6">
      <c r="K46" s="4"/>
    </row>
    <row r="47" spans="1:11" ht="15.6">
      <c r="K47" s="4"/>
    </row>
    <row r="48" spans="1:11" ht="15.6">
      <c r="K48" s="4"/>
    </row>
    <row r="49" spans="1:20" ht="15.6">
      <c r="K49" s="4"/>
    </row>
    <row r="50" spans="1:20" ht="15.6">
      <c r="B50" t="s">
        <v>171</v>
      </c>
      <c r="K50" s="4"/>
    </row>
    <row r="51" spans="1:20" ht="15.6">
      <c r="A51" t="s">
        <v>29</v>
      </c>
      <c r="B51" t="s">
        <v>43</v>
      </c>
      <c r="C51" t="s">
        <v>99</v>
      </c>
      <c r="D51" t="s">
        <v>100</v>
      </c>
      <c r="E51" t="s">
        <v>101</v>
      </c>
      <c r="K51" s="4"/>
    </row>
    <row r="52" spans="1:20" ht="15.6">
      <c r="A52">
        <v>0</v>
      </c>
      <c r="B52">
        <v>0</v>
      </c>
      <c r="C52">
        <f>EXP((($K$52*$K$60*A52)/($K$53))-(($K$52*$K$57)/($K$58)))</f>
        <v>5.662849675188251E-3</v>
      </c>
      <c r="D52">
        <f>(B52-C52)^2</f>
        <v>3.2067866443779682E-5</v>
      </c>
      <c r="E52">
        <f>(B52-C$74)^2</f>
        <v>9.2822590400139668E-2</v>
      </c>
      <c r="J52" t="s">
        <v>207</v>
      </c>
      <c r="K52" s="4">
        <v>0.12447367953039599</v>
      </c>
    </row>
    <row r="53" spans="1:20" ht="15.6">
      <c r="A53">
        <v>20</v>
      </c>
      <c r="B53">
        <v>0</v>
      </c>
      <c r="C53">
        <f t="shared" ref="C53:C73" si="6">EXP((($K$52*$K$60*A53)/($K$53))-(($K$52*$K$57)/($K$58)))</f>
        <v>7.4374212630676844E-3</v>
      </c>
      <c r="D53">
        <f t="shared" ref="D53:D73" si="7">(B53-C53)^2</f>
        <v>5.531523504433131E-5</v>
      </c>
      <c r="E53">
        <f t="shared" ref="E53:E73" si="8">(B53-C$74)^2</f>
        <v>9.2822590400139668E-2</v>
      </c>
      <c r="J53" t="s">
        <v>208</v>
      </c>
      <c r="K53" s="4">
        <v>913.24340121999705</v>
      </c>
      <c r="T53" t="s">
        <v>207</v>
      </c>
    </row>
    <row r="54" spans="1:20" ht="15.6">
      <c r="A54">
        <v>30</v>
      </c>
      <c r="B54">
        <v>0</v>
      </c>
      <c r="C54">
        <f t="shared" si="6"/>
        <v>8.5234625056296327E-3</v>
      </c>
      <c r="D54">
        <f t="shared" si="7"/>
        <v>7.264941308487417E-5</v>
      </c>
      <c r="E54">
        <f t="shared" si="8"/>
        <v>9.2822590400139668E-2</v>
      </c>
      <c r="K54" s="4"/>
    </row>
    <row r="55" spans="1:20" ht="15.6">
      <c r="A55">
        <v>40</v>
      </c>
      <c r="B55">
        <v>0</v>
      </c>
      <c r="C55">
        <f t="shared" si="6"/>
        <v>9.768091723623664E-3</v>
      </c>
      <c r="D55">
        <f t="shared" si="7"/>
        <v>9.5415615921125117E-5</v>
      </c>
      <c r="E55">
        <f t="shared" si="8"/>
        <v>9.2822590400139668E-2</v>
      </c>
      <c r="J55" t="s">
        <v>104</v>
      </c>
      <c r="K55" s="4">
        <f>1-(D74/E74)</f>
        <v>0.97213683636468995</v>
      </c>
    </row>
    <row r="56" spans="1:20" ht="15.6">
      <c r="A56">
        <v>50</v>
      </c>
      <c r="B56">
        <v>0</v>
      </c>
      <c r="C56">
        <f t="shared" si="6"/>
        <v>1.1194466551369759E-2</v>
      </c>
      <c r="D56">
        <f t="shared" si="7"/>
        <v>1.2531608136973635E-4</v>
      </c>
      <c r="E56">
        <f t="shared" si="8"/>
        <v>9.2822590400139668E-2</v>
      </c>
      <c r="K56" s="4"/>
    </row>
    <row r="57" spans="1:20" ht="15.6">
      <c r="A57">
        <v>60</v>
      </c>
      <c r="B57">
        <v>0</v>
      </c>
      <c r="C57">
        <f t="shared" si="6"/>
        <v>1.2829126191215557E-2</v>
      </c>
      <c r="D57">
        <f t="shared" si="7"/>
        <v>1.6458647883013297E-4</v>
      </c>
      <c r="E57">
        <f t="shared" si="8"/>
        <v>9.2822590400139668E-2</v>
      </c>
      <c r="J57" t="s">
        <v>209</v>
      </c>
      <c r="K57" s="4">
        <v>12</v>
      </c>
    </row>
    <row r="58" spans="1:20" ht="15.6">
      <c r="A58">
        <v>80</v>
      </c>
      <c r="B58">
        <v>0</v>
      </c>
      <c r="C58">
        <f t="shared" si="6"/>
        <v>1.6849399400303382E-2</v>
      </c>
      <c r="D58">
        <f t="shared" si="7"/>
        <v>2.8390226015094397E-4</v>
      </c>
      <c r="E58">
        <f t="shared" si="8"/>
        <v>9.2822590400139668E-2</v>
      </c>
      <c r="J58" s="22" t="s">
        <v>210</v>
      </c>
      <c r="K58" s="4">
        <v>0.28870000000000001</v>
      </c>
    </row>
    <row r="59" spans="1:20" ht="15.6">
      <c r="A59">
        <v>100</v>
      </c>
      <c r="B59">
        <v>0</v>
      </c>
      <c r="C59">
        <f t="shared" si="6"/>
        <v>2.2129508738119637E-2</v>
      </c>
      <c r="D59">
        <f t="shared" si="7"/>
        <v>4.8971515699051341E-4</v>
      </c>
      <c r="E59">
        <f t="shared" si="8"/>
        <v>9.2822590400139668E-2</v>
      </c>
      <c r="J59" s="22" t="s">
        <v>8</v>
      </c>
      <c r="K59" s="4">
        <v>8</v>
      </c>
      <c r="M59">
        <f>0.2887*8</f>
        <v>2.3096000000000001</v>
      </c>
    </row>
    <row r="60" spans="1:20" ht="15.6">
      <c r="A60">
        <v>140</v>
      </c>
      <c r="B60">
        <v>0</v>
      </c>
      <c r="C60">
        <f t="shared" si="6"/>
        <v>3.8172136565765014E-2</v>
      </c>
      <c r="D60">
        <f t="shared" si="7"/>
        <v>1.4571120099954144E-3</v>
      </c>
      <c r="E60">
        <f t="shared" si="8"/>
        <v>9.2822590400139668E-2</v>
      </c>
      <c r="J60" s="22" t="s">
        <v>12</v>
      </c>
      <c r="K60" s="4">
        <v>100</v>
      </c>
    </row>
    <row r="61" spans="1:20" ht="15.6">
      <c r="A61">
        <v>180</v>
      </c>
      <c r="B61">
        <v>0</v>
      </c>
      <c r="C61">
        <f t="shared" si="6"/>
        <v>6.5844751785449102E-2</v>
      </c>
      <c r="D61">
        <f t="shared" si="7"/>
        <v>4.3355313376874025E-3</v>
      </c>
      <c r="E61">
        <f t="shared" si="8"/>
        <v>9.2822590400139668E-2</v>
      </c>
      <c r="J61" s="22" t="s">
        <v>106</v>
      </c>
      <c r="K61" s="4">
        <v>23</v>
      </c>
    </row>
    <row r="62" spans="1:20" ht="15.6">
      <c r="A62">
        <v>230</v>
      </c>
      <c r="B62">
        <v>0.02</v>
      </c>
      <c r="C62">
        <f t="shared" si="6"/>
        <v>0.1301635949608623</v>
      </c>
      <c r="D62">
        <f t="shared" si="7"/>
        <v>1.2136017654700924E-2</v>
      </c>
      <c r="E62">
        <f t="shared" si="8"/>
        <v>8.103587038857693E-2</v>
      </c>
      <c r="J62" s="22" t="s">
        <v>107</v>
      </c>
      <c r="K62" s="4">
        <v>2</v>
      </c>
    </row>
    <row r="63" spans="1:20" ht="15.6">
      <c r="A63">
        <v>255</v>
      </c>
      <c r="B63">
        <v>0.08</v>
      </c>
      <c r="C63">
        <f t="shared" si="6"/>
        <v>0.18300953592873626</v>
      </c>
      <c r="D63">
        <f t="shared" si="7"/>
        <v>1.0610964492253605E-2</v>
      </c>
      <c r="E63">
        <f t="shared" si="8"/>
        <v>5.0475710353888745E-2</v>
      </c>
      <c r="K63" s="4"/>
      <c r="N63">
        <f>3.142 * 12/2</f>
        <v>18.852</v>
      </c>
    </row>
    <row r="64" spans="1:20" ht="15.6">
      <c r="A64">
        <v>280</v>
      </c>
      <c r="B64">
        <v>0.21</v>
      </c>
      <c r="C64">
        <f t="shared" si="6"/>
        <v>0.25731073462531484</v>
      </c>
      <c r="D64">
        <f t="shared" si="7"/>
        <v>2.2383056107869652E-3</v>
      </c>
      <c r="E64">
        <f t="shared" si="8"/>
        <v>8.9620302787310202E-3</v>
      </c>
      <c r="K64" s="4"/>
    </row>
    <row r="65" spans="1:20" ht="15.6">
      <c r="A65">
        <v>293</v>
      </c>
      <c r="B65">
        <v>0.3</v>
      </c>
      <c r="C65">
        <f t="shared" si="6"/>
        <v>0.30719184398844618</v>
      </c>
      <c r="D65">
        <f t="shared" si="7"/>
        <v>5.1722619954149591E-5</v>
      </c>
      <c r="E65">
        <f t="shared" si="8"/>
        <v>2.179022669874098E-5</v>
      </c>
      <c r="K65" s="4"/>
      <c r="T65" s="22" t="s">
        <v>210</v>
      </c>
    </row>
    <row r="66" spans="1:20" ht="15.6">
      <c r="A66">
        <v>300</v>
      </c>
      <c r="B66">
        <v>0.35</v>
      </c>
      <c r="C66">
        <f t="shared" si="6"/>
        <v>0.33794439878968963</v>
      </c>
      <c r="D66">
        <f t="shared" si="7"/>
        <v>1.4533752054203642E-4</v>
      </c>
      <c r="E66">
        <f t="shared" si="8"/>
        <v>2.0549901977919179E-3</v>
      </c>
      <c r="K66" s="4"/>
    </row>
    <row r="67" spans="1:20" ht="15.6">
      <c r="A67">
        <v>315</v>
      </c>
      <c r="B67">
        <v>0.49</v>
      </c>
      <c r="C67">
        <f t="shared" si="6"/>
        <v>0.41460617273890543</v>
      </c>
      <c r="D67">
        <f t="shared" si="7"/>
        <v>5.6842291890757653E-3</v>
      </c>
      <c r="E67">
        <f t="shared" si="8"/>
        <v>3.4347950116852821E-2</v>
      </c>
      <c r="K67" s="4"/>
    </row>
    <row r="68" spans="1:20" ht="15.6">
      <c r="A68">
        <v>337</v>
      </c>
      <c r="B68">
        <v>0.68</v>
      </c>
      <c r="C68">
        <f t="shared" si="6"/>
        <v>0.55957956513867757</v>
      </c>
      <c r="D68">
        <f t="shared" si="7"/>
        <v>1.450108113219001E-2</v>
      </c>
      <c r="E68">
        <f t="shared" si="8"/>
        <v>0.14087411000700695</v>
      </c>
      <c r="K68" s="4"/>
    </row>
    <row r="69" spans="1:20" ht="15.6">
      <c r="A69">
        <v>354</v>
      </c>
      <c r="B69">
        <v>0.8</v>
      </c>
      <c r="C69">
        <f t="shared" si="6"/>
        <v>0.70549037363834044</v>
      </c>
      <c r="D69">
        <f t="shared" si="7"/>
        <v>8.9320694750205046E-3</v>
      </c>
      <c r="E69">
        <f t="shared" si="8"/>
        <v>0.24535378993763057</v>
      </c>
      <c r="K69" s="4"/>
    </row>
    <row r="70" spans="1:20" ht="15.6">
      <c r="A70">
        <v>362</v>
      </c>
      <c r="B70">
        <v>0.84</v>
      </c>
      <c r="C70">
        <f t="shared" si="6"/>
        <v>0.78676681111969637</v>
      </c>
      <c r="D70">
        <f t="shared" si="7"/>
        <v>2.8337723983660784E-3</v>
      </c>
      <c r="E70">
        <f t="shared" si="8"/>
        <v>0.28658034991450509</v>
      </c>
      <c r="K70" s="4"/>
    </row>
    <row r="71" spans="1:20" ht="15.6">
      <c r="A71">
        <v>370</v>
      </c>
      <c r="B71">
        <v>0.87</v>
      </c>
      <c r="C71">
        <f t="shared" si="6"/>
        <v>0.87740674885066339</v>
      </c>
      <c r="D71">
        <f t="shared" si="7"/>
        <v>5.4859928536803474E-5</v>
      </c>
      <c r="E71">
        <f t="shared" si="8"/>
        <v>0.31960026989716106</v>
      </c>
      <c r="K71" s="4"/>
    </row>
    <row r="72" spans="1:20" ht="15.6">
      <c r="A72">
        <v>375</v>
      </c>
      <c r="B72">
        <v>0.89</v>
      </c>
      <c r="C72">
        <f t="shared" si="6"/>
        <v>0.93928590988909066</v>
      </c>
      <c r="D72">
        <f t="shared" si="7"/>
        <v>2.4291009135955638E-3</v>
      </c>
      <c r="E72">
        <f t="shared" si="8"/>
        <v>0.34261354988559833</v>
      </c>
      <c r="K72" s="4"/>
    </row>
    <row r="73" spans="1:20" ht="15.6">
      <c r="A73">
        <v>380</v>
      </c>
      <c r="B73">
        <v>0.9</v>
      </c>
      <c r="C73">
        <f t="shared" si="6"/>
        <v>1.0055291022913462</v>
      </c>
      <c r="D73">
        <f t="shared" si="7"/>
        <v>1.11363914304174E-2</v>
      </c>
      <c r="E73">
        <f t="shared" si="8"/>
        <v>0.35442018987981699</v>
      </c>
      <c r="K73" s="4"/>
    </row>
    <row r="74" spans="1:20" ht="15.6">
      <c r="C74">
        <f>AVERAGE(C52:C73)</f>
        <v>0.30466800028906821</v>
      </c>
      <c r="D74">
        <f>SUM(D52:D73)</f>
        <v>7.7865463820958061E-2</v>
      </c>
      <c r="E74">
        <f>SUM(E52:E73)</f>
        <v>2.7945665050856556</v>
      </c>
      <c r="K74" s="4"/>
    </row>
    <row r="75" spans="1:20" ht="15.6">
      <c r="K75" s="4"/>
    </row>
    <row r="76" spans="1:20" ht="15.6">
      <c r="K76" s="4"/>
    </row>
    <row r="77" spans="1:20" ht="15.6">
      <c r="K77" s="4"/>
    </row>
    <row r="78" spans="1:20" ht="15.6">
      <c r="K78" s="4"/>
    </row>
    <row r="79" spans="1:20" ht="15.6">
      <c r="A79" t="s">
        <v>213</v>
      </c>
      <c r="K79" s="4"/>
    </row>
    <row r="80" spans="1:20" ht="15.6">
      <c r="K80" s="4"/>
    </row>
    <row r="81" spans="1:13" ht="15.6">
      <c r="K81" s="4"/>
    </row>
    <row r="82" spans="1:13" ht="15.6">
      <c r="B82" t="s">
        <v>53</v>
      </c>
      <c r="K82" s="4"/>
    </row>
    <row r="83" spans="1:13" ht="15.6">
      <c r="A83" t="s">
        <v>29</v>
      </c>
      <c r="B83" t="s">
        <v>43</v>
      </c>
      <c r="C83" t="s">
        <v>99</v>
      </c>
      <c r="D83" t="s">
        <v>100</v>
      </c>
      <c r="E83" t="s">
        <v>101</v>
      </c>
      <c r="K83" s="4"/>
    </row>
    <row r="84" spans="1:13" ht="15.6">
      <c r="A84">
        <v>0</v>
      </c>
      <c r="B84">
        <v>0</v>
      </c>
      <c r="C84">
        <f>EXP((($K$84*$K$93*A84)/($K$85))-(($K$84*$K$90)/($K$91)))</f>
        <v>4.7589732311647676E-2</v>
      </c>
      <c r="D84">
        <f>(B84-C84)^2</f>
        <v>2.264782621494283E-3</v>
      </c>
      <c r="E84">
        <f>(B84-C$102)^2</f>
        <v>0.1837986056546658</v>
      </c>
      <c r="J84" t="s">
        <v>207</v>
      </c>
      <c r="K84" s="4">
        <v>0.109853362323711</v>
      </c>
    </row>
    <row r="85" spans="1:13" ht="15.6">
      <c r="A85">
        <v>20</v>
      </c>
      <c r="B85">
        <v>0</v>
      </c>
      <c r="C85">
        <f t="shared" ref="C85:C101" si="9">EXP((($K$84*$K$93*A85)/($K$85))-(($K$84*$K$90)/($K$91)))</f>
        <v>5.7127656095739318E-2</v>
      </c>
      <c r="D85">
        <f t="shared" ref="D85:D101" si="10">(B85-C85)^2</f>
        <v>3.2635690909930616E-3</v>
      </c>
      <c r="E85">
        <f t="shared" ref="E85:E101" si="11">(B85-C$102)^2</f>
        <v>0.1837986056546658</v>
      </c>
      <c r="J85" t="s">
        <v>208</v>
      </c>
      <c r="K85" s="4">
        <v>1202.74343960279</v>
      </c>
    </row>
    <row r="86" spans="1:13" ht="15.6">
      <c r="A86">
        <v>30</v>
      </c>
      <c r="B86">
        <v>0</v>
      </c>
      <c r="C86">
        <f t="shared" si="9"/>
        <v>6.259115670246139E-2</v>
      </c>
      <c r="D86">
        <f t="shared" si="10"/>
        <v>3.917652897352077E-3</v>
      </c>
      <c r="E86">
        <f t="shared" si="11"/>
        <v>0.1837986056546658</v>
      </c>
      <c r="K86" s="4"/>
    </row>
    <row r="87" spans="1:13" ht="15.6">
      <c r="A87">
        <v>40</v>
      </c>
      <c r="B87">
        <v>0</v>
      </c>
      <c r="C87">
        <f t="shared" si="9"/>
        <v>6.8577168487125473E-2</v>
      </c>
      <c r="D87">
        <f t="shared" si="10"/>
        <v>4.7028280377115952E-3</v>
      </c>
      <c r="E87">
        <f t="shared" si="11"/>
        <v>0.1837986056546658</v>
      </c>
      <c r="J87" t="s">
        <v>104</v>
      </c>
      <c r="K87" s="4">
        <f>1-(D102/E102)</f>
        <v>0.94341107294959281</v>
      </c>
    </row>
    <row r="88" spans="1:13" ht="15.6">
      <c r="A88">
        <v>50</v>
      </c>
      <c r="B88">
        <v>0</v>
      </c>
      <c r="C88">
        <f t="shared" si="9"/>
        <v>7.5135662695408473E-2</v>
      </c>
      <c r="D88">
        <f t="shared" si="10"/>
        <v>5.6453678086781965E-3</v>
      </c>
      <c r="E88">
        <f t="shared" si="11"/>
        <v>0.1837986056546658</v>
      </c>
      <c r="K88" s="4"/>
    </row>
    <row r="89" spans="1:13" ht="15.6">
      <c r="A89">
        <v>60</v>
      </c>
      <c r="B89">
        <v>0</v>
      </c>
      <c r="C89">
        <f t="shared" si="9"/>
        <v>8.2321389658105357E-2</v>
      </c>
      <c r="D89">
        <f t="shared" si="10"/>
        <v>6.7768111952416152E-3</v>
      </c>
      <c r="E89">
        <f t="shared" si="11"/>
        <v>0.1837986056546658</v>
      </c>
      <c r="K89" s="4"/>
    </row>
    <row r="90" spans="1:13" ht="15.6">
      <c r="A90">
        <v>90</v>
      </c>
      <c r="B90">
        <v>0</v>
      </c>
      <c r="C90">
        <f t="shared" si="9"/>
        <v>0.10827106499175976</v>
      </c>
      <c r="D90">
        <f t="shared" si="10"/>
        <v>1.1722623514449866E-2</v>
      </c>
      <c r="E90">
        <f t="shared" si="11"/>
        <v>0.1837986056546658</v>
      </c>
      <c r="J90" t="s">
        <v>209</v>
      </c>
      <c r="K90" s="4">
        <v>4</v>
      </c>
    </row>
    <row r="91" spans="1:13" ht="15.6">
      <c r="A91">
        <v>150</v>
      </c>
      <c r="B91">
        <v>0.02</v>
      </c>
      <c r="C91">
        <f t="shared" si="9"/>
        <v>0.18728881413991957</v>
      </c>
      <c r="D91">
        <f t="shared" si="10"/>
        <v>2.7985547336340559E-2</v>
      </c>
      <c r="E91">
        <f t="shared" si="11"/>
        <v>0.16704990981365603</v>
      </c>
      <c r="J91" t="s">
        <v>210</v>
      </c>
      <c r="K91" s="4">
        <v>0.14430000000000001</v>
      </c>
      <c r="M91">
        <f>4/27.7</f>
        <v>0.1444043321299639</v>
      </c>
    </row>
    <row r="92" spans="1:13" ht="15.6">
      <c r="A92">
        <v>210</v>
      </c>
      <c r="B92">
        <v>0.28999999999999998</v>
      </c>
      <c r="C92">
        <f t="shared" si="9"/>
        <v>0.32397483025226514</v>
      </c>
      <c r="D92">
        <f t="shared" si="10"/>
        <v>1.1542890906702321E-3</v>
      </c>
      <c r="E92">
        <f t="shared" si="11"/>
        <v>1.9242515960024357E-2</v>
      </c>
      <c r="J92" t="s">
        <v>8</v>
      </c>
      <c r="K92" s="4">
        <v>4</v>
      </c>
    </row>
    <row r="93" spans="1:13" ht="15.6">
      <c r="A93">
        <v>235</v>
      </c>
      <c r="B93">
        <v>0.45</v>
      </c>
      <c r="C93">
        <f t="shared" si="9"/>
        <v>0.40707806420887188</v>
      </c>
      <c r="D93">
        <f t="shared" si="10"/>
        <v>1.842292572057726E-3</v>
      </c>
      <c r="E93">
        <f t="shared" si="11"/>
        <v>4.5294923194630501E-4</v>
      </c>
      <c r="J93" t="s">
        <v>12</v>
      </c>
      <c r="K93" s="4">
        <v>100</v>
      </c>
    </row>
    <row r="94" spans="1:13" ht="15.6">
      <c r="A94">
        <v>260</v>
      </c>
      <c r="B94">
        <v>0.63</v>
      </c>
      <c r="C94">
        <f t="shared" si="9"/>
        <v>0.51149822420158164</v>
      </c>
      <c r="D94">
        <f t="shared" si="10"/>
        <v>1.4042670867378612E-2</v>
      </c>
      <c r="E94">
        <f t="shared" si="11"/>
        <v>4.0514686662858505E-2</v>
      </c>
      <c r="J94" t="s">
        <v>106</v>
      </c>
      <c r="K94" s="4">
        <v>18</v>
      </c>
    </row>
    <row r="95" spans="1:13" ht="15.6">
      <c r="A95">
        <v>280</v>
      </c>
      <c r="B95">
        <v>0.74</v>
      </c>
      <c r="C95">
        <f t="shared" si="9"/>
        <v>0.61401258688352611</v>
      </c>
      <c r="D95">
        <f t="shared" si="10"/>
        <v>1.5872828263781055E-2</v>
      </c>
      <c r="E95">
        <f t="shared" si="11"/>
        <v>9.6896859537304841E-2</v>
      </c>
      <c r="J95" t="s">
        <v>107</v>
      </c>
      <c r="K95" s="4">
        <v>2</v>
      </c>
    </row>
    <row r="96" spans="1:13" ht="15.6">
      <c r="A96">
        <v>290</v>
      </c>
      <c r="B96">
        <v>0.79</v>
      </c>
      <c r="C96">
        <f t="shared" si="9"/>
        <v>0.67273472551548918</v>
      </c>
      <c r="D96">
        <f t="shared" si="10"/>
        <v>1.3751144599927672E-2</v>
      </c>
      <c r="E96">
        <f t="shared" si="11"/>
        <v>0.1305251199347805</v>
      </c>
      <c r="K96" s="4"/>
    </row>
    <row r="97" spans="1:11" ht="15.6">
      <c r="A97">
        <v>300</v>
      </c>
      <c r="B97">
        <v>0.83</v>
      </c>
      <c r="C97">
        <f t="shared" si="9"/>
        <v>0.73707285580490967</v>
      </c>
      <c r="D97">
        <f t="shared" si="10"/>
        <v>8.6354541282551035E-3</v>
      </c>
      <c r="E97">
        <f t="shared" si="11"/>
        <v>0.1610277282527609</v>
      </c>
      <c r="K97" s="4"/>
    </row>
    <row r="98" spans="1:11" ht="15.6">
      <c r="A98">
        <v>315</v>
      </c>
      <c r="B98">
        <v>0.87</v>
      </c>
      <c r="C98">
        <f t="shared" si="9"/>
        <v>0.84529884490005835</v>
      </c>
      <c r="D98">
        <f t="shared" si="10"/>
        <v>6.1014706327137296E-4</v>
      </c>
      <c r="E98">
        <f t="shared" si="11"/>
        <v>0.19473033657074143</v>
      </c>
      <c r="K98" s="4"/>
    </row>
    <row r="99" spans="1:11" ht="15.6">
      <c r="A99">
        <v>320</v>
      </c>
      <c r="B99">
        <v>0.88</v>
      </c>
      <c r="C99">
        <f t="shared" si="9"/>
        <v>0.88479683701901202</v>
      </c>
      <c r="D99">
        <f t="shared" si="10"/>
        <v>2.3009645386964048E-5</v>
      </c>
      <c r="E99">
        <f t="shared" si="11"/>
        <v>0.20365598865023657</v>
      </c>
      <c r="K99" s="4"/>
    </row>
    <row r="100" spans="1:11" ht="15.6">
      <c r="A100">
        <v>330</v>
      </c>
      <c r="B100">
        <v>0.89</v>
      </c>
      <c r="C100">
        <f t="shared" si="9"/>
        <v>0.96941588821512215</v>
      </c>
      <c r="D100">
        <f t="shared" si="10"/>
        <v>6.3068833009967745E-3</v>
      </c>
      <c r="E100">
        <f t="shared" si="11"/>
        <v>0.21278164072973169</v>
      </c>
      <c r="K100" s="4"/>
    </row>
    <row r="101" spans="1:11" ht="15.6">
      <c r="A101">
        <v>340</v>
      </c>
      <c r="B101">
        <v>0.9</v>
      </c>
      <c r="C101">
        <f t="shared" si="9"/>
        <v>1.0621276263713866</v>
      </c>
      <c r="D101">
        <f t="shared" si="10"/>
        <v>2.6285367232819917E-2</v>
      </c>
      <c r="E101">
        <f t="shared" si="11"/>
        <v>0.22210729280922684</v>
      </c>
      <c r="K101" s="4"/>
    </row>
    <row r="102" spans="1:11" ht="15.6">
      <c r="C102">
        <f>AVERAGE(C84:C101)</f>
        <v>0.42871739602524389</v>
      </c>
      <c r="D102">
        <f>SUM(D84:D101)</f>
        <v>0.15480326926680668</v>
      </c>
      <c r="E102">
        <f>SUM(E84:E101)</f>
        <v>2.7355752677359289</v>
      </c>
      <c r="K102" s="4"/>
    </row>
    <row r="103" spans="1:11" ht="15.6">
      <c r="K103" s="4"/>
    </row>
    <row r="104" spans="1:11" ht="15.6">
      <c r="K104" s="4"/>
    </row>
    <row r="105" spans="1:11" ht="15.6">
      <c r="K105" s="4"/>
    </row>
    <row r="106" spans="1:11" ht="15.6">
      <c r="K106" s="4"/>
    </row>
    <row r="107" spans="1:11" ht="15.6">
      <c r="K107" s="4"/>
    </row>
    <row r="108" spans="1:11" ht="15.6">
      <c r="B108" t="s">
        <v>55</v>
      </c>
      <c r="K108" s="4"/>
    </row>
    <row r="109" spans="1:11" ht="15.6">
      <c r="A109" t="s">
        <v>29</v>
      </c>
      <c r="B109" t="s">
        <v>43</v>
      </c>
      <c r="C109" t="s">
        <v>99</v>
      </c>
      <c r="D109" t="s">
        <v>100</v>
      </c>
      <c r="E109" t="s">
        <v>101</v>
      </c>
      <c r="K109" s="4"/>
    </row>
    <row r="110" spans="1:11" ht="15.6">
      <c r="A110">
        <v>0</v>
      </c>
      <c r="B110">
        <v>0</v>
      </c>
      <c r="C110">
        <f>EXP((($K$111*$K$119*A110)/($K$112))-(($K$111*$K$117)/($K$116)))</f>
        <v>0.22376348225401591</v>
      </c>
      <c r="D110">
        <f>(B110-C110)^2</f>
        <v>5.0070095990443292E-2</v>
      </c>
      <c r="E110">
        <f>(B110-C$119)^2</f>
        <v>0.26674234540372704</v>
      </c>
      <c r="K110" s="4"/>
    </row>
    <row r="111" spans="1:11" ht="15.6">
      <c r="A111">
        <v>10</v>
      </c>
      <c r="B111">
        <v>0</v>
      </c>
      <c r="C111">
        <f t="shared" ref="C111:C118" si="12">EXP((($K$111*$K$119*A111)/($K$112))-(($K$111*$K$117)/($K$116)))</f>
        <v>0.25544345596158097</v>
      </c>
      <c r="D111">
        <f t="shared" ref="D111:D118" si="13">(B111-C111)^2</f>
        <v>6.5251359193596162E-2</v>
      </c>
      <c r="E111">
        <f t="shared" ref="E111:E118" si="14">(B111-C$119)^2</f>
        <v>0.26674234540372704</v>
      </c>
      <c r="J111" t="s">
        <v>207</v>
      </c>
      <c r="K111" s="4">
        <v>0.162143041818258</v>
      </c>
    </row>
    <row r="112" spans="1:11" ht="15.6">
      <c r="A112">
        <v>20</v>
      </c>
      <c r="B112">
        <v>0.08</v>
      </c>
      <c r="C112">
        <f t="shared" si="12"/>
        <v>0.29160861520524117</v>
      </c>
      <c r="D112">
        <f t="shared" si="13"/>
        <v>4.4778206029079816E-2</v>
      </c>
      <c r="E112">
        <f t="shared" si="14"/>
        <v>0.19050697741679654</v>
      </c>
      <c r="J112" t="s">
        <v>208</v>
      </c>
      <c r="K112" s="4">
        <v>1224.5392794049601</v>
      </c>
    </row>
    <row r="113" spans="1:12" ht="15.6">
      <c r="A113">
        <v>30</v>
      </c>
      <c r="B113">
        <v>0.32</v>
      </c>
      <c r="C113">
        <f t="shared" si="12"/>
        <v>0.33289396333060833</v>
      </c>
      <c r="D113">
        <f t="shared" si="13"/>
        <v>1.6625429037107217E-4</v>
      </c>
      <c r="E113">
        <f t="shared" si="14"/>
        <v>3.8600873456005172E-2</v>
      </c>
      <c r="K113" s="4"/>
    </row>
    <row r="114" spans="1:12" ht="15.6">
      <c r="A114">
        <v>48</v>
      </c>
      <c r="B114">
        <v>0.62</v>
      </c>
      <c r="C114">
        <f t="shared" si="12"/>
        <v>0.42248952373717369</v>
      </c>
      <c r="D114">
        <f t="shared" si="13"/>
        <v>3.9010388233568477E-2</v>
      </c>
      <c r="E114">
        <f t="shared" si="14"/>
        <v>1.0718243505015945E-2</v>
      </c>
      <c r="J114" t="s">
        <v>104</v>
      </c>
      <c r="K114" s="4">
        <f>1-(D119/E119)</f>
        <v>0.73200352712795791</v>
      </c>
    </row>
    <row r="115" spans="1:12" ht="15.6">
      <c r="A115">
        <v>60</v>
      </c>
      <c r="B115">
        <v>0.74</v>
      </c>
      <c r="C115">
        <f t="shared" si="12"/>
        <v>0.49524788274504766</v>
      </c>
      <c r="D115">
        <f t="shared" si="13"/>
        <v>5.9903598900781931E-2</v>
      </c>
      <c r="E115">
        <f t="shared" si="14"/>
        <v>4.9965191524620249E-2</v>
      </c>
      <c r="K115" s="4"/>
    </row>
    <row r="116" spans="1:12" ht="15.6">
      <c r="A116">
        <v>85</v>
      </c>
      <c r="B116">
        <v>0.86</v>
      </c>
      <c r="C116">
        <f t="shared" si="12"/>
        <v>0.68958300669940809</v>
      </c>
      <c r="D116">
        <f t="shared" si="13"/>
        <v>2.9041951605613986E-2</v>
      </c>
      <c r="E116">
        <f t="shared" si="14"/>
        <v>0.11801213954422456</v>
      </c>
      <c r="J116" t="s">
        <v>210</v>
      </c>
      <c r="K116" s="4">
        <v>0.43319999999999997</v>
      </c>
      <c r="L116">
        <f>12/K116</f>
        <v>27.70083102493075</v>
      </c>
    </row>
    <row r="117" spans="1:12" ht="15.6">
      <c r="A117">
        <v>100</v>
      </c>
      <c r="B117">
        <v>0.89</v>
      </c>
      <c r="C117">
        <f t="shared" si="12"/>
        <v>0.84109471591168627</v>
      </c>
      <c r="D117">
        <f t="shared" si="13"/>
        <v>2.3917268117586731E-3</v>
      </c>
      <c r="E117">
        <f t="shared" si="14"/>
        <v>0.13952387654912565</v>
      </c>
      <c r="J117" t="s">
        <v>209</v>
      </c>
      <c r="K117" s="4">
        <v>4</v>
      </c>
    </row>
    <row r="118" spans="1:12" ht="15.6">
      <c r="A118">
        <v>120</v>
      </c>
      <c r="B118">
        <v>0.9</v>
      </c>
      <c r="C118">
        <f t="shared" si="12"/>
        <v>1.0961148034200767</v>
      </c>
      <c r="D118">
        <f t="shared" si="13"/>
        <v>3.846101612049533E-2</v>
      </c>
      <c r="E118">
        <f t="shared" si="14"/>
        <v>0.14709445555075934</v>
      </c>
      <c r="J118" t="s">
        <v>8</v>
      </c>
      <c r="K118" s="4">
        <v>12</v>
      </c>
    </row>
    <row r="119" spans="1:12" ht="15.6">
      <c r="C119">
        <f>AVERAGE(C110:C118)</f>
        <v>0.51647104991831538</v>
      </c>
      <c r="D119">
        <f>SUM(D110:D118)</f>
        <v>0.32907459717570875</v>
      </c>
      <c r="E119">
        <f>SUM(E110:E118)</f>
        <v>1.2279064483540014</v>
      </c>
      <c r="J119" t="s">
        <v>12</v>
      </c>
      <c r="K119" s="4">
        <v>100</v>
      </c>
    </row>
    <row r="120" spans="1:12" ht="15.6">
      <c r="J120" t="s">
        <v>106</v>
      </c>
      <c r="K120" s="4">
        <v>9</v>
      </c>
    </row>
    <row r="121" spans="1:12" ht="15.6">
      <c r="J121" t="s">
        <v>107</v>
      </c>
      <c r="K121" s="4">
        <v>2</v>
      </c>
    </row>
    <row r="122" spans="1:12" ht="15.6">
      <c r="K122" s="4"/>
    </row>
    <row r="123" spans="1:12" ht="15.6">
      <c r="K123" s="4"/>
    </row>
    <row r="124" spans="1:12" ht="15.6">
      <c r="K124" s="4"/>
    </row>
    <row r="125" spans="1:12" ht="15.6">
      <c r="K125" s="4"/>
    </row>
    <row r="126" spans="1:12" ht="15.6">
      <c r="K126" s="4"/>
    </row>
    <row r="127" spans="1:12" ht="15.6">
      <c r="A127" t="s">
        <v>214</v>
      </c>
      <c r="K127" s="4"/>
    </row>
    <row r="128" spans="1:12" ht="15.6">
      <c r="K128" s="4"/>
    </row>
    <row r="129" spans="1:11" ht="15.6">
      <c r="A129" t="s">
        <v>63</v>
      </c>
      <c r="B129" t="s">
        <v>64</v>
      </c>
      <c r="K129" s="4"/>
    </row>
    <row r="130" spans="1:11" ht="15.6">
      <c r="A130" t="s">
        <v>29</v>
      </c>
      <c r="B130" t="s">
        <v>43</v>
      </c>
      <c r="C130" t="s">
        <v>99</v>
      </c>
      <c r="D130" t="s">
        <v>100</v>
      </c>
      <c r="E130" t="s">
        <v>101</v>
      </c>
      <c r="K130" s="4"/>
    </row>
    <row r="131" spans="1:11" ht="15.6">
      <c r="A131">
        <v>0</v>
      </c>
      <c r="B131">
        <v>0</v>
      </c>
      <c r="C131">
        <f>EXP((($K$131*$K$137*A131)/($K$132))-(($K$131*$K$138)/($K$139)))</f>
        <v>8.9617797428655624E-2</v>
      </c>
      <c r="D131">
        <f>(B131-C131)^2</f>
        <v>8.0313496159635546E-3</v>
      </c>
      <c r="E131">
        <f>(B131-C$148)^2</f>
        <v>0.14040824991539511</v>
      </c>
      <c r="J131" t="s">
        <v>207</v>
      </c>
      <c r="K131" s="4">
        <v>0.174100632198775</v>
      </c>
    </row>
    <row r="132" spans="1:11" ht="15.6">
      <c r="A132">
        <v>10</v>
      </c>
      <c r="B132">
        <v>0</v>
      </c>
      <c r="C132">
        <f t="shared" ref="C132:C147" si="15">EXP((($K$131*$K$137*A132)/($K$132))-(($K$131*$K$138)/($K$139)))</f>
        <v>9.5968511196121514E-2</v>
      </c>
      <c r="D132">
        <f t="shared" ref="D132:D147" si="16">(B132-C132)^2</f>
        <v>9.2099551412001008E-3</v>
      </c>
      <c r="E132">
        <f t="shared" ref="E132:E147" si="17">(B132-C$148)^2</f>
        <v>0.14040824991539511</v>
      </c>
      <c r="J132" t="s">
        <v>208</v>
      </c>
      <c r="K132" s="4">
        <v>1271.4349546839901</v>
      </c>
    </row>
    <row r="133" spans="1:11" ht="15.6">
      <c r="A133">
        <v>22</v>
      </c>
      <c r="B133">
        <v>0</v>
      </c>
      <c r="C133">
        <f t="shared" si="15"/>
        <v>0.10418618778699668</v>
      </c>
      <c r="D133">
        <f t="shared" si="16"/>
        <v>1.0854761725587336E-2</v>
      </c>
      <c r="E133">
        <f t="shared" si="17"/>
        <v>0.14040824991539511</v>
      </c>
      <c r="K133" s="4"/>
    </row>
    <row r="134" spans="1:11" ht="15.6">
      <c r="A134">
        <v>30</v>
      </c>
      <c r="B134">
        <v>0</v>
      </c>
      <c r="C134">
        <f t="shared" si="15"/>
        <v>0.11005194959103988</v>
      </c>
      <c r="D134">
        <f t="shared" si="16"/>
        <v>1.2111431608788782E-2</v>
      </c>
      <c r="E134">
        <f t="shared" si="17"/>
        <v>0.14040824991539511</v>
      </c>
      <c r="K134" s="4"/>
    </row>
    <row r="135" spans="1:11" ht="15.6">
      <c r="A135">
        <v>41</v>
      </c>
      <c r="B135">
        <v>0</v>
      </c>
      <c r="C135">
        <f t="shared" si="15"/>
        <v>0.11866036537892899</v>
      </c>
      <c r="D135">
        <f t="shared" si="16"/>
        <v>1.4080282311860929E-2</v>
      </c>
      <c r="E135">
        <f t="shared" si="17"/>
        <v>0.14040824991539511</v>
      </c>
      <c r="J135" t="s">
        <v>104</v>
      </c>
      <c r="K135" s="4">
        <f>1-(D148/E148)</f>
        <v>0.8803522721129422</v>
      </c>
    </row>
    <row r="136" spans="1:11" ht="15.6">
      <c r="A136">
        <v>50</v>
      </c>
      <c r="B136">
        <v>0</v>
      </c>
      <c r="C136">
        <f t="shared" si="15"/>
        <v>0.12620214128400756</v>
      </c>
      <c r="D136">
        <f t="shared" si="16"/>
        <v>1.5926980464668606E-2</v>
      </c>
      <c r="E136">
        <f t="shared" si="17"/>
        <v>0.14040824991539511</v>
      </c>
      <c r="K136" s="4"/>
    </row>
    <row r="137" spans="1:11" ht="15.6">
      <c r="A137">
        <v>60</v>
      </c>
      <c r="B137">
        <v>0</v>
      </c>
      <c r="C137">
        <f t="shared" si="15"/>
        <v>0.13514538357663441</v>
      </c>
      <c r="D137">
        <f t="shared" si="16"/>
        <v>1.8264274702075648E-2</v>
      </c>
      <c r="E137">
        <f t="shared" si="17"/>
        <v>0.14040824991539511</v>
      </c>
      <c r="J137" t="s">
        <v>12</v>
      </c>
      <c r="K137" s="4">
        <v>50</v>
      </c>
    </row>
    <row r="138" spans="1:11" ht="15.6">
      <c r="A138">
        <v>80</v>
      </c>
      <c r="B138">
        <v>0.01</v>
      </c>
      <c r="C138">
        <f t="shared" si="15"/>
        <v>0.1549780522326015</v>
      </c>
      <c r="D138">
        <f t="shared" si="16"/>
        <v>2.1018635629158927E-2</v>
      </c>
      <c r="E138">
        <f t="shared" si="17"/>
        <v>0.13301403214659774</v>
      </c>
      <c r="J138" t="s">
        <v>209</v>
      </c>
      <c r="K138" s="4">
        <v>4</v>
      </c>
    </row>
    <row r="139" spans="1:11" ht="15.6">
      <c r="A139">
        <v>100</v>
      </c>
      <c r="B139">
        <v>0.05</v>
      </c>
      <c r="C139">
        <f t="shared" si="15"/>
        <v>0.17772117728454562</v>
      </c>
      <c r="D139">
        <f t="shared" si="16"/>
        <v>1.6312699126950336E-2</v>
      </c>
      <c r="E139">
        <f t="shared" si="17"/>
        <v>0.10543716107140834</v>
      </c>
      <c r="J139" t="s">
        <v>210</v>
      </c>
      <c r="K139" s="4">
        <v>0.28870000000000001</v>
      </c>
    </row>
    <row r="140" spans="1:11" ht="15.6">
      <c r="A140">
        <v>155</v>
      </c>
      <c r="B140">
        <v>0.26</v>
      </c>
      <c r="C140">
        <f t="shared" si="15"/>
        <v>0.25898754869513935</v>
      </c>
      <c r="D140">
        <f t="shared" si="16"/>
        <v>1.0250576447140573E-6</v>
      </c>
      <c r="E140">
        <f t="shared" si="17"/>
        <v>1.3158587926663813E-2</v>
      </c>
      <c r="J140" t="s">
        <v>106</v>
      </c>
      <c r="K140" s="4">
        <v>17</v>
      </c>
    </row>
    <row r="141" spans="1:11" ht="15.6">
      <c r="A141">
        <v>210</v>
      </c>
      <c r="B141">
        <v>0.54</v>
      </c>
      <c r="C141">
        <f t="shared" si="15"/>
        <v>0.37741450627307938</v>
      </c>
      <c r="D141">
        <f t="shared" si="16"/>
        <v>2.6434042770426557E-2</v>
      </c>
      <c r="E141">
        <f t="shared" si="17"/>
        <v>2.7320490400337811E-2</v>
      </c>
      <c r="J141" t="s">
        <v>107</v>
      </c>
      <c r="K141" s="4">
        <v>2</v>
      </c>
    </row>
    <row r="142" spans="1:11" ht="15.6">
      <c r="A142">
        <v>240</v>
      </c>
      <c r="B142">
        <v>0.66</v>
      </c>
      <c r="C142">
        <f t="shared" si="15"/>
        <v>0.46347046469601255</v>
      </c>
      <c r="D142">
        <f t="shared" si="16"/>
        <v>3.8623858246801264E-2</v>
      </c>
      <c r="E142">
        <f t="shared" si="17"/>
        <v>8.1389877174769532E-2</v>
      </c>
      <c r="J142" t="s">
        <v>8</v>
      </c>
      <c r="K142" s="4">
        <v>8</v>
      </c>
    </row>
    <row r="143" spans="1:11" ht="15.6">
      <c r="A143">
        <v>280</v>
      </c>
      <c r="B143">
        <v>0.79</v>
      </c>
      <c r="C143">
        <f t="shared" si="15"/>
        <v>0.60948080091602663</v>
      </c>
      <c r="D143">
        <f t="shared" si="16"/>
        <v>3.2587181237919226E-2</v>
      </c>
      <c r="E143">
        <f t="shared" si="17"/>
        <v>0.1724650461804039</v>
      </c>
      <c r="K143" s="4"/>
    </row>
    <row r="144" spans="1:11" ht="15.6">
      <c r="A144">
        <v>300</v>
      </c>
      <c r="B144">
        <v>0.83</v>
      </c>
      <c r="C144">
        <f t="shared" si="15"/>
        <v>0.69892248554365333</v>
      </c>
      <c r="D144">
        <f t="shared" si="16"/>
        <v>1.7181314796053761E-2</v>
      </c>
      <c r="E144">
        <f t="shared" si="17"/>
        <v>0.20728817510521438</v>
      </c>
      <c r="K144" s="4"/>
    </row>
    <row r="145" spans="1:11" ht="15.6">
      <c r="A145">
        <v>320</v>
      </c>
      <c r="B145">
        <v>0.86</v>
      </c>
      <c r="C145">
        <f t="shared" si="15"/>
        <v>0.80148979272904475</v>
      </c>
      <c r="D145">
        <f t="shared" si="16"/>
        <v>3.4234443548901432E-3</v>
      </c>
      <c r="E145">
        <f t="shared" si="17"/>
        <v>0.23550552179882234</v>
      </c>
      <c r="K145" s="4"/>
    </row>
    <row r="146" spans="1:11" ht="15.6">
      <c r="A146">
        <v>340</v>
      </c>
      <c r="B146">
        <v>0.88</v>
      </c>
      <c r="C146">
        <f t="shared" si="15"/>
        <v>0.9191089157035357</v>
      </c>
      <c r="D146">
        <f t="shared" si="16"/>
        <v>1.529507287506261E-3</v>
      </c>
      <c r="E146">
        <f t="shared" si="17"/>
        <v>0.25531708626122762</v>
      </c>
      <c r="K146" s="4"/>
    </row>
    <row r="147" spans="1:11" ht="15.6">
      <c r="A147">
        <v>370</v>
      </c>
      <c r="B147">
        <v>0.9</v>
      </c>
      <c r="C147">
        <f t="shared" si="15"/>
        <v>1.1286790231617299</v>
      </c>
      <c r="D147">
        <f t="shared" si="16"/>
        <v>5.2294095634202967E-2</v>
      </c>
      <c r="E147">
        <f t="shared" si="17"/>
        <v>0.27592865072363293</v>
      </c>
      <c r="K147" s="4"/>
    </row>
    <row r="148" spans="1:11" ht="15.6">
      <c r="C148">
        <f>AVERAGE(C131:C147)</f>
        <v>0.37471088843986788</v>
      </c>
      <c r="D148">
        <f>SUM(D131:D147)</f>
        <v>0.2978848397116991</v>
      </c>
      <c r="E148">
        <f>SUM(E131:E147)</f>
        <v>2.4896823781968447</v>
      </c>
      <c r="K148" s="4"/>
    </row>
    <row r="149" spans="1:11" ht="15.6">
      <c r="K149" s="4"/>
    </row>
    <row r="150" spans="1:11" ht="15.6">
      <c r="K150" s="4"/>
    </row>
    <row r="151" spans="1:11" ht="15.6">
      <c r="K151" s="4"/>
    </row>
    <row r="152" spans="1:11" ht="15.6">
      <c r="K152" s="4"/>
    </row>
    <row r="153" spans="1:11" ht="15.6">
      <c r="K153" s="4"/>
    </row>
    <row r="154" spans="1:11" ht="15.6">
      <c r="B154" t="s">
        <v>66</v>
      </c>
      <c r="K154" s="4"/>
    </row>
    <row r="155" spans="1:11" ht="15.6">
      <c r="A155" t="s">
        <v>29</v>
      </c>
      <c r="B155" t="s">
        <v>43</v>
      </c>
      <c r="C155" t="s">
        <v>99</v>
      </c>
      <c r="D155" t="s">
        <v>100</v>
      </c>
      <c r="E155" t="s">
        <v>101</v>
      </c>
      <c r="K155" s="4"/>
    </row>
    <row r="156" spans="1:11" ht="15.6">
      <c r="A156">
        <v>0</v>
      </c>
      <c r="B156">
        <v>0</v>
      </c>
      <c r="C156">
        <f>EXP((($K$156*$K$161*A156)/($K$157))-(($K$156*$K$160)/($K$162)))</f>
        <v>0.19797660753143781</v>
      </c>
      <c r="D156">
        <f>(B156-C156)^2</f>
        <v>3.9194737129656959E-2</v>
      </c>
      <c r="E156">
        <f>(B156-C$166)^2</f>
        <v>0.27074151604349805</v>
      </c>
      <c r="J156" t="s">
        <v>207</v>
      </c>
      <c r="K156" s="4">
        <v>0.116895091851271</v>
      </c>
    </row>
    <row r="157" spans="1:11" ht="15.6">
      <c r="A157">
        <v>10</v>
      </c>
      <c r="B157">
        <v>0</v>
      </c>
      <c r="C157">
        <f t="shared" ref="C157:C165" si="18">EXP((($K$156*$K$161*A157)/($K$157))-(($K$156*$K$160)/($K$162)))</f>
        <v>0.23830806492449555</v>
      </c>
      <c r="D157">
        <f t="shared" ref="D157:D165" si="19">(B157-C157)^2</f>
        <v>5.6790733808057589E-2</v>
      </c>
      <c r="E157">
        <f t="shared" ref="E157:E165" si="20">(B157-C$166)^2</f>
        <v>0.27074151604349805</v>
      </c>
      <c r="J157" t="s">
        <v>208</v>
      </c>
      <c r="K157" s="4">
        <v>945.67488855917895</v>
      </c>
    </row>
    <row r="158" spans="1:11" ht="15.6">
      <c r="A158">
        <v>15</v>
      </c>
      <c r="B158">
        <v>0.01</v>
      </c>
      <c r="C158">
        <f t="shared" si="18"/>
        <v>0.26145754034314922</v>
      </c>
      <c r="D158">
        <f t="shared" si="19"/>
        <v>6.3230894595426509E-2</v>
      </c>
      <c r="E158">
        <f t="shared" si="20"/>
        <v>0.26043495049969834</v>
      </c>
      <c r="K158" s="4"/>
    </row>
    <row r="159" spans="1:11" ht="15.6">
      <c r="A159">
        <v>25</v>
      </c>
      <c r="B159">
        <v>0.2</v>
      </c>
      <c r="C159">
        <f t="shared" si="18"/>
        <v>0.31472122528011282</v>
      </c>
      <c r="D159">
        <f t="shared" si="19"/>
        <v>1.3160959529770392E-2</v>
      </c>
      <c r="E159">
        <f t="shared" si="20"/>
        <v>0.10261020516750398</v>
      </c>
      <c r="J159" t="s">
        <v>104</v>
      </c>
      <c r="K159" s="4">
        <f>1-(D166/E166)</f>
        <v>0.74941532552538759</v>
      </c>
    </row>
    <row r="160" spans="1:11" ht="15.6">
      <c r="A160">
        <v>40</v>
      </c>
      <c r="B160">
        <v>0.48</v>
      </c>
      <c r="C160">
        <f t="shared" si="18"/>
        <v>0.41563616268378462</v>
      </c>
      <c r="D160">
        <f t="shared" si="19"/>
        <v>4.1427035540682377E-3</v>
      </c>
      <c r="E160">
        <f t="shared" si="20"/>
        <v>1.626369941112282E-3</v>
      </c>
      <c r="J160" t="s">
        <v>209</v>
      </c>
      <c r="K160" s="4">
        <v>4</v>
      </c>
    </row>
    <row r="161" spans="1:18" ht="15.6">
      <c r="A161">
        <v>50</v>
      </c>
      <c r="B161">
        <v>0.69</v>
      </c>
      <c r="C161">
        <f t="shared" si="18"/>
        <v>0.50030885404522818</v>
      </c>
      <c r="D161">
        <f t="shared" si="19"/>
        <v>3.5982730853634529E-2</v>
      </c>
      <c r="E161">
        <f t="shared" si="20"/>
        <v>2.878849352131848E-2</v>
      </c>
      <c r="J161" t="s">
        <v>12</v>
      </c>
      <c r="K161" s="4">
        <v>150</v>
      </c>
    </row>
    <row r="162" spans="1:18" ht="15.6">
      <c r="A162">
        <v>60</v>
      </c>
      <c r="B162">
        <v>0.83</v>
      </c>
      <c r="C162">
        <f t="shared" si="18"/>
        <v>0.60223092191928485</v>
      </c>
      <c r="D162">
        <f t="shared" si="19"/>
        <v>5.1878752929738897E-2</v>
      </c>
      <c r="E162">
        <f t="shared" si="20"/>
        <v>9.5896575908122617E-2</v>
      </c>
      <c r="J162" t="s">
        <v>210</v>
      </c>
      <c r="K162" s="4">
        <v>0.28870000000000001</v>
      </c>
    </row>
    <row r="163" spans="1:18" ht="15.6">
      <c r="A163">
        <v>70</v>
      </c>
      <c r="B163">
        <v>0.88</v>
      </c>
      <c r="C163">
        <f t="shared" si="18"/>
        <v>0.72491637991872337</v>
      </c>
      <c r="D163">
        <f t="shared" si="19"/>
        <v>2.4050929217513749E-2</v>
      </c>
      <c r="E163">
        <f t="shared" si="20"/>
        <v>0.12936374818912413</v>
      </c>
      <c r="J163" t="s">
        <v>106</v>
      </c>
      <c r="K163" s="4">
        <v>10</v>
      </c>
    </row>
    <row r="164" spans="1:18" ht="15.6">
      <c r="A164">
        <v>75</v>
      </c>
      <c r="B164">
        <v>0.89</v>
      </c>
      <c r="C164">
        <f t="shared" si="18"/>
        <v>0.79533545668318295</v>
      </c>
      <c r="D164">
        <f t="shared" si="19"/>
        <v>8.9613757613815348E-3</v>
      </c>
      <c r="E164">
        <f t="shared" si="20"/>
        <v>0.13665718264532442</v>
      </c>
      <c r="J164" t="s">
        <v>107</v>
      </c>
      <c r="K164" s="4">
        <v>2</v>
      </c>
    </row>
    <row r="165" spans="1:18" ht="15.6">
      <c r="A165">
        <v>95</v>
      </c>
      <c r="B165">
        <v>0.9</v>
      </c>
      <c r="C165">
        <f t="shared" si="18"/>
        <v>1.1523915585704525</v>
      </c>
      <c r="D165">
        <f t="shared" si="19"/>
        <v>6.3701498837622147E-2</v>
      </c>
      <c r="E165">
        <f t="shared" si="20"/>
        <v>0.14415061710152474</v>
      </c>
      <c r="K165" s="4"/>
    </row>
    <row r="166" spans="1:18" ht="15.6">
      <c r="C166">
        <f>AVERAGE(C156:C165)</f>
        <v>0.5203282771899852</v>
      </c>
      <c r="D166">
        <f>SUM(D156:D165)</f>
        <v>0.36109531621687058</v>
      </c>
      <c r="E166">
        <f>SUM(E156:E165)</f>
        <v>1.4410111750607253</v>
      </c>
      <c r="K166" s="4"/>
    </row>
    <row r="167" spans="1:18" ht="15.6">
      <c r="K167" s="4"/>
    </row>
    <row r="168" spans="1:18" ht="15.6">
      <c r="K168" s="4"/>
    </row>
    <row r="169" spans="1:18" ht="15.6">
      <c r="K169" s="4"/>
    </row>
    <row r="170" spans="1:18" ht="15.6">
      <c r="K170" s="4"/>
    </row>
    <row r="171" spans="1:18" ht="15.6">
      <c r="A171" t="s">
        <v>215</v>
      </c>
      <c r="K171" s="4"/>
    </row>
    <row r="172" spans="1:18" ht="15.6">
      <c r="K172" s="4"/>
      <c r="Q172" t="s">
        <v>210</v>
      </c>
      <c r="R172" t="s">
        <v>207</v>
      </c>
    </row>
    <row r="173" spans="1:18" ht="16.8">
      <c r="A173" s="2" t="s">
        <v>136</v>
      </c>
      <c r="B173" t="s">
        <v>111</v>
      </c>
      <c r="K173" s="4"/>
    </row>
    <row r="174" spans="1:18" ht="15.6">
      <c r="A174" t="s">
        <v>29</v>
      </c>
      <c r="B174" t="s">
        <v>43</v>
      </c>
      <c r="C174" t="s">
        <v>99</v>
      </c>
      <c r="D174" t="s">
        <v>100</v>
      </c>
      <c r="E174" t="s">
        <v>101</v>
      </c>
      <c r="K174" s="4"/>
    </row>
    <row r="175" spans="1:18" ht="15.6">
      <c r="A175">
        <v>0</v>
      </c>
      <c r="B175">
        <v>0</v>
      </c>
      <c r="C175">
        <f>EXP((($K$175*$K$182*A175)/($K$176))-(($K$175*$K$181)/($K$180)))</f>
        <v>6.9721463811415932E-2</v>
      </c>
      <c r="D175">
        <f>(B175-C175)^2</f>
        <v>4.8610825160065813E-3</v>
      </c>
      <c r="E175">
        <f>(B175-C$189)^2</f>
        <v>0.20096465270883962</v>
      </c>
      <c r="J175" t="s">
        <v>207</v>
      </c>
      <c r="K175" s="4">
        <v>0.28842965692038403</v>
      </c>
    </row>
    <row r="176" spans="1:18" ht="15.6">
      <c r="A176">
        <v>20</v>
      </c>
      <c r="B176">
        <v>0</v>
      </c>
      <c r="C176">
        <f t="shared" ref="C176:C188" si="21">EXP((($K$175*$K$182*A176)/($K$176))-(($K$175*$K$181)/($K$180)))</f>
        <v>0.10035545836093626</v>
      </c>
      <c r="D176">
        <f t="shared" ref="D176:D188" si="22">(B176-C176)^2</f>
        <v>1.0071218022833612E-2</v>
      </c>
      <c r="E176">
        <f t="shared" ref="E176:E188" si="23">(B176-C$189)^2</f>
        <v>0.20096465270883962</v>
      </c>
      <c r="J176" t="s">
        <v>208</v>
      </c>
      <c r="K176" s="4">
        <v>1583.8634752084199</v>
      </c>
    </row>
    <row r="177" spans="1:11" ht="15.6">
      <c r="A177">
        <v>30</v>
      </c>
      <c r="B177">
        <v>0</v>
      </c>
      <c r="C177">
        <f t="shared" si="21"/>
        <v>0.12040048877885473</v>
      </c>
      <c r="D177">
        <f t="shared" si="22"/>
        <v>1.4496277698187125E-2</v>
      </c>
      <c r="E177">
        <f t="shared" si="23"/>
        <v>0.20096465270883962</v>
      </c>
      <c r="K177" s="4"/>
    </row>
    <row r="178" spans="1:11" ht="15.6">
      <c r="A178">
        <v>40</v>
      </c>
      <c r="B178">
        <v>0</v>
      </c>
      <c r="C178">
        <f t="shared" si="21"/>
        <v>0.14444931979733605</v>
      </c>
      <c r="D178">
        <f t="shared" si="22"/>
        <v>2.086560598991306E-2</v>
      </c>
      <c r="E178">
        <f t="shared" si="23"/>
        <v>0.20096465270883962</v>
      </c>
      <c r="J178" t="s">
        <v>104</v>
      </c>
      <c r="K178" s="4">
        <f>1-(D189/E189)</f>
        <v>0.90660162005943412</v>
      </c>
    </row>
    <row r="179" spans="1:11" ht="15.6">
      <c r="A179">
        <v>50</v>
      </c>
      <c r="B179">
        <v>0.01</v>
      </c>
      <c r="C179">
        <f t="shared" si="21"/>
        <v>0.17330167179169764</v>
      </c>
      <c r="D179">
        <f t="shared" si="22"/>
        <v>2.6667436009963335E-2</v>
      </c>
      <c r="E179">
        <f t="shared" si="23"/>
        <v>0.19209883645578513</v>
      </c>
      <c r="K179" s="4"/>
    </row>
    <row r="180" spans="1:11" ht="15.6">
      <c r="A180">
        <v>60</v>
      </c>
      <c r="B180">
        <v>0.11</v>
      </c>
      <c r="C180">
        <f t="shared" si="21"/>
        <v>0.20791700153337223</v>
      </c>
      <c r="D180">
        <f t="shared" si="22"/>
        <v>9.5877391892864195E-3</v>
      </c>
      <c r="E180">
        <f t="shared" si="23"/>
        <v>0.11444067392524036</v>
      </c>
      <c r="J180" t="s">
        <v>210</v>
      </c>
      <c r="K180" s="4">
        <v>0.43319999999999997</v>
      </c>
    </row>
    <row r="181" spans="1:11" ht="15.6">
      <c r="A181">
        <v>80</v>
      </c>
      <c r="B181">
        <v>0.32</v>
      </c>
      <c r="C181">
        <f t="shared" si="21"/>
        <v>0.29927091098303354</v>
      </c>
      <c r="D181">
        <f t="shared" si="22"/>
        <v>4.296951314733196E-4</v>
      </c>
      <c r="E181">
        <f t="shared" si="23"/>
        <v>1.6458532611096303E-2</v>
      </c>
      <c r="J181" t="s">
        <v>209</v>
      </c>
      <c r="K181" s="4">
        <v>4</v>
      </c>
    </row>
    <row r="182" spans="1:11" ht="15.6">
      <c r="A182">
        <v>96</v>
      </c>
      <c r="B182">
        <v>0.52</v>
      </c>
      <c r="C182">
        <f t="shared" si="21"/>
        <v>0.40050146353085581</v>
      </c>
      <c r="D182">
        <f t="shared" si="22"/>
        <v>1.4279900218267388E-2</v>
      </c>
      <c r="E182">
        <f t="shared" si="23"/>
        <v>5.1422075500067435E-3</v>
      </c>
      <c r="J182" t="s">
        <v>12</v>
      </c>
      <c r="K182" s="4">
        <v>100</v>
      </c>
    </row>
    <row r="183" spans="1:11" ht="15.6">
      <c r="A183">
        <v>105</v>
      </c>
      <c r="B183">
        <v>0.62</v>
      </c>
      <c r="C183">
        <f t="shared" si="21"/>
        <v>0.47182683048765589</v>
      </c>
      <c r="D183">
        <f t="shared" si="22"/>
        <v>2.195528816333386E-2</v>
      </c>
      <c r="E183">
        <f t="shared" si="23"/>
        <v>2.9484045019461957E-2</v>
      </c>
      <c r="J183" t="s">
        <v>106</v>
      </c>
      <c r="K183" s="4">
        <v>14</v>
      </c>
    </row>
    <row r="184" spans="1:11" ht="15.6">
      <c r="A184">
        <v>122</v>
      </c>
      <c r="B184">
        <v>0.81</v>
      </c>
      <c r="C184">
        <f t="shared" si="21"/>
        <v>0.64302959334872956</v>
      </c>
      <c r="D184">
        <f t="shared" si="22"/>
        <v>2.7879116697290634E-2</v>
      </c>
      <c r="E184">
        <f t="shared" si="23"/>
        <v>0.1308335362114269</v>
      </c>
      <c r="J184" t="s">
        <v>107</v>
      </c>
      <c r="K184" s="4">
        <v>2</v>
      </c>
    </row>
    <row r="185" spans="1:11" ht="15.6">
      <c r="A185">
        <v>132</v>
      </c>
      <c r="B185">
        <v>0.86</v>
      </c>
      <c r="C185">
        <f t="shared" si="21"/>
        <v>0.77146852401395316</v>
      </c>
      <c r="D185">
        <f t="shared" si="22"/>
        <v>7.8378222402679856E-3</v>
      </c>
      <c r="E185">
        <f t="shared" si="23"/>
        <v>0.16950445494615446</v>
      </c>
      <c r="J185" t="s">
        <v>8</v>
      </c>
      <c r="K185" s="4">
        <v>12</v>
      </c>
    </row>
    <row r="186" spans="1:11" ht="15.6">
      <c r="A186">
        <v>138</v>
      </c>
      <c r="B186">
        <v>0.88</v>
      </c>
      <c r="C186">
        <f t="shared" si="21"/>
        <v>0.86053900923373583</v>
      </c>
      <c r="D186">
        <f t="shared" si="22"/>
        <v>3.7873016160461947E-4</v>
      </c>
      <c r="E186">
        <f t="shared" si="23"/>
        <v>0.18637282244004552</v>
      </c>
      <c r="K186" s="4"/>
    </row>
    <row r="187" spans="1:11" ht="15.6">
      <c r="A187">
        <v>143</v>
      </c>
      <c r="B187">
        <v>0.89</v>
      </c>
      <c r="C187">
        <f t="shared" si="21"/>
        <v>0.94257124746213616</v>
      </c>
      <c r="D187">
        <f t="shared" si="22"/>
        <v>2.7637360597251568E-3</v>
      </c>
      <c r="E187">
        <f t="shared" si="23"/>
        <v>0.19510700618699106</v>
      </c>
      <c r="K187" s="4"/>
    </row>
    <row r="188" spans="1:11" ht="15.6">
      <c r="A188">
        <v>150</v>
      </c>
      <c r="B188">
        <v>0.9</v>
      </c>
      <c r="C188">
        <f t="shared" si="21"/>
        <v>1.0707183940044216</v>
      </c>
      <c r="D188">
        <f t="shared" si="22"/>
        <v>2.9144770051448922E-2</v>
      </c>
      <c r="E188">
        <f t="shared" si="23"/>
        <v>0.20404118993393658</v>
      </c>
      <c r="K188" s="4"/>
    </row>
    <row r="189" spans="1:11" ht="15.6">
      <c r="C189">
        <f>AVERAGE(C175:C188)</f>
        <v>0.44829081265272391</v>
      </c>
      <c r="D189">
        <f>SUM(D175:D188)</f>
        <v>0.19121841814960203</v>
      </c>
      <c r="E189">
        <f>SUM(E175:E188)</f>
        <v>2.0473419161155033</v>
      </c>
      <c r="K189" s="4"/>
    </row>
    <row r="190" spans="1:11" ht="15.6">
      <c r="K190" s="4"/>
    </row>
    <row r="191" spans="1:11" ht="15.6">
      <c r="K191" s="4"/>
    </row>
    <row r="192" spans="1:11" ht="15.6">
      <c r="K192" s="4"/>
    </row>
    <row r="193" spans="1:11" ht="15.6">
      <c r="K193" s="4"/>
    </row>
    <row r="194" spans="1:11" ht="15.6">
      <c r="B194" s="24" t="s">
        <v>175</v>
      </c>
      <c r="K194" s="4"/>
    </row>
    <row r="195" spans="1:11" ht="15.6">
      <c r="A195" t="s">
        <v>29</v>
      </c>
      <c r="B195" t="s">
        <v>43</v>
      </c>
      <c r="C195" t="s">
        <v>99</v>
      </c>
      <c r="D195" t="s">
        <v>100</v>
      </c>
      <c r="E195" t="s">
        <v>101</v>
      </c>
      <c r="K195" s="4"/>
    </row>
    <row r="196" spans="1:11" ht="15.6">
      <c r="A196">
        <v>0</v>
      </c>
      <c r="B196">
        <v>0</v>
      </c>
      <c r="C196">
        <f>EXP((($K$196*$K$206*A196)/($K$197))-(($K$196*$K$202)/($K$204)))</f>
        <v>2.1233265674726019E-2</v>
      </c>
      <c r="D196">
        <f>(B196-C196)^2</f>
        <v>4.5085157121349821E-4</v>
      </c>
      <c r="E196">
        <f>(B196-C$211)^2</f>
        <v>0.10329179902417368</v>
      </c>
      <c r="J196" t="s">
        <v>207</v>
      </c>
      <c r="K196" s="4">
        <v>0.41719176454062301</v>
      </c>
    </row>
    <row r="197" spans="1:11" ht="15.6">
      <c r="A197">
        <v>20</v>
      </c>
      <c r="B197">
        <v>0</v>
      </c>
      <c r="C197">
        <f t="shared" ref="C197:C210" si="24">EXP((($K$196*$K$206*A197)/($K$197))-(($K$196*$K$202)/($K$204)))</f>
        <v>3.1878492215471253E-2</v>
      </c>
      <c r="D197">
        <f t="shared" ref="D197:D210" si="25">(B197-C197)^2</f>
        <v>1.0162382659318612E-3</v>
      </c>
      <c r="E197">
        <f t="shared" ref="E197:E210" si="26">(B197-C$211)^2</f>
        <v>0.10329179902417368</v>
      </c>
      <c r="J197" t="s">
        <v>208</v>
      </c>
      <c r="K197" s="4">
        <v>2053.2986958235101</v>
      </c>
    </row>
    <row r="198" spans="1:11" ht="15.6">
      <c r="A198">
        <v>40</v>
      </c>
      <c r="B198">
        <v>0</v>
      </c>
      <c r="C198">
        <f t="shared" si="24"/>
        <v>4.7860667383891477E-2</v>
      </c>
      <c r="D198">
        <f t="shared" si="25"/>
        <v>2.2906434824314934E-3</v>
      </c>
      <c r="E198">
        <f t="shared" si="26"/>
        <v>0.10329179902417368</v>
      </c>
      <c r="K198" s="4"/>
    </row>
    <row r="199" spans="1:11" ht="15.6">
      <c r="A199">
        <v>50</v>
      </c>
      <c r="B199">
        <v>0</v>
      </c>
      <c r="C199">
        <f t="shared" si="24"/>
        <v>5.8643413191313706E-2</v>
      </c>
      <c r="D199">
        <f t="shared" si="25"/>
        <v>3.4390499107271465E-3</v>
      </c>
      <c r="E199">
        <f t="shared" si="26"/>
        <v>0.10329179902417368</v>
      </c>
      <c r="J199" t="s">
        <v>104</v>
      </c>
      <c r="K199" s="4">
        <f>1-(D211/E211)</f>
        <v>0.96062778053270925</v>
      </c>
    </row>
    <row r="200" spans="1:11" ht="15.6">
      <c r="A200">
        <v>60</v>
      </c>
      <c r="B200">
        <v>0</v>
      </c>
      <c r="C200">
        <f t="shared" si="24"/>
        <v>7.1855452477134388E-2</v>
      </c>
      <c r="D200">
        <f t="shared" si="25"/>
        <v>5.1632060506937184E-3</v>
      </c>
      <c r="E200">
        <f t="shared" si="26"/>
        <v>0.10329179902417368</v>
      </c>
      <c r="K200" s="4"/>
    </row>
    <row r="201" spans="1:11" ht="15.6">
      <c r="A201">
        <v>70</v>
      </c>
      <c r="B201">
        <v>0</v>
      </c>
      <c r="C201">
        <f t="shared" si="24"/>
        <v>8.8044091735412319E-2</v>
      </c>
      <c r="D201">
        <f t="shared" si="25"/>
        <v>7.7517620895137E-3</v>
      </c>
      <c r="E201">
        <f t="shared" si="26"/>
        <v>0.10329179902417368</v>
      </c>
      <c r="J201" t="s">
        <v>8</v>
      </c>
      <c r="K201" s="4">
        <v>12</v>
      </c>
    </row>
    <row r="202" spans="1:11" ht="15.6">
      <c r="A202">
        <v>80</v>
      </c>
      <c r="B202">
        <v>0.01</v>
      </c>
      <c r="C202">
        <f t="shared" si="24"/>
        <v>0.10787994261090271</v>
      </c>
      <c r="D202">
        <f t="shared" si="25"/>
        <v>9.5804831655136088E-3</v>
      </c>
      <c r="E202">
        <f t="shared" si="26"/>
        <v>9.6963990718874779E-2</v>
      </c>
      <c r="J202" t="s">
        <v>209</v>
      </c>
      <c r="K202" s="4">
        <v>4</v>
      </c>
    </row>
    <row r="203" spans="1:11" ht="15.6">
      <c r="A203">
        <v>100</v>
      </c>
      <c r="B203">
        <v>0.09</v>
      </c>
      <c r="C203">
        <f t="shared" si="24"/>
        <v>0.16196519006591875</v>
      </c>
      <c r="D203">
        <f t="shared" si="25"/>
        <v>5.1789885812238111E-3</v>
      </c>
      <c r="E203">
        <f t="shared" si="26"/>
        <v>5.3541524276483614E-2</v>
      </c>
      <c r="J203" t="s">
        <v>106</v>
      </c>
      <c r="K203" s="4"/>
    </row>
    <row r="204" spans="1:11" ht="15.6">
      <c r="A204">
        <v>115</v>
      </c>
      <c r="B204">
        <v>0.21</v>
      </c>
      <c r="C204">
        <f t="shared" si="24"/>
        <v>0.2196759021862803</v>
      </c>
      <c r="D204">
        <f t="shared" si="25"/>
        <v>9.3623083118464092E-5</v>
      </c>
      <c r="E204">
        <f t="shared" si="26"/>
        <v>1.2407824612896856E-2</v>
      </c>
      <c r="J204" t="s">
        <v>210</v>
      </c>
      <c r="K204" s="4">
        <v>0.43319999999999997</v>
      </c>
    </row>
    <row r="205" spans="1:11" ht="15.6">
      <c r="A205">
        <v>130</v>
      </c>
      <c r="B205">
        <v>0.36</v>
      </c>
      <c r="C205">
        <f t="shared" si="24"/>
        <v>0.29794983713300194</v>
      </c>
      <c r="D205">
        <f t="shared" si="25"/>
        <v>3.8502227118209836E-3</v>
      </c>
      <c r="E205">
        <f t="shared" si="26"/>
        <v>1.4907000334134042E-3</v>
      </c>
      <c r="J205" t="s">
        <v>107</v>
      </c>
      <c r="K205" s="4">
        <v>2</v>
      </c>
    </row>
    <row r="206" spans="1:11" ht="15.6">
      <c r="A206">
        <v>140</v>
      </c>
      <c r="B206">
        <v>0.46</v>
      </c>
      <c r="C206">
        <f t="shared" si="24"/>
        <v>0.36507630094510785</v>
      </c>
      <c r="D206">
        <f t="shared" si="25"/>
        <v>9.0105086422637374E-3</v>
      </c>
      <c r="E206">
        <f t="shared" si="26"/>
        <v>1.9212616980424445E-2</v>
      </c>
      <c r="J206" t="s">
        <v>12</v>
      </c>
      <c r="K206" s="4">
        <v>100</v>
      </c>
    </row>
    <row r="207" spans="1:11" ht="15.6">
      <c r="A207">
        <v>165</v>
      </c>
      <c r="B207">
        <v>0.72</v>
      </c>
      <c r="C207">
        <f t="shared" si="24"/>
        <v>0.60671518443904604</v>
      </c>
      <c r="D207">
        <f t="shared" si="25"/>
        <v>1.2833449436679351E-2</v>
      </c>
      <c r="E207">
        <f t="shared" si="26"/>
        <v>0.15888960104265309</v>
      </c>
      <c r="K207" s="4"/>
    </row>
    <row r="208" spans="1:11">
      <c r="A208">
        <v>180</v>
      </c>
      <c r="B208">
        <v>0.88</v>
      </c>
      <c r="C208">
        <f t="shared" si="24"/>
        <v>0.82289722536996091</v>
      </c>
      <c r="D208">
        <f t="shared" si="25"/>
        <v>3.2607268704490369E-3</v>
      </c>
      <c r="E208">
        <f t="shared" si="26"/>
        <v>0.3120446681578708</v>
      </c>
    </row>
    <row r="209" spans="1:5">
      <c r="A209">
        <v>185</v>
      </c>
      <c r="B209">
        <v>0.89</v>
      </c>
      <c r="C209">
        <f t="shared" si="24"/>
        <v>0.91088980755184301</v>
      </c>
      <c r="D209">
        <f t="shared" si="25"/>
        <v>4.3638405955303677E-4</v>
      </c>
      <c r="E209">
        <f t="shared" si="26"/>
        <v>0.32331685985257191</v>
      </c>
    </row>
    <row r="210" spans="1:5">
      <c r="A210">
        <v>190</v>
      </c>
      <c r="B210">
        <v>0.9</v>
      </c>
      <c r="C210">
        <f t="shared" si="24"/>
        <v>1.0082914559941616</v>
      </c>
      <c r="D210">
        <f t="shared" si="25"/>
        <v>1.1727039441335432E-2</v>
      </c>
      <c r="E210">
        <f t="shared" si="26"/>
        <v>0.33478905154727301</v>
      </c>
    </row>
    <row r="211" spans="1:5">
      <c r="C211">
        <f>AVERAGE(C196:C210)</f>
        <v>0.32139041526494483</v>
      </c>
      <c r="D211">
        <f>SUM(D196:D210)</f>
        <v>7.608317736246889E-2</v>
      </c>
      <c r="E211">
        <f>SUM(E196:E210)</f>
        <v>1.932407631367504</v>
      </c>
    </row>
  </sheetData>
  <hyperlinks>
    <hyperlink ref="J30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8"/>
  <sheetViews>
    <sheetView topLeftCell="A301" zoomScale="85" zoomScaleNormal="85" workbookViewId="0">
      <selection activeCell="I326" sqref="I326"/>
    </sheetView>
  </sheetViews>
  <sheetFormatPr defaultColWidth="9" defaultRowHeight="14.4"/>
  <cols>
    <col min="3" max="3" width="11" customWidth="1"/>
  </cols>
  <sheetData>
    <row r="1" spans="1:11">
      <c r="A1" t="s">
        <v>216</v>
      </c>
    </row>
    <row r="2" spans="1:11">
      <c r="A2" s="13" t="s">
        <v>217</v>
      </c>
    </row>
    <row r="3" spans="1:11">
      <c r="A3" t="s">
        <v>218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120</v>
      </c>
    </row>
    <row r="6" spans="1:11">
      <c r="A6">
        <v>0</v>
      </c>
      <c r="B6">
        <v>0</v>
      </c>
      <c r="C6">
        <f>EXP((($K$6*$K$13*A6)/($K$7))-(($K$6*$K$11)/($K$12)))</f>
        <v>0.11616622246778356</v>
      </c>
      <c r="D6">
        <f>(B6-C6)^2</f>
        <v>1.3494591242434583E-2</v>
      </c>
      <c r="J6" s="6" t="s">
        <v>207</v>
      </c>
      <c r="K6" s="6">
        <v>0.155373515914209</v>
      </c>
    </row>
    <row r="7" spans="1:11">
      <c r="A7">
        <v>10</v>
      </c>
      <c r="B7">
        <v>0</v>
      </c>
      <c r="C7">
        <f t="shared" ref="C7:C19" si="0">EXP((($K$6*$K$13*A7)/($K$7))-(($K$6*$K$11)/($K$12)))</f>
        <v>0.12977310220207097</v>
      </c>
      <c r="D7">
        <f t="shared" ref="D7:D19" si="1">(B7-C7)^2</f>
        <v>1.6841058055149159E-2</v>
      </c>
      <c r="J7" s="6" t="s">
        <v>208</v>
      </c>
      <c r="K7" s="6">
        <v>1402.7255769404201</v>
      </c>
    </row>
    <row r="8" spans="1:11">
      <c r="A8">
        <v>15</v>
      </c>
      <c r="B8">
        <v>0</v>
      </c>
      <c r="C8">
        <f t="shared" si="0"/>
        <v>0.13716303817177061</v>
      </c>
      <c r="D8">
        <f t="shared" si="1"/>
        <v>1.8813699040510602E-2</v>
      </c>
    </row>
    <row r="9" spans="1:11">
      <c r="A9">
        <v>20</v>
      </c>
      <c r="B9">
        <v>0</v>
      </c>
      <c r="C9">
        <f t="shared" si="0"/>
        <v>0.14497379442479236</v>
      </c>
      <c r="D9">
        <f t="shared" si="1"/>
        <v>2.1017401069921955E-2</v>
      </c>
      <c r="F9" s="6" t="s">
        <v>100</v>
      </c>
      <c r="G9" s="6">
        <f>(D20)</f>
        <v>0.26611738039622701</v>
      </c>
    </row>
    <row r="10" spans="1:11">
      <c r="A10">
        <v>25</v>
      </c>
      <c r="B10">
        <v>0</v>
      </c>
      <c r="C10">
        <f t="shared" si="0"/>
        <v>0.15322933459378218</v>
      </c>
      <c r="D10">
        <f t="shared" si="1"/>
        <v>2.3479228980053255E-2</v>
      </c>
    </row>
    <row r="11" spans="1:11">
      <c r="A11">
        <v>40</v>
      </c>
      <c r="B11">
        <v>0.01</v>
      </c>
      <c r="C11">
        <f t="shared" si="0"/>
        <v>0.18092523474928976</v>
      </c>
      <c r="D11">
        <f t="shared" si="1"/>
        <v>2.9215435874099808E-2</v>
      </c>
      <c r="J11" t="s">
        <v>209</v>
      </c>
      <c r="K11">
        <v>4</v>
      </c>
    </row>
    <row r="12" spans="1:11">
      <c r="A12">
        <v>70</v>
      </c>
      <c r="B12">
        <v>0.24</v>
      </c>
      <c r="C12">
        <f t="shared" si="0"/>
        <v>0.25223979402230262</v>
      </c>
      <c r="D12">
        <f t="shared" si="1"/>
        <v>1.4981255770839521E-4</v>
      </c>
      <c r="J12" t="s">
        <v>210</v>
      </c>
      <c r="K12">
        <v>0.28870000000000001</v>
      </c>
    </row>
    <row r="13" spans="1:11">
      <c r="A13">
        <v>92</v>
      </c>
      <c r="B13">
        <v>0.43</v>
      </c>
      <c r="C13">
        <f t="shared" si="0"/>
        <v>0.32184310232443725</v>
      </c>
      <c r="D13">
        <f t="shared" si="1"/>
        <v>1.1697914514802151E-2</v>
      </c>
      <c r="J13" t="s">
        <v>12</v>
      </c>
      <c r="K13">
        <v>100</v>
      </c>
    </row>
    <row r="14" spans="1:11">
      <c r="A14">
        <v>110</v>
      </c>
      <c r="B14">
        <v>0.56000000000000005</v>
      </c>
      <c r="C14">
        <f t="shared" si="0"/>
        <v>0.39285553904667947</v>
      </c>
      <c r="D14">
        <f t="shared" si="1"/>
        <v>2.7937270827376109E-2</v>
      </c>
      <c r="J14" t="s">
        <v>8</v>
      </c>
      <c r="K14">
        <v>8</v>
      </c>
    </row>
    <row r="15" spans="1:11">
      <c r="A15">
        <v>130</v>
      </c>
      <c r="B15">
        <v>0.7</v>
      </c>
      <c r="C15">
        <f t="shared" si="0"/>
        <v>0.490278128585866</v>
      </c>
      <c r="D15">
        <f t="shared" si="1"/>
        <v>4.3983263349446536E-2</v>
      </c>
      <c r="J15" t="s">
        <v>106</v>
      </c>
      <c r="K15">
        <v>15</v>
      </c>
    </row>
    <row r="16" spans="1:11">
      <c r="A16">
        <v>160</v>
      </c>
      <c r="B16">
        <v>0.85</v>
      </c>
      <c r="C16">
        <f t="shared" si="0"/>
        <v>0.68352905187331425</v>
      </c>
      <c r="D16">
        <f t="shared" si="1"/>
        <v>2.771257657019769E-2</v>
      </c>
      <c r="J16" t="s">
        <v>107</v>
      </c>
      <c r="K16">
        <v>2</v>
      </c>
    </row>
    <row r="17" spans="1:11">
      <c r="A17">
        <v>180</v>
      </c>
      <c r="B17">
        <v>0.88</v>
      </c>
      <c r="C17">
        <f t="shared" si="0"/>
        <v>0.85303454088934372</v>
      </c>
      <c r="D17">
        <f t="shared" si="1"/>
        <v>7.2713598504847612E-4</v>
      </c>
    </row>
    <row r="18" spans="1:11">
      <c r="A18">
        <v>190</v>
      </c>
      <c r="B18">
        <v>0.89</v>
      </c>
      <c r="C18">
        <f t="shared" si="0"/>
        <v>0.95295290063710392</v>
      </c>
      <c r="D18">
        <f t="shared" si="1"/>
        <v>3.9630676986250769E-3</v>
      </c>
    </row>
    <row r="19" spans="1:11">
      <c r="A19">
        <v>200</v>
      </c>
      <c r="B19">
        <v>0.9</v>
      </c>
      <c r="C19">
        <f t="shared" si="0"/>
        <v>1.0645749817890109</v>
      </c>
      <c r="D19">
        <f t="shared" si="1"/>
        <v>2.7084924630853258E-2</v>
      </c>
    </row>
    <row r="20" spans="1:11">
      <c r="C20">
        <f>AVERAGE(C6:C19)</f>
        <v>0.41953848326982485</v>
      </c>
      <c r="D20">
        <f>SUM(D6:D19)</f>
        <v>0.26611738039622701</v>
      </c>
    </row>
    <row r="27" spans="1:11" ht="16.8">
      <c r="A27" s="1" t="s">
        <v>144</v>
      </c>
    </row>
    <row r="28" spans="1:11">
      <c r="B28" t="s">
        <v>63</v>
      </c>
    </row>
    <row r="29" spans="1:11">
      <c r="A29" t="s">
        <v>29</v>
      </c>
      <c r="B29" t="s">
        <v>43</v>
      </c>
      <c r="C29" t="s">
        <v>99</v>
      </c>
      <c r="D29" t="s">
        <v>120</v>
      </c>
      <c r="E29" t="s">
        <v>137</v>
      </c>
    </row>
    <row r="30" spans="1:11">
      <c r="A30">
        <v>0</v>
      </c>
      <c r="B30">
        <v>0</v>
      </c>
      <c r="C30">
        <f>EXP((($K$30*$K$37*A30)/($K$31))-(($K$30*$K$35)/($K$36)))</f>
        <v>0.11064505498087038</v>
      </c>
      <c r="D30">
        <f>(B30-C30)^2</f>
        <v>1.2242328191719829E-2</v>
      </c>
      <c r="E30">
        <f>ABS(B30-C30)</f>
        <v>0.11064505498087038</v>
      </c>
      <c r="J30" s="6" t="s">
        <v>207</v>
      </c>
      <c r="K30" s="6">
        <v>0.15888805898000899</v>
      </c>
    </row>
    <row r="31" spans="1:11">
      <c r="A31">
        <v>10</v>
      </c>
      <c r="B31">
        <v>0</v>
      </c>
      <c r="C31">
        <f t="shared" ref="C31:C43" si="2">EXP((($K$30*$K$37*A31)/($K$31))-(($K$30*$K$35)/($K$36)))</f>
        <v>0.12358674632060544</v>
      </c>
      <c r="D31">
        <f t="shared" ref="D31:D43" si="3">(B31-C31)^2</f>
        <v>1.5273683866113682E-2</v>
      </c>
      <c r="E31">
        <f t="shared" ref="E31:E43" si="4">ABS(B31-C31)</f>
        <v>0.12358674632060544</v>
      </c>
      <c r="J31" s="6" t="s">
        <v>208</v>
      </c>
      <c r="K31" s="6">
        <v>1436.3939555285101</v>
      </c>
    </row>
    <row r="32" spans="1:11">
      <c r="A32">
        <v>15</v>
      </c>
      <c r="B32">
        <v>0</v>
      </c>
      <c r="C32">
        <f t="shared" si="2"/>
        <v>0.13061463572736365</v>
      </c>
      <c r="D32">
        <f t="shared" si="3"/>
        <v>1.7060183066191899E-2</v>
      </c>
      <c r="E32">
        <f t="shared" si="4"/>
        <v>0.13061463572736365</v>
      </c>
    </row>
    <row r="33" spans="1:11">
      <c r="A33">
        <v>20</v>
      </c>
      <c r="B33">
        <v>0</v>
      </c>
      <c r="C33">
        <f t="shared" si="2"/>
        <v>0.13804217340534908</v>
      </c>
      <c r="D33">
        <f t="shared" si="3"/>
        <v>1.9055641638472464E-2</v>
      </c>
      <c r="E33">
        <f t="shared" si="4"/>
        <v>0.13804217340534908</v>
      </c>
      <c r="G33" s="6" t="s">
        <v>132</v>
      </c>
      <c r="H33" s="6">
        <f>(E44)</f>
        <v>1.7514823227003422</v>
      </c>
    </row>
    <row r="34" spans="1:11">
      <c r="A34">
        <v>25</v>
      </c>
      <c r="B34">
        <v>0</v>
      </c>
      <c r="C34">
        <f t="shared" si="2"/>
        <v>0.14589208577090812</v>
      </c>
      <c r="D34">
        <f t="shared" si="3"/>
        <v>2.128450069058601E-2</v>
      </c>
      <c r="E34">
        <f t="shared" si="4"/>
        <v>0.14589208577090812</v>
      </c>
    </row>
    <row r="35" spans="1:11">
      <c r="A35">
        <v>40</v>
      </c>
      <c r="B35">
        <v>0.01</v>
      </c>
      <c r="C35">
        <f t="shared" si="2"/>
        <v>0.17222316570557106</v>
      </c>
      <c r="D35">
        <f t="shared" si="3"/>
        <v>2.6316355491537161E-2</v>
      </c>
      <c r="E35">
        <f t="shared" si="4"/>
        <v>0.16222316570557105</v>
      </c>
      <c r="J35" t="s">
        <v>209</v>
      </c>
      <c r="K35">
        <v>4</v>
      </c>
    </row>
    <row r="36" spans="1:11">
      <c r="A36">
        <v>70</v>
      </c>
      <c r="B36">
        <v>0.24</v>
      </c>
      <c r="C36">
        <f t="shared" si="2"/>
        <v>0.23999999748114803</v>
      </c>
      <c r="D36">
        <f t="shared" si="3"/>
        <v>6.3446151981213376E-18</v>
      </c>
      <c r="E36">
        <f t="shared" si="4"/>
        <v>2.5188519603425163E-9</v>
      </c>
      <c r="J36" t="s">
        <v>210</v>
      </c>
      <c r="K36">
        <v>0.28870000000000001</v>
      </c>
    </row>
    <row r="37" spans="1:11">
      <c r="A37">
        <v>92</v>
      </c>
      <c r="B37">
        <v>0.43</v>
      </c>
      <c r="C37">
        <f t="shared" si="2"/>
        <v>0.30612513848187689</v>
      </c>
      <c r="D37">
        <f t="shared" si="3"/>
        <v>1.5344981316134177E-2</v>
      </c>
      <c r="E37">
        <f t="shared" si="4"/>
        <v>0.1238748615181231</v>
      </c>
      <c r="J37" t="s">
        <v>12</v>
      </c>
      <c r="K37">
        <v>100</v>
      </c>
    </row>
    <row r="38" spans="1:11">
      <c r="A38">
        <v>110</v>
      </c>
      <c r="B38">
        <v>0.56000000000000005</v>
      </c>
      <c r="C38">
        <f t="shared" si="2"/>
        <v>0.37356897100081549</v>
      </c>
      <c r="D38">
        <f t="shared" si="3"/>
        <v>3.4756528573694795E-2</v>
      </c>
      <c r="E38">
        <f t="shared" si="4"/>
        <v>0.18643102899918457</v>
      </c>
      <c r="J38" t="s">
        <v>8</v>
      </c>
      <c r="K38">
        <v>8</v>
      </c>
    </row>
    <row r="39" spans="1:11">
      <c r="A39">
        <v>130</v>
      </c>
      <c r="B39">
        <v>0.7</v>
      </c>
      <c r="C39">
        <f t="shared" si="2"/>
        <v>0.46606938450767738</v>
      </c>
      <c r="D39">
        <f t="shared" si="3"/>
        <v>5.4723532864616876E-2</v>
      </c>
      <c r="E39">
        <f t="shared" si="4"/>
        <v>0.23393061549232258</v>
      </c>
      <c r="J39" t="s">
        <v>106</v>
      </c>
      <c r="K39">
        <v>15</v>
      </c>
    </row>
    <row r="40" spans="1:11">
      <c r="A40">
        <v>160</v>
      </c>
      <c r="B40">
        <v>0.85</v>
      </c>
      <c r="C40">
        <f t="shared" si="2"/>
        <v>0.64948667416269923</v>
      </c>
      <c r="D40">
        <f t="shared" si="3"/>
        <v>4.0205593838335538E-2</v>
      </c>
      <c r="E40">
        <f t="shared" si="4"/>
        <v>0.20051332583730075</v>
      </c>
      <c r="J40" t="s">
        <v>107</v>
      </c>
      <c r="K40">
        <v>2</v>
      </c>
    </row>
    <row r="41" spans="1:11">
      <c r="A41">
        <v>180</v>
      </c>
      <c r="B41">
        <v>0.88</v>
      </c>
      <c r="C41">
        <f t="shared" si="2"/>
        <v>0.8103078091897703</v>
      </c>
      <c r="D41">
        <f t="shared" si="3"/>
        <v>4.8570014599294657E-3</v>
      </c>
      <c r="E41">
        <f t="shared" si="4"/>
        <v>6.9692190810229704E-2</v>
      </c>
    </row>
    <row r="42" spans="1:11">
      <c r="A42">
        <v>190</v>
      </c>
      <c r="B42">
        <v>0.89</v>
      </c>
      <c r="C42">
        <f t="shared" si="2"/>
        <v>0.90508613939643001</v>
      </c>
      <c r="D42">
        <f t="shared" si="3"/>
        <v>2.2759160188851727E-4</v>
      </c>
      <c r="E42">
        <f t="shared" si="4"/>
        <v>1.5086139396429998E-2</v>
      </c>
    </row>
    <row r="43" spans="1:11">
      <c r="A43">
        <v>200</v>
      </c>
      <c r="B43">
        <v>0.9</v>
      </c>
      <c r="C43">
        <f t="shared" si="2"/>
        <v>1.0109502962172316</v>
      </c>
      <c r="D43">
        <f t="shared" si="3"/>
        <v>1.2309968230691443E-2</v>
      </c>
      <c r="E43">
        <f t="shared" si="4"/>
        <v>0.11095029621723163</v>
      </c>
    </row>
    <row r="44" spans="1:11">
      <c r="D44" s="6">
        <f>SUM(D30:D43)</f>
        <v>0.27365789082991188</v>
      </c>
      <c r="E44">
        <f>SUM(E30:E43)</f>
        <v>1.7514823227003422</v>
      </c>
    </row>
    <row r="51" spans="1:11" ht="16.8">
      <c r="A51" s="10" t="s">
        <v>145</v>
      </c>
    </row>
    <row r="52" spans="1:11">
      <c r="B52" t="s">
        <v>63</v>
      </c>
    </row>
    <row r="53" spans="1:11">
      <c r="A53" t="s">
        <v>29</v>
      </c>
      <c r="B53" t="s">
        <v>43</v>
      </c>
      <c r="C53" t="s">
        <v>99</v>
      </c>
      <c r="D53" t="s">
        <v>120</v>
      </c>
      <c r="E53" t="s">
        <v>119</v>
      </c>
    </row>
    <row r="54" spans="1:11">
      <c r="A54">
        <v>0</v>
      </c>
      <c r="B54">
        <v>0</v>
      </c>
      <c r="C54">
        <f>EXP((($K$54*$K$61*A54)/($K$55))-(($K$54*$K$59)/($K$60)))</f>
        <v>4.2104556448884778E-3</v>
      </c>
      <c r="D54">
        <f>(B54-C54)^2</f>
        <v>1.7727936737573246E-5</v>
      </c>
      <c r="E54">
        <v>0</v>
      </c>
      <c r="J54" s="6" t="s">
        <v>207</v>
      </c>
      <c r="K54" s="6">
        <v>0.39481055964411899</v>
      </c>
    </row>
    <row r="55" spans="1:11">
      <c r="A55">
        <v>10</v>
      </c>
      <c r="B55">
        <v>0</v>
      </c>
      <c r="C55">
        <f t="shared" ref="C55:C67" si="5">EXP((($K$54*$K$61*A55)/($K$55))-(($K$54*$K$59)/($K$60)))</f>
        <v>5.5935434795982703E-3</v>
      </c>
      <c r="D55">
        <f t="shared" ref="D55:D67" si="6">(B55-C55)^2</f>
        <v>3.1287728658156321E-5</v>
      </c>
      <c r="E55">
        <v>0</v>
      </c>
      <c r="J55" s="6" t="s">
        <v>208</v>
      </c>
      <c r="K55" s="6">
        <v>1389.9719220578299</v>
      </c>
    </row>
    <row r="56" spans="1:11">
      <c r="A56">
        <v>15</v>
      </c>
      <c r="B56">
        <v>0</v>
      </c>
      <c r="C56">
        <f t="shared" si="5"/>
        <v>6.4471233446965134E-3</v>
      </c>
      <c r="D56">
        <f t="shared" si="6"/>
        <v>4.1565399421730756E-5</v>
      </c>
      <c r="E56">
        <v>0</v>
      </c>
    </row>
    <row r="57" spans="1:11">
      <c r="A57">
        <v>20</v>
      </c>
      <c r="B57">
        <v>0</v>
      </c>
      <c r="C57">
        <f t="shared" si="5"/>
        <v>7.4309602800684696E-3</v>
      </c>
      <c r="D57">
        <f t="shared" si="6"/>
        <v>5.5219170683955265E-5</v>
      </c>
      <c r="E57">
        <v>0</v>
      </c>
      <c r="G57" s="6" t="s">
        <v>121</v>
      </c>
      <c r="H57" s="6">
        <f>(100)*(1/13)^(0.5)*(E68)^(0.5)</f>
        <v>50.668062583676843</v>
      </c>
    </row>
    <row r="58" spans="1:11">
      <c r="A58">
        <v>25</v>
      </c>
      <c r="B58">
        <v>0</v>
      </c>
      <c r="C58">
        <f t="shared" si="5"/>
        <v>8.5649316341030249E-3</v>
      </c>
      <c r="D58">
        <f t="shared" si="6"/>
        <v>7.3358053896858708E-5</v>
      </c>
      <c r="E58">
        <v>0</v>
      </c>
    </row>
    <row r="59" spans="1:11">
      <c r="A59">
        <v>40</v>
      </c>
      <c r="B59">
        <v>0.01</v>
      </c>
      <c r="C59">
        <f t="shared" si="5"/>
        <v>1.311477316023783E-2</v>
      </c>
      <c r="D59">
        <f t="shared" si="6"/>
        <v>9.7018118397379549E-6</v>
      </c>
      <c r="E59">
        <f t="shared" ref="E59:E67" si="7">((B59-C59)/B59)^2</f>
        <v>9.7018118397379532E-2</v>
      </c>
      <c r="J59" t="s">
        <v>209</v>
      </c>
      <c r="K59">
        <v>4</v>
      </c>
    </row>
    <row r="60" spans="1:11">
      <c r="A60">
        <v>70</v>
      </c>
      <c r="B60">
        <v>0.24</v>
      </c>
      <c r="C60">
        <f t="shared" si="5"/>
        <v>3.0749251466772785E-2</v>
      </c>
      <c r="D60">
        <f t="shared" si="6"/>
        <v>4.3785875761715887E-2</v>
      </c>
      <c r="E60">
        <f t="shared" si="7"/>
        <v>0.76017145419645638</v>
      </c>
      <c r="J60" t="s">
        <v>210</v>
      </c>
      <c r="K60">
        <v>0.28870000000000001</v>
      </c>
    </row>
    <row r="61" spans="1:11">
      <c r="A61">
        <v>92</v>
      </c>
      <c r="B61">
        <v>0.43</v>
      </c>
      <c r="C61">
        <f t="shared" si="5"/>
        <v>5.7440997852674182E-2</v>
      </c>
      <c r="D61">
        <f t="shared" si="6"/>
        <v>0.13880021008101109</v>
      </c>
      <c r="E61">
        <f t="shared" si="7"/>
        <v>0.75067717729048722</v>
      </c>
      <c r="J61" t="s">
        <v>12</v>
      </c>
      <c r="K61">
        <v>100</v>
      </c>
    </row>
    <row r="62" spans="1:11">
      <c r="A62">
        <v>110</v>
      </c>
      <c r="B62">
        <v>0.56000000000000005</v>
      </c>
      <c r="C62">
        <f t="shared" si="5"/>
        <v>9.5778103807697704E-2</v>
      </c>
      <c r="D62">
        <f t="shared" si="6"/>
        <v>0.21550196890437676</v>
      </c>
      <c r="E62">
        <f t="shared" si="7"/>
        <v>0.68718740084303798</v>
      </c>
      <c r="J62" t="s">
        <v>8</v>
      </c>
      <c r="K62">
        <v>8</v>
      </c>
    </row>
    <row r="63" spans="1:11">
      <c r="A63">
        <v>130</v>
      </c>
      <c r="B63">
        <v>0.7</v>
      </c>
      <c r="C63">
        <f t="shared" si="5"/>
        <v>0.16903711738640764</v>
      </c>
      <c r="D63">
        <f t="shared" si="6"/>
        <v>0.28192158271333545</v>
      </c>
      <c r="E63">
        <f t="shared" si="7"/>
        <v>0.57535016880272549</v>
      </c>
      <c r="J63" t="s">
        <v>106</v>
      </c>
      <c r="K63">
        <v>15</v>
      </c>
    </row>
    <row r="64" spans="1:11">
      <c r="A64">
        <v>160</v>
      </c>
      <c r="B64">
        <v>0.85</v>
      </c>
      <c r="C64">
        <f t="shared" si="5"/>
        <v>0.39632899221558321</v>
      </c>
      <c r="D64">
        <f t="shared" si="6"/>
        <v>0.20581738330412835</v>
      </c>
      <c r="E64">
        <f t="shared" si="7"/>
        <v>0.28486835059394933</v>
      </c>
      <c r="J64" t="s">
        <v>107</v>
      </c>
      <c r="K64">
        <v>2</v>
      </c>
    </row>
    <row r="65" spans="1:11">
      <c r="A65">
        <v>180</v>
      </c>
      <c r="B65">
        <v>0.88</v>
      </c>
      <c r="C65">
        <f t="shared" si="5"/>
        <v>0.69947417747267859</v>
      </c>
      <c r="D65">
        <f t="shared" si="6"/>
        <v>3.258957259916595E-2</v>
      </c>
      <c r="E65">
        <f t="shared" si="7"/>
        <v>4.2083642302641978E-2</v>
      </c>
    </row>
    <row r="66" spans="1:11">
      <c r="A66">
        <v>190</v>
      </c>
      <c r="B66">
        <v>0.89</v>
      </c>
      <c r="C66">
        <f t="shared" si="5"/>
        <v>0.92924366257117985</v>
      </c>
      <c r="D66">
        <f t="shared" si="6"/>
        <v>1.5400650520006214E-3</v>
      </c>
      <c r="E66">
        <f t="shared" si="7"/>
        <v>1.9442810907721517E-3</v>
      </c>
    </row>
    <row r="67" spans="1:11">
      <c r="A67">
        <v>200</v>
      </c>
      <c r="B67">
        <v>0.9</v>
      </c>
      <c r="C67">
        <f t="shared" si="5"/>
        <v>1.2344898671580022</v>
      </c>
      <c r="D67">
        <f t="shared" si="6"/>
        <v>0.11188347123137797</v>
      </c>
      <c r="E67">
        <f t="shared" si="7"/>
        <v>0.13812774226096045</v>
      </c>
    </row>
    <row r="68" spans="1:11">
      <c r="D68" s="6">
        <f>SUM(D54:D67)</f>
        <v>1.0320689897483502</v>
      </c>
      <c r="E68">
        <f>SUM(E54:E67)</f>
        <v>3.3374283357784105</v>
      </c>
    </row>
    <row r="75" spans="1:11">
      <c r="B75" t="s">
        <v>63</v>
      </c>
    </row>
    <row r="76" spans="1:11">
      <c r="A76" t="s">
        <v>29</v>
      </c>
      <c r="B76" t="s">
        <v>43</v>
      </c>
      <c r="C76" t="s">
        <v>99</v>
      </c>
      <c r="D76" t="s">
        <v>120</v>
      </c>
      <c r="E76" t="s">
        <v>119</v>
      </c>
    </row>
    <row r="77" spans="1:11">
      <c r="A77">
        <v>0</v>
      </c>
      <c r="B77">
        <v>0</v>
      </c>
      <c r="C77">
        <f>EXP((($K$77*$K$84*A77)/($K$78))-(($K$77*$K$82)/($K$83)))</f>
        <v>2.9666600318973727E-2</v>
      </c>
      <c r="D77">
        <f>(B77-C77)^2</f>
        <v>8.8010717448573205E-4</v>
      </c>
      <c r="E77">
        <v>0</v>
      </c>
      <c r="J77" s="6" t="s">
        <v>207</v>
      </c>
      <c r="K77" s="6">
        <v>0.25389241062491102</v>
      </c>
    </row>
    <row r="78" spans="1:11">
      <c r="A78">
        <v>10</v>
      </c>
      <c r="B78">
        <v>0</v>
      </c>
      <c r="C78">
        <f t="shared" ref="C78:C90" si="8">EXP((($K$77*$K$84*A78)/($K$78))-(($K$77*$K$82)/($K$83)))</f>
        <v>3.5631337637013205E-2</v>
      </c>
      <c r="D78">
        <f t="shared" ref="D78:D90" si="9">(B78-C78)^2</f>
        <v>1.2695922218028339E-3</v>
      </c>
      <c r="E78">
        <v>0</v>
      </c>
      <c r="J78" s="6" t="s">
        <v>208</v>
      </c>
      <c r="K78" s="6">
        <v>1385.8477906154501</v>
      </c>
    </row>
    <row r="79" spans="1:11">
      <c r="A79">
        <v>15</v>
      </c>
      <c r="B79">
        <v>0</v>
      </c>
      <c r="C79">
        <f t="shared" si="8"/>
        <v>3.9049394082542092E-2</v>
      </c>
      <c r="D79">
        <f t="shared" si="9"/>
        <v>1.5248551782136733E-3</v>
      </c>
      <c r="E79">
        <v>0</v>
      </c>
    </row>
    <row r="80" spans="1:11">
      <c r="A80">
        <v>20</v>
      </c>
      <c r="B80">
        <v>0</v>
      </c>
      <c r="C80">
        <f t="shared" si="8"/>
        <v>4.2795339140725405E-2</v>
      </c>
      <c r="D80">
        <f t="shared" si="9"/>
        <v>1.8314410521697039E-3</v>
      </c>
      <c r="E80">
        <v>0</v>
      </c>
      <c r="G80" s="6" t="s">
        <v>134</v>
      </c>
      <c r="H80" s="6">
        <f>(100/13)*E91</f>
        <v>8.5189785659947379</v>
      </c>
    </row>
    <row r="81" spans="1:11">
      <c r="A81">
        <v>25</v>
      </c>
      <c r="B81">
        <v>0</v>
      </c>
      <c r="C81">
        <f t="shared" si="8"/>
        <v>4.6900626634524184E-2</v>
      </c>
      <c r="D81">
        <f t="shared" si="9"/>
        <v>2.1996687787110393E-3</v>
      </c>
      <c r="E81">
        <v>0</v>
      </c>
    </row>
    <row r="82" spans="1:11">
      <c r="A82">
        <v>40</v>
      </c>
      <c r="B82">
        <v>0.01</v>
      </c>
      <c r="C82">
        <f t="shared" si="8"/>
        <v>6.1734106115232168E-2</v>
      </c>
      <c r="D82">
        <f t="shared" si="9"/>
        <v>2.676417735542102E-3</v>
      </c>
      <c r="E82">
        <f>(B82-C82)^2/B82</f>
        <v>0.2676417735542102</v>
      </c>
      <c r="J82" t="s">
        <v>209</v>
      </c>
      <c r="K82">
        <v>4</v>
      </c>
    </row>
    <row r="83" spans="1:11">
      <c r="A83">
        <v>70</v>
      </c>
      <c r="B83">
        <v>0.24</v>
      </c>
      <c r="C83">
        <f t="shared" si="8"/>
        <v>0.10695921373122524</v>
      </c>
      <c r="D83">
        <f t="shared" si="9"/>
        <v>1.7699850811013804E-2</v>
      </c>
      <c r="E83">
        <f t="shared" ref="E83:E90" si="10">(B83-C83)^2/B83</f>
        <v>7.3749378379224184E-2</v>
      </c>
      <c r="J83" t="s">
        <v>210</v>
      </c>
      <c r="K83">
        <v>0.28870000000000001</v>
      </c>
    </row>
    <row r="84" spans="1:11">
      <c r="A84">
        <v>92</v>
      </c>
      <c r="B84">
        <v>0.43</v>
      </c>
      <c r="C84">
        <f t="shared" si="8"/>
        <v>0.16005150513265867</v>
      </c>
      <c r="D84">
        <f t="shared" si="9"/>
        <v>7.2872189881142982E-2</v>
      </c>
      <c r="E84">
        <f t="shared" si="10"/>
        <v>0.16947020902591392</v>
      </c>
      <c r="J84" t="s">
        <v>12</v>
      </c>
      <c r="K84">
        <v>100</v>
      </c>
    </row>
    <row r="85" spans="1:11">
      <c r="A85">
        <v>110</v>
      </c>
      <c r="B85">
        <v>0.56000000000000005</v>
      </c>
      <c r="C85">
        <f t="shared" si="8"/>
        <v>0.22257459161109833</v>
      </c>
      <c r="D85">
        <f t="shared" si="9"/>
        <v>0.11385590622641711</v>
      </c>
      <c r="E85">
        <f t="shared" si="10"/>
        <v>0.20331411826145912</v>
      </c>
      <c r="J85" t="s">
        <v>8</v>
      </c>
      <c r="K85">
        <v>8</v>
      </c>
    </row>
    <row r="86" spans="1:11">
      <c r="A86">
        <v>130</v>
      </c>
      <c r="B86">
        <v>0.7</v>
      </c>
      <c r="C86">
        <f t="shared" si="8"/>
        <v>0.32107336296344846</v>
      </c>
      <c r="D86">
        <f t="shared" si="9"/>
        <v>0.14358539625583044</v>
      </c>
      <c r="E86">
        <f t="shared" si="10"/>
        <v>0.20512199465118636</v>
      </c>
      <c r="J86" t="s">
        <v>106</v>
      </c>
      <c r="K86">
        <v>15</v>
      </c>
    </row>
    <row r="87" spans="1:11">
      <c r="A87">
        <v>160</v>
      </c>
      <c r="B87">
        <v>0.85</v>
      </c>
      <c r="C87">
        <f t="shared" si="8"/>
        <v>0.55628495516738874</v>
      </c>
      <c r="D87">
        <f t="shared" si="9"/>
        <v>8.6268527561022823E-2</v>
      </c>
      <c r="E87">
        <f t="shared" si="10"/>
        <v>0.10149238536590921</v>
      </c>
      <c r="J87" t="s">
        <v>107</v>
      </c>
      <c r="K87">
        <v>2</v>
      </c>
    </row>
    <row r="88" spans="1:11">
      <c r="A88">
        <v>180</v>
      </c>
      <c r="B88">
        <v>0.88</v>
      </c>
      <c r="C88">
        <f t="shared" si="8"/>
        <v>0.80246482776275141</v>
      </c>
      <c r="D88">
        <f t="shared" si="9"/>
        <v>6.0117029338598053E-3</v>
      </c>
      <c r="E88">
        <f t="shared" si="10"/>
        <v>6.8314806066588699E-3</v>
      </c>
    </row>
    <row r="89" spans="1:11">
      <c r="A89">
        <v>190</v>
      </c>
      <c r="B89">
        <v>0.89</v>
      </c>
      <c r="C89">
        <f t="shared" si="8"/>
        <v>0.96380761234563239</v>
      </c>
      <c r="D89">
        <f t="shared" si="9"/>
        <v>5.4475636401631455E-3</v>
      </c>
      <c r="E89">
        <f t="shared" si="10"/>
        <v>6.1208580226552196E-3</v>
      </c>
    </row>
    <row r="90" spans="1:11">
      <c r="A90">
        <v>200</v>
      </c>
      <c r="B90">
        <v>0.9</v>
      </c>
      <c r="C90">
        <f t="shared" si="8"/>
        <v>1.157589817618804</v>
      </c>
      <c r="D90">
        <f t="shared" si="9"/>
        <v>6.6352514140888677E-2</v>
      </c>
      <c r="E90">
        <f t="shared" si="10"/>
        <v>7.3725015712098524E-2</v>
      </c>
    </row>
    <row r="91" spans="1:11">
      <c r="D91" s="6">
        <f>SUM(D77:D90)</f>
        <v>0.52247573359126387</v>
      </c>
      <c r="E91">
        <f>SUM(E77:E90)</f>
        <v>1.107467213579316</v>
      </c>
    </row>
    <row r="96" spans="1:11" ht="16.8">
      <c r="A96" s="1" t="s">
        <v>109</v>
      </c>
    </row>
    <row r="97" spans="1:11">
      <c r="B97" t="s">
        <v>130</v>
      </c>
    </row>
    <row r="98" spans="1:11">
      <c r="A98" t="s">
        <v>29</v>
      </c>
      <c r="B98" t="s">
        <v>43</v>
      </c>
      <c r="C98" t="s">
        <v>99</v>
      </c>
      <c r="D98" t="s">
        <v>120</v>
      </c>
    </row>
    <row r="99" spans="1:11">
      <c r="A99">
        <v>0</v>
      </c>
      <c r="B99">
        <v>0</v>
      </c>
      <c r="C99">
        <f>EXP((($K$99*$K$106*A99)/($K$100))-(($K$99*$K$104)/($K$105)))</f>
        <v>5.2731121281172598E-2</v>
      </c>
      <c r="D99">
        <f>(B99-C99)^2</f>
        <v>2.7805711515697337E-3</v>
      </c>
      <c r="J99" s="6" t="s">
        <v>207</v>
      </c>
      <c r="K99" s="6">
        <v>0.106189253677025</v>
      </c>
    </row>
    <row r="100" spans="1:11">
      <c r="A100">
        <v>20</v>
      </c>
      <c r="B100">
        <v>0</v>
      </c>
      <c r="C100">
        <f t="shared" ref="C100:C116" si="11">EXP((($K$99*$K$106*A100)/($K$100))-(($K$99*$K$104)/($K$105)))</f>
        <v>6.4491262467752927E-2</v>
      </c>
      <c r="D100">
        <f t="shared" ref="D100:D116" si="12">(B100-C100)^2</f>
        <v>4.1591229346845974E-3</v>
      </c>
      <c r="J100" s="6" t="s">
        <v>208</v>
      </c>
      <c r="K100" s="6">
        <v>1054.90939987818</v>
      </c>
    </row>
    <row r="101" spans="1:11">
      <c r="A101">
        <v>30</v>
      </c>
      <c r="B101">
        <v>0</v>
      </c>
      <c r="C101">
        <f t="shared" si="11"/>
        <v>7.1321064214451502E-2</v>
      </c>
      <c r="D101">
        <f t="shared" si="12"/>
        <v>5.0866942006819148E-3</v>
      </c>
    </row>
    <row r="102" spans="1:11">
      <c r="A102">
        <v>40</v>
      </c>
      <c r="B102">
        <v>0</v>
      </c>
      <c r="C102">
        <f t="shared" si="11"/>
        <v>7.8874160716350894E-2</v>
      </c>
      <c r="D102">
        <f t="shared" si="12"/>
        <v>6.2211332287087509E-3</v>
      </c>
      <c r="G102" s="6" t="s">
        <v>100</v>
      </c>
      <c r="H102" s="6">
        <f>(D117)</f>
        <v>0.23486892061809797</v>
      </c>
    </row>
    <row r="103" spans="1:11">
      <c r="A103">
        <v>50</v>
      </c>
      <c r="B103">
        <v>0</v>
      </c>
      <c r="C103">
        <f t="shared" si="11"/>
        <v>8.7227150873727261E-2</v>
      </c>
      <c r="D103">
        <f t="shared" si="12"/>
        <v>7.6085758495479782E-3</v>
      </c>
    </row>
    <row r="104" spans="1:11">
      <c r="A104">
        <v>60</v>
      </c>
      <c r="B104">
        <v>0</v>
      </c>
      <c r="C104">
        <f t="shared" si="11"/>
        <v>9.6464745620687062E-2</v>
      </c>
      <c r="D104">
        <f t="shared" si="12"/>
        <v>9.3054471476638635E-3</v>
      </c>
      <c r="J104" t="s">
        <v>209</v>
      </c>
      <c r="K104">
        <v>8</v>
      </c>
    </row>
    <row r="105" spans="1:11">
      <c r="A105">
        <v>70</v>
      </c>
      <c r="B105">
        <v>0</v>
      </c>
      <c r="C105">
        <f t="shared" si="11"/>
        <v>0.10668062701182024</v>
      </c>
      <c r="D105">
        <f t="shared" si="12"/>
        <v>1.1380756179635109E-2</v>
      </c>
      <c r="J105" t="s">
        <v>210</v>
      </c>
      <c r="K105">
        <v>0.28870000000000001</v>
      </c>
    </row>
    <row r="106" spans="1:11">
      <c r="A106">
        <v>80</v>
      </c>
      <c r="B106">
        <v>0</v>
      </c>
      <c r="C106">
        <f t="shared" si="11"/>
        <v>0.11797839828848809</v>
      </c>
      <c r="D106">
        <f t="shared" si="12"/>
        <v>1.3918902462717131E-2</v>
      </c>
      <c r="J106" t="s">
        <v>12</v>
      </c>
      <c r="K106">
        <v>100</v>
      </c>
    </row>
    <row r="107" spans="1:11">
      <c r="A107">
        <v>115</v>
      </c>
      <c r="B107">
        <v>0.01</v>
      </c>
      <c r="C107">
        <f t="shared" si="11"/>
        <v>0.16780765651518179</v>
      </c>
      <c r="D107">
        <f t="shared" si="12"/>
        <v>2.4903256454813595E-2</v>
      </c>
      <c r="J107" t="s">
        <v>8</v>
      </c>
      <c r="K107">
        <v>8</v>
      </c>
    </row>
    <row r="108" spans="1:11">
      <c r="A108">
        <v>140</v>
      </c>
      <c r="B108">
        <v>0.08</v>
      </c>
      <c r="C108">
        <f t="shared" si="11"/>
        <v>0.21582617443218585</v>
      </c>
      <c r="D108">
        <f t="shared" si="12"/>
        <v>1.8448749660882582E-2</v>
      </c>
      <c r="J108" t="s">
        <v>106</v>
      </c>
      <c r="K108">
        <v>19</v>
      </c>
    </row>
    <row r="109" spans="1:11">
      <c r="A109">
        <v>170</v>
      </c>
      <c r="B109">
        <v>0.3</v>
      </c>
      <c r="C109">
        <f t="shared" si="11"/>
        <v>0.29191399825843106</v>
      </c>
      <c r="D109">
        <f t="shared" si="12"/>
        <v>6.5383424164655718E-5</v>
      </c>
      <c r="J109" t="s">
        <v>107</v>
      </c>
      <c r="K109">
        <v>2</v>
      </c>
    </row>
    <row r="110" spans="1:11">
      <c r="A110">
        <v>195</v>
      </c>
      <c r="B110">
        <v>0.49</v>
      </c>
      <c r="C110">
        <f t="shared" si="11"/>
        <v>0.37544580989736298</v>
      </c>
      <c r="D110">
        <f t="shared" si="12"/>
        <v>1.3122662470071099E-2</v>
      </c>
    </row>
    <row r="111" spans="1:11">
      <c r="A111">
        <v>210</v>
      </c>
      <c r="B111">
        <v>0.6</v>
      </c>
      <c r="C111">
        <f t="shared" si="11"/>
        <v>0.43663914315830871</v>
      </c>
      <c r="D111">
        <f t="shared" si="12"/>
        <v>2.6686769548051551E-2</v>
      </c>
    </row>
    <row r="112" spans="1:11">
      <c r="A112">
        <v>230</v>
      </c>
      <c r="B112">
        <v>0.71</v>
      </c>
      <c r="C112">
        <f t="shared" si="11"/>
        <v>0.53401879006072672</v>
      </c>
      <c r="D112">
        <f t="shared" si="12"/>
        <v>3.0969386251690562E-2</v>
      </c>
    </row>
    <row r="113" spans="1:11">
      <c r="A113">
        <v>250</v>
      </c>
      <c r="B113">
        <v>0.8</v>
      </c>
      <c r="C113">
        <f t="shared" si="11"/>
        <v>0.6531161317219073</v>
      </c>
      <c r="D113">
        <f t="shared" si="12"/>
        <v>2.1574870760336099E-2</v>
      </c>
    </row>
    <row r="114" spans="1:11">
      <c r="A114">
        <v>270</v>
      </c>
      <c r="B114">
        <v>0.85</v>
      </c>
      <c r="C114">
        <f t="shared" si="11"/>
        <v>0.7987746675859112</v>
      </c>
      <c r="D114">
        <f t="shared" si="12"/>
        <v>2.6240346809338943E-3</v>
      </c>
    </row>
    <row r="115" spans="1:11">
      <c r="A115">
        <v>285</v>
      </c>
      <c r="B115">
        <v>0.87</v>
      </c>
      <c r="C115">
        <f t="shared" si="11"/>
        <v>0.92896571818612494</v>
      </c>
      <c r="D115">
        <f t="shared" si="12"/>
        <v>3.4769559212055067E-3</v>
      </c>
    </row>
    <row r="116" spans="1:11">
      <c r="A116">
        <v>300</v>
      </c>
      <c r="B116">
        <v>0.9</v>
      </c>
      <c r="C116">
        <f t="shared" si="11"/>
        <v>1.0803764072453472</v>
      </c>
      <c r="D116">
        <f t="shared" si="12"/>
        <v>3.2535648290739343E-2</v>
      </c>
    </row>
    <row r="117" spans="1:11">
      <c r="D117">
        <f>SUM(D99:D116)</f>
        <v>0.23486892061809797</v>
      </c>
    </row>
    <row r="123" spans="1:11" ht="16.8">
      <c r="A123" s="1" t="s">
        <v>144</v>
      </c>
    </row>
    <row r="124" spans="1:11">
      <c r="B124" t="s">
        <v>130</v>
      </c>
    </row>
    <row r="125" spans="1:11">
      <c r="A125" t="s">
        <v>29</v>
      </c>
      <c r="B125" t="s">
        <v>43</v>
      </c>
      <c r="C125" t="s">
        <v>99</v>
      </c>
      <c r="D125" t="s">
        <v>100</v>
      </c>
      <c r="E125" t="s">
        <v>137</v>
      </c>
    </row>
    <row r="126" spans="1:11">
      <c r="A126">
        <v>0</v>
      </c>
      <c r="B126">
        <v>0</v>
      </c>
      <c r="C126">
        <f>EXP((($K$126*$K$133*A126)/($K$127))-(($K$126*$K$131)/($K$132)))</f>
        <v>5.0812121713594234E-2</v>
      </c>
      <c r="D126">
        <f>(B126-C126)^2</f>
        <v>2.5818717130371145E-3</v>
      </c>
      <c r="E126">
        <f>ABS(B126-C126)</f>
        <v>5.0812121713594234E-2</v>
      </c>
      <c r="J126" s="6" t="s">
        <v>207</v>
      </c>
      <c r="K126" s="6">
        <v>0.107527048891738</v>
      </c>
    </row>
    <row r="127" spans="1:11">
      <c r="A127">
        <v>20</v>
      </c>
      <c r="B127">
        <v>0</v>
      </c>
      <c r="C127">
        <f t="shared" ref="C127:C143" si="13">EXP((($K$126*$K$133*A127)/($K$127))-(($K$126*$K$131)/($K$132)))</f>
        <v>6.2602744601749555E-2</v>
      </c>
      <c r="D127">
        <f t="shared" ref="D127:D143" si="14">(B127-C127)^2</f>
        <v>3.9191036316718834E-3</v>
      </c>
      <c r="E127">
        <f t="shared" ref="E127:E143" si="15">ABS(B127-C127)</f>
        <v>6.2602744601749555E-2</v>
      </c>
      <c r="J127" s="6" t="s">
        <v>208</v>
      </c>
      <c r="K127" s="6">
        <v>1030.5735944321</v>
      </c>
    </row>
    <row r="128" spans="1:11">
      <c r="A128">
        <v>30</v>
      </c>
      <c r="B128">
        <v>0</v>
      </c>
      <c r="C128">
        <f t="shared" si="13"/>
        <v>6.9487453401057775E-2</v>
      </c>
      <c r="D128">
        <f t="shared" si="14"/>
        <v>4.8285061801641759E-3</v>
      </c>
      <c r="E128">
        <f t="shared" si="15"/>
        <v>6.9487453401057775E-2</v>
      </c>
    </row>
    <row r="129" spans="1:11">
      <c r="A129">
        <v>40</v>
      </c>
      <c r="B129">
        <v>0</v>
      </c>
      <c r="C129">
        <f t="shared" si="13"/>
        <v>7.712930496707382E-2</v>
      </c>
      <c r="D129">
        <f t="shared" si="14"/>
        <v>5.9489296847038782E-3</v>
      </c>
      <c r="E129">
        <f t="shared" si="15"/>
        <v>7.712930496707382E-2</v>
      </c>
      <c r="G129" s="6" t="s">
        <v>132</v>
      </c>
      <c r="H129" s="6">
        <f>(E144)</f>
        <v>1.854791551702228</v>
      </c>
    </row>
    <row r="130" spans="1:11">
      <c r="A130">
        <v>50</v>
      </c>
      <c r="B130">
        <v>0</v>
      </c>
      <c r="C130">
        <f t="shared" si="13"/>
        <v>8.5611565736460268E-2</v>
      </c>
      <c r="D130">
        <f t="shared" si="14"/>
        <v>7.3293401878482579E-3</v>
      </c>
      <c r="E130">
        <f t="shared" si="15"/>
        <v>8.5611565736460268E-2</v>
      </c>
    </row>
    <row r="131" spans="1:11">
      <c r="A131">
        <v>60</v>
      </c>
      <c r="B131">
        <v>0</v>
      </c>
      <c r="C131">
        <f t="shared" si="13"/>
        <v>9.5026659334958657E-2</v>
      </c>
      <c r="D131">
        <f t="shared" si="14"/>
        <v>9.0300659843622847E-3</v>
      </c>
      <c r="E131">
        <f t="shared" si="15"/>
        <v>9.5026659334958657E-2</v>
      </c>
      <c r="J131" t="s">
        <v>209</v>
      </c>
      <c r="K131">
        <v>8</v>
      </c>
    </row>
    <row r="132" spans="1:11">
      <c r="A132">
        <v>70</v>
      </c>
      <c r="B132">
        <v>0</v>
      </c>
      <c r="C132">
        <f t="shared" si="13"/>
        <v>0.1054771736351571</v>
      </c>
      <c r="D132">
        <f t="shared" si="14"/>
        <v>1.112543415806108E-2</v>
      </c>
      <c r="E132">
        <f t="shared" si="15"/>
        <v>0.1054771736351571</v>
      </c>
      <c r="J132" t="s">
        <v>210</v>
      </c>
      <c r="K132">
        <v>0.28870000000000001</v>
      </c>
    </row>
    <row r="133" spans="1:11">
      <c r="A133">
        <v>80</v>
      </c>
      <c r="B133">
        <v>0</v>
      </c>
      <c r="C133">
        <f t="shared" si="13"/>
        <v>0.11707697856498492</v>
      </c>
      <c r="D133">
        <f t="shared" si="14"/>
        <v>1.3707018909905938E-2</v>
      </c>
      <c r="E133">
        <f t="shared" si="15"/>
        <v>0.11707697856498492</v>
      </c>
      <c r="J133" t="s">
        <v>12</v>
      </c>
      <c r="K133">
        <v>100</v>
      </c>
    </row>
    <row r="134" spans="1:11">
      <c r="A134">
        <v>115</v>
      </c>
      <c r="B134">
        <v>0.01</v>
      </c>
      <c r="C134">
        <f t="shared" si="13"/>
        <v>0.16868135580323809</v>
      </c>
      <c r="D134">
        <f t="shared" si="14"/>
        <v>2.517977267955384E-2</v>
      </c>
      <c r="E134">
        <f t="shared" si="15"/>
        <v>0.15868135580323808</v>
      </c>
      <c r="J134" t="s">
        <v>8</v>
      </c>
      <c r="K134">
        <v>8</v>
      </c>
    </row>
    <row r="135" spans="1:11">
      <c r="A135">
        <v>140</v>
      </c>
      <c r="B135">
        <v>0.08</v>
      </c>
      <c r="C135">
        <f t="shared" si="13"/>
        <v>0.21895236378378954</v>
      </c>
      <c r="D135">
        <f t="shared" si="14"/>
        <v>1.9307759401102593E-2</v>
      </c>
      <c r="E135">
        <f t="shared" si="15"/>
        <v>0.13895236378378956</v>
      </c>
      <c r="J135" t="s">
        <v>106</v>
      </c>
      <c r="K135">
        <v>19</v>
      </c>
    </row>
    <row r="136" spans="1:11">
      <c r="A136">
        <v>170</v>
      </c>
      <c r="B136">
        <v>0.3</v>
      </c>
      <c r="C136">
        <f t="shared" si="13"/>
        <v>0.29942544539341809</v>
      </c>
      <c r="D136">
        <f t="shared" si="14"/>
        <v>3.3011299594448271E-7</v>
      </c>
      <c r="E136">
        <f t="shared" si="15"/>
        <v>5.7455460658190072E-4</v>
      </c>
      <c r="J136" t="s">
        <v>107</v>
      </c>
      <c r="K136">
        <v>2</v>
      </c>
    </row>
    <row r="137" spans="1:11">
      <c r="A137">
        <v>195</v>
      </c>
      <c r="B137">
        <v>0.49</v>
      </c>
      <c r="C137">
        <f t="shared" si="13"/>
        <v>0.3886612645109197</v>
      </c>
      <c r="D137">
        <f t="shared" si="14"/>
        <v>1.0269539310525782E-2</v>
      </c>
      <c r="E137">
        <f t="shared" si="15"/>
        <v>0.10133873548908029</v>
      </c>
    </row>
    <row r="138" spans="1:11">
      <c r="A138">
        <v>210</v>
      </c>
      <c r="B138">
        <v>0.6</v>
      </c>
      <c r="C138">
        <f t="shared" si="13"/>
        <v>0.45450722610687949</v>
      </c>
      <c r="D138">
        <f t="shared" si="14"/>
        <v>2.1168147255114681E-2</v>
      </c>
      <c r="E138">
        <f t="shared" si="15"/>
        <v>0.14549277389312049</v>
      </c>
    </row>
    <row r="139" spans="1:11">
      <c r="A139">
        <v>230</v>
      </c>
      <c r="B139">
        <v>0.71</v>
      </c>
      <c r="C139">
        <f t="shared" si="13"/>
        <v>0.55997267651994553</v>
      </c>
      <c r="D139">
        <f t="shared" si="14"/>
        <v>2.250819779058889E-2</v>
      </c>
      <c r="E139">
        <f t="shared" si="15"/>
        <v>0.15002732348005443</v>
      </c>
    </row>
    <row r="140" spans="1:11">
      <c r="A140">
        <v>250</v>
      </c>
      <c r="B140">
        <v>0.8</v>
      </c>
      <c r="C140">
        <f t="shared" si="13"/>
        <v>0.68991069984699094</v>
      </c>
      <c r="D140">
        <f t="shared" si="14"/>
        <v>1.2119654008179331E-2</v>
      </c>
      <c r="E140">
        <f t="shared" si="15"/>
        <v>0.11008930015300911</v>
      </c>
    </row>
    <row r="141" spans="1:11">
      <c r="A141">
        <v>270</v>
      </c>
      <c r="B141">
        <v>0.85</v>
      </c>
      <c r="C141">
        <f t="shared" si="13"/>
        <v>0.84999999771669343</v>
      </c>
      <c r="D141">
        <f t="shared" si="14"/>
        <v>5.2134887731319807E-18</v>
      </c>
      <c r="E141">
        <f t="shared" si="15"/>
        <v>2.2833065438376821E-9</v>
      </c>
    </row>
    <row r="142" spans="1:11">
      <c r="A142">
        <v>285</v>
      </c>
      <c r="B142">
        <v>0.87</v>
      </c>
      <c r="C142">
        <f t="shared" si="13"/>
        <v>0.99400474508108294</v>
      </c>
      <c r="D142">
        <f t="shared" si="14"/>
        <v>1.5377176802624366E-2</v>
      </c>
      <c r="E142">
        <f t="shared" si="15"/>
        <v>0.12400474508108295</v>
      </c>
    </row>
    <row r="143" spans="1:11">
      <c r="A143">
        <v>300</v>
      </c>
      <c r="B143">
        <v>0.9</v>
      </c>
      <c r="C143">
        <f t="shared" si="13"/>
        <v>1.1624063951739285</v>
      </c>
      <c r="D143">
        <f t="shared" si="14"/>
        <v>6.8857116228175919E-2</v>
      </c>
      <c r="E143">
        <f t="shared" si="15"/>
        <v>0.2624063951739285</v>
      </c>
    </row>
    <row r="144" spans="1:11">
      <c r="D144">
        <f>SUM(D126:D143)</f>
        <v>0.25325796403861595</v>
      </c>
      <c r="E144">
        <f>SUM(E126:E143)</f>
        <v>1.854791551702228</v>
      </c>
    </row>
    <row r="150" spans="1:11" ht="16.8">
      <c r="A150" s="10" t="s">
        <v>145</v>
      </c>
    </row>
    <row r="151" spans="1:11">
      <c r="B151" t="s">
        <v>130</v>
      </c>
    </row>
    <row r="152" spans="1:11">
      <c r="A152" t="s">
        <v>29</v>
      </c>
      <c r="B152" t="s">
        <v>43</v>
      </c>
      <c r="C152" t="s">
        <v>99</v>
      </c>
      <c r="D152" t="s">
        <v>120</v>
      </c>
      <c r="E152" t="s">
        <v>119</v>
      </c>
    </row>
    <row r="153" spans="1:11">
      <c r="A153">
        <v>0</v>
      </c>
      <c r="B153">
        <v>0</v>
      </c>
      <c r="C153">
        <f>EXP((($K$153*$K$160*A153)/($K$154))-(($K$153*$K$158)/($K$159)))</f>
        <v>8.8416648237514995E-4</v>
      </c>
      <c r="D153">
        <f>(B153-C153)^2</f>
        <v>7.8175036855564634E-7</v>
      </c>
      <c r="E153">
        <f t="shared" ref="E153:E160" si="16">(B153-C$45)^2</f>
        <v>0</v>
      </c>
      <c r="J153" s="6" t="s">
        <v>207</v>
      </c>
      <c r="K153" s="6">
        <v>0.25372634734851401</v>
      </c>
    </row>
    <row r="154" spans="1:11">
      <c r="A154">
        <v>20</v>
      </c>
      <c r="B154">
        <v>0</v>
      </c>
      <c r="C154">
        <f t="shared" ref="C154:C170" si="17">EXP((($K$153*$K$160*A154)/($K$154))-(($K$153*$K$158)/($K$159)))</f>
        <v>1.4388972398052396E-3</v>
      </c>
      <c r="D154">
        <f t="shared" ref="D154:D170" si="18">(B154-C154)^2</f>
        <v>2.0704252667191374E-6</v>
      </c>
      <c r="E154">
        <f t="shared" si="16"/>
        <v>0</v>
      </c>
      <c r="J154" s="6" t="s">
        <v>208</v>
      </c>
      <c r="K154" s="6">
        <v>1042.0253065044101</v>
      </c>
    </row>
    <row r="155" spans="1:11">
      <c r="A155">
        <v>30</v>
      </c>
      <c r="B155">
        <v>0</v>
      </c>
      <c r="C155">
        <f t="shared" si="17"/>
        <v>1.835598294796971E-3</v>
      </c>
      <c r="D155">
        <f t="shared" si="18"/>
        <v>3.369421099861548E-6</v>
      </c>
      <c r="E155">
        <f t="shared" si="16"/>
        <v>0</v>
      </c>
    </row>
    <row r="156" spans="1:11">
      <c r="A156">
        <v>40</v>
      </c>
      <c r="B156">
        <v>0</v>
      </c>
      <c r="C156">
        <f t="shared" si="17"/>
        <v>2.3416690272598005E-3</v>
      </c>
      <c r="D156">
        <f t="shared" si="18"/>
        <v>5.4834138332278607E-6</v>
      </c>
      <c r="E156">
        <f t="shared" si="16"/>
        <v>0</v>
      </c>
      <c r="G156" s="6" t="s">
        <v>121</v>
      </c>
      <c r="H156" s="6">
        <f>(100)*(1/17)^(0.5)*(E171)^(0.5)</f>
        <v>45.338356901172524</v>
      </c>
    </row>
    <row r="157" spans="1:11">
      <c r="A157">
        <v>50</v>
      </c>
      <c r="B157">
        <v>0</v>
      </c>
      <c r="C157">
        <f t="shared" si="17"/>
        <v>2.9872624357794812E-3</v>
      </c>
      <c r="D157">
        <f t="shared" si="18"/>
        <v>8.9237368602191589E-6</v>
      </c>
      <c r="E157">
        <f t="shared" si="16"/>
        <v>0</v>
      </c>
    </row>
    <row r="158" spans="1:11">
      <c r="A158">
        <v>60</v>
      </c>
      <c r="B158">
        <v>0</v>
      </c>
      <c r="C158">
        <f t="shared" si="17"/>
        <v>3.8108446395866765E-3</v>
      </c>
      <c r="D158">
        <f t="shared" si="18"/>
        <v>1.4522536867066507E-5</v>
      </c>
      <c r="E158">
        <f t="shared" si="16"/>
        <v>0</v>
      </c>
      <c r="J158" t="s">
        <v>209</v>
      </c>
      <c r="K158">
        <v>8</v>
      </c>
    </row>
    <row r="159" spans="1:11">
      <c r="A159">
        <v>70</v>
      </c>
      <c r="B159">
        <v>0</v>
      </c>
      <c r="C159">
        <f t="shared" si="17"/>
        <v>4.8614867890832188E-3</v>
      </c>
      <c r="D159">
        <f t="shared" si="18"/>
        <v>2.3634053800430664E-5</v>
      </c>
      <c r="E159">
        <f t="shared" si="16"/>
        <v>0</v>
      </c>
      <c r="J159" t="s">
        <v>210</v>
      </c>
      <c r="K159">
        <v>0.28870000000000001</v>
      </c>
    </row>
    <row r="160" spans="1:11">
      <c r="A160">
        <v>80</v>
      </c>
      <c r="B160">
        <v>0</v>
      </c>
      <c r="C160">
        <f t="shared" si="17"/>
        <v>6.2017888514589335E-3</v>
      </c>
      <c r="D160">
        <f t="shared" si="18"/>
        <v>3.8462184958080317E-5</v>
      </c>
      <c r="E160">
        <f t="shared" si="16"/>
        <v>0</v>
      </c>
      <c r="J160" t="s">
        <v>12</v>
      </c>
      <c r="K160">
        <v>100</v>
      </c>
    </row>
    <row r="161" spans="1:11">
      <c r="A161">
        <v>115</v>
      </c>
      <c r="B161">
        <v>0.01</v>
      </c>
      <c r="C161">
        <f t="shared" si="17"/>
        <v>1.4542347133884736E-2</v>
      </c>
      <c r="D161">
        <f t="shared" si="18"/>
        <v>2.063291748471087E-5</v>
      </c>
      <c r="E161">
        <f>((B161-C161)/B161)^2</f>
        <v>0.20632917484710869</v>
      </c>
      <c r="J161" t="s">
        <v>8</v>
      </c>
      <c r="K161">
        <v>8</v>
      </c>
    </row>
    <row r="162" spans="1:11">
      <c r="A162">
        <v>140</v>
      </c>
      <c r="B162">
        <v>0.08</v>
      </c>
      <c r="C162">
        <f t="shared" si="17"/>
        <v>2.6730320897193668E-2</v>
      </c>
      <c r="D162">
        <f t="shared" si="18"/>
        <v>2.8376587117159616E-3</v>
      </c>
      <c r="E162">
        <f t="shared" ref="E162:E170" si="19">((B162-C162)/B162)^2</f>
        <v>0.44338417370561894</v>
      </c>
      <c r="J162" t="s">
        <v>106</v>
      </c>
      <c r="K162">
        <v>19</v>
      </c>
    </row>
    <row r="163" spans="1:11">
      <c r="A163">
        <v>170</v>
      </c>
      <c r="B163">
        <v>0.3</v>
      </c>
      <c r="C163">
        <f t="shared" si="17"/>
        <v>5.5494222452832004E-2</v>
      </c>
      <c r="D163">
        <f t="shared" si="18"/>
        <v>5.9783075253945196E-2</v>
      </c>
      <c r="E163">
        <f t="shared" si="19"/>
        <v>0.66425639171050221</v>
      </c>
      <c r="J163" t="s">
        <v>107</v>
      </c>
      <c r="K163">
        <v>2</v>
      </c>
    </row>
    <row r="164" spans="1:11">
      <c r="A164">
        <v>195</v>
      </c>
      <c r="B164">
        <v>0.49</v>
      </c>
      <c r="C164">
        <f t="shared" si="17"/>
        <v>0.10200405480956166</v>
      </c>
      <c r="D164">
        <f t="shared" si="18"/>
        <v>0.15054085348422164</v>
      </c>
      <c r="E164">
        <f t="shared" si="19"/>
        <v>0.62699230938867823</v>
      </c>
    </row>
    <row r="165" spans="1:11">
      <c r="A165">
        <v>210</v>
      </c>
      <c r="B165">
        <v>0.6</v>
      </c>
      <c r="C165">
        <f t="shared" si="17"/>
        <v>0.14697356719582716</v>
      </c>
      <c r="D165">
        <f t="shared" si="18"/>
        <v>0.2052329488192737</v>
      </c>
      <c r="E165">
        <f t="shared" si="19"/>
        <v>0.5700915244979825</v>
      </c>
    </row>
    <row r="166" spans="1:11">
      <c r="A166">
        <v>230</v>
      </c>
      <c r="B166">
        <v>0.71</v>
      </c>
      <c r="C166">
        <f t="shared" si="17"/>
        <v>0.23918556558975637</v>
      </c>
      <c r="D166">
        <f t="shared" si="18"/>
        <v>0.22166623164903759</v>
      </c>
      <c r="E166">
        <f t="shared" si="19"/>
        <v>0.43972670432262972</v>
      </c>
    </row>
    <row r="167" spans="1:11">
      <c r="A167">
        <v>250</v>
      </c>
      <c r="B167">
        <v>0.8</v>
      </c>
      <c r="C167">
        <f t="shared" si="17"/>
        <v>0.38925186261734779</v>
      </c>
      <c r="D167">
        <f t="shared" si="18"/>
        <v>0.16871403236331817</v>
      </c>
      <c r="E167">
        <f t="shared" si="19"/>
        <v>0.26361567556768467</v>
      </c>
    </row>
    <row r="168" spans="1:11">
      <c r="A168">
        <v>270</v>
      </c>
      <c r="B168">
        <v>0.85</v>
      </c>
      <c r="C168">
        <f t="shared" si="17"/>
        <v>0.63347055319781298</v>
      </c>
      <c r="D168">
        <f t="shared" si="18"/>
        <v>4.6885001332461131E-2</v>
      </c>
      <c r="E168">
        <f t="shared" si="19"/>
        <v>6.4892735408250704E-2</v>
      </c>
    </row>
    <row r="169" spans="1:11">
      <c r="A169">
        <v>285</v>
      </c>
      <c r="B169">
        <v>0.87</v>
      </c>
      <c r="C169">
        <f t="shared" si="17"/>
        <v>0.91274241098373698</v>
      </c>
      <c r="D169">
        <f t="shared" si="18"/>
        <v>1.8269136967026805E-3</v>
      </c>
      <c r="E169">
        <f t="shared" si="19"/>
        <v>2.4136790813881364E-3</v>
      </c>
    </row>
    <row r="170" spans="1:11">
      <c r="A170">
        <v>300</v>
      </c>
      <c r="B170">
        <v>0.9</v>
      </c>
      <c r="C170">
        <f t="shared" si="17"/>
        <v>1.3151340730880894</v>
      </c>
      <c r="D170">
        <f t="shared" si="18"/>
        <v>0.17233629863870711</v>
      </c>
      <c r="E170">
        <f t="shared" si="19"/>
        <v>0.21276086251692233</v>
      </c>
    </row>
    <row r="171" spans="1:11">
      <c r="D171" s="6">
        <f>SUM(D153:D170)</f>
        <v>1.029940894389922</v>
      </c>
      <c r="E171">
        <f>SUM(E153:E170)</f>
        <v>3.4944632310467663</v>
      </c>
    </row>
    <row r="177" spans="1:11" ht="16.8">
      <c r="A177" s="1" t="s">
        <v>133</v>
      </c>
    </row>
    <row r="178" spans="1:11">
      <c r="B178" t="s">
        <v>130</v>
      </c>
    </row>
    <row r="179" spans="1:11">
      <c r="A179" t="s">
        <v>29</v>
      </c>
      <c r="B179" t="s">
        <v>43</v>
      </c>
      <c r="C179" t="s">
        <v>99</v>
      </c>
      <c r="D179" t="s">
        <v>120</v>
      </c>
      <c r="E179" t="s">
        <v>119</v>
      </c>
    </row>
    <row r="180" spans="1:11">
      <c r="A180">
        <v>0</v>
      </c>
      <c r="B180">
        <v>0</v>
      </c>
      <c r="C180">
        <f>EXP((($K$180*$K$187*A180)/($K$181))-(($K$180*$K$185)/($K$186)))</f>
        <v>9.4944369502990775E-3</v>
      </c>
      <c r="D180">
        <f>(B180-C180)^2</f>
        <v>9.0144333003204448E-5</v>
      </c>
      <c r="E180">
        <f t="shared" ref="E180:E187" si="20">(B180-C$45)^2</f>
        <v>0</v>
      </c>
      <c r="J180" s="6" t="s">
        <v>207</v>
      </c>
      <c r="K180" s="6">
        <v>0.168061264306895</v>
      </c>
    </row>
    <row r="181" spans="1:11">
      <c r="A181">
        <v>20</v>
      </c>
      <c r="B181">
        <v>0</v>
      </c>
      <c r="C181">
        <f t="shared" ref="C181:C197" si="21">EXP((($K$180*$K$187*A181)/($K$181))-(($K$180*$K$185)/($K$186)))</f>
        <v>1.3108680680234894E-2</v>
      </c>
      <c r="D181">
        <f t="shared" ref="D181:D197" si="22">(B181-C181)^2</f>
        <v>1.7183750917636355E-4</v>
      </c>
      <c r="E181">
        <f t="shared" si="20"/>
        <v>0</v>
      </c>
      <c r="J181" s="6" t="s">
        <v>208</v>
      </c>
      <c r="K181" s="6">
        <v>1042.01869860236</v>
      </c>
    </row>
    <row r="182" spans="1:11">
      <c r="A182">
        <v>30</v>
      </c>
      <c r="B182">
        <v>0</v>
      </c>
      <c r="C182">
        <f t="shared" si="21"/>
        <v>1.5402948708924816E-2</v>
      </c>
      <c r="D182">
        <f t="shared" si="22"/>
        <v>2.3725082892976865E-4</v>
      </c>
      <c r="E182">
        <f t="shared" si="20"/>
        <v>0</v>
      </c>
    </row>
    <row r="183" spans="1:11">
      <c r="A183">
        <v>40</v>
      </c>
      <c r="B183">
        <v>0</v>
      </c>
      <c r="C183">
        <f t="shared" si="21"/>
        <v>1.8098757206550371E-2</v>
      </c>
      <c r="D183">
        <f t="shared" si="22"/>
        <v>3.2756501242165896E-4</v>
      </c>
      <c r="E183">
        <f t="shared" si="20"/>
        <v>0</v>
      </c>
      <c r="G183" s="6" t="s">
        <v>134</v>
      </c>
      <c r="H183" s="6">
        <f>(100/17)*(E198)</f>
        <v>5.9267378404050381</v>
      </c>
      <c r="J183" t="s">
        <v>104</v>
      </c>
      <c r="K183">
        <f>1-(D198/E198)</f>
        <v>0.51841257270663776</v>
      </c>
    </row>
    <row r="184" spans="1:11">
      <c r="A184">
        <v>50</v>
      </c>
      <c r="B184">
        <v>0</v>
      </c>
      <c r="C184">
        <f t="shared" si="21"/>
        <v>2.1266383379687569E-2</v>
      </c>
      <c r="D184">
        <f t="shared" si="22"/>
        <v>4.5225906205185166E-4</v>
      </c>
      <c r="E184">
        <f t="shared" si="20"/>
        <v>0</v>
      </c>
    </row>
    <row r="185" spans="1:11">
      <c r="A185">
        <v>60</v>
      </c>
      <c r="B185">
        <v>0</v>
      </c>
      <c r="C185">
        <f t="shared" si="21"/>
        <v>2.498840428049769E-2</v>
      </c>
      <c r="D185">
        <f t="shared" si="22"/>
        <v>6.2442034848559529E-4</v>
      </c>
      <c r="E185">
        <f t="shared" si="20"/>
        <v>0</v>
      </c>
      <c r="J185" t="s">
        <v>209</v>
      </c>
      <c r="K185">
        <v>8</v>
      </c>
    </row>
    <row r="186" spans="1:11">
      <c r="A186">
        <v>70</v>
      </c>
      <c r="B186">
        <v>0</v>
      </c>
      <c r="C186">
        <f t="shared" si="21"/>
        <v>2.9361849513256013E-2</v>
      </c>
      <c r="D186">
        <f t="shared" si="22"/>
        <v>8.6211820683909234E-4</v>
      </c>
      <c r="E186">
        <f t="shared" si="20"/>
        <v>0</v>
      </c>
      <c r="J186" t="s">
        <v>210</v>
      </c>
      <c r="K186">
        <v>0.28870000000000001</v>
      </c>
    </row>
    <row r="187" spans="1:11">
      <c r="A187">
        <v>80</v>
      </c>
      <c r="B187">
        <v>0</v>
      </c>
      <c r="C187">
        <f t="shared" si="21"/>
        <v>3.450073070539908E-2</v>
      </c>
      <c r="D187">
        <f t="shared" si="22"/>
        <v>1.1903004192064669E-3</v>
      </c>
      <c r="E187">
        <f t="shared" si="20"/>
        <v>0</v>
      </c>
      <c r="J187" t="s">
        <v>12</v>
      </c>
      <c r="K187">
        <v>100</v>
      </c>
    </row>
    <row r="188" spans="1:11">
      <c r="A188">
        <v>115</v>
      </c>
      <c r="B188">
        <v>0.01</v>
      </c>
      <c r="C188">
        <f t="shared" si="21"/>
        <v>6.0671591899388817E-2</v>
      </c>
      <c r="D188">
        <f t="shared" si="22"/>
        <v>2.5676102256182061E-3</v>
      </c>
      <c r="E188">
        <f>(B188-C188)^2/B188</f>
        <v>0.2567610225618206</v>
      </c>
      <c r="J188" t="s">
        <v>8</v>
      </c>
      <c r="K188">
        <v>8</v>
      </c>
    </row>
    <row r="189" spans="1:11">
      <c r="A189">
        <v>140</v>
      </c>
      <c r="B189">
        <v>0.08</v>
      </c>
      <c r="C189">
        <f t="shared" si="21"/>
        <v>9.0802457412910126E-2</v>
      </c>
      <c r="D189">
        <f t="shared" si="22"/>
        <v>1.166930861577369E-4</v>
      </c>
      <c r="E189">
        <f t="shared" ref="E189:E197" si="23">(B189-C189)^2/B189</f>
        <v>1.4586635769717113E-3</v>
      </c>
      <c r="J189" t="s">
        <v>106</v>
      </c>
      <c r="K189">
        <v>19</v>
      </c>
    </row>
    <row r="190" spans="1:11">
      <c r="A190">
        <v>170</v>
      </c>
      <c r="B190">
        <v>0.3</v>
      </c>
      <c r="C190">
        <f t="shared" si="21"/>
        <v>0.14731000916608622</v>
      </c>
      <c r="D190">
        <f t="shared" si="22"/>
        <v>2.331423330086067E-2</v>
      </c>
      <c r="E190">
        <f t="shared" si="23"/>
        <v>7.7714111002868902E-2</v>
      </c>
      <c r="J190" t="s">
        <v>107</v>
      </c>
      <c r="K190">
        <v>2</v>
      </c>
    </row>
    <row r="191" spans="1:11">
      <c r="A191">
        <v>195</v>
      </c>
      <c r="B191">
        <v>0.49</v>
      </c>
      <c r="C191">
        <f t="shared" si="21"/>
        <v>0.22046744473064817</v>
      </c>
      <c r="D191">
        <f t="shared" si="22"/>
        <v>7.2647798350026202E-2</v>
      </c>
      <c r="E191">
        <f t="shared" si="23"/>
        <v>0.14826081295923715</v>
      </c>
    </row>
    <row r="192" spans="1:11">
      <c r="A192">
        <v>210</v>
      </c>
      <c r="B192">
        <v>0.6</v>
      </c>
      <c r="C192">
        <f t="shared" si="21"/>
        <v>0.2808094997047425</v>
      </c>
      <c r="D192">
        <f t="shared" si="22"/>
        <v>0.10188257547873676</v>
      </c>
      <c r="E192">
        <f t="shared" si="23"/>
        <v>0.16980429246456127</v>
      </c>
    </row>
    <row r="193" spans="1:13">
      <c r="A193">
        <v>230</v>
      </c>
      <c r="B193">
        <v>0.71</v>
      </c>
      <c r="C193">
        <f t="shared" si="21"/>
        <v>0.38770514595813166</v>
      </c>
      <c r="D193">
        <f t="shared" si="22"/>
        <v>0.10387397294186919</v>
      </c>
      <c r="E193">
        <f t="shared" si="23"/>
        <v>0.14630137034066085</v>
      </c>
    </row>
    <row r="194" spans="1:13">
      <c r="A194">
        <v>250</v>
      </c>
      <c r="B194">
        <v>0.8</v>
      </c>
      <c r="C194">
        <f t="shared" si="21"/>
        <v>0.53529271752011753</v>
      </c>
      <c r="D194">
        <f t="shared" si="22"/>
        <v>7.0069945397884317E-2</v>
      </c>
      <c r="E194">
        <f t="shared" si="23"/>
        <v>8.7587431747355393E-2</v>
      </c>
    </row>
    <row r="195" spans="1:13">
      <c r="A195">
        <v>270</v>
      </c>
      <c r="B195">
        <v>0.85</v>
      </c>
      <c r="C195">
        <f t="shared" si="21"/>
        <v>0.73906239423764475</v>
      </c>
      <c r="D195">
        <f t="shared" si="22"/>
        <v>1.2307152372283752E-2</v>
      </c>
      <c r="E195">
        <f t="shared" si="23"/>
        <v>1.4479002790922062E-2</v>
      </c>
    </row>
    <row r="196" spans="1:13">
      <c r="A196">
        <v>285</v>
      </c>
      <c r="B196">
        <v>0.87</v>
      </c>
      <c r="C196">
        <f t="shared" si="21"/>
        <v>0.94134415822714768</v>
      </c>
      <c r="D196">
        <f t="shared" si="22"/>
        <v>5.089988913140284E-3</v>
      </c>
      <c r="E196">
        <f t="shared" si="23"/>
        <v>5.850561969126763E-3</v>
      </c>
    </row>
    <row r="197" spans="1:13">
      <c r="A197">
        <v>300</v>
      </c>
      <c r="B197">
        <v>0.9</v>
      </c>
      <c r="C197">
        <f t="shared" si="21"/>
        <v>1.1989905468569173</v>
      </c>
      <c r="D197">
        <f t="shared" si="22"/>
        <v>8.9395347109798448E-2</v>
      </c>
      <c r="E197">
        <f t="shared" si="23"/>
        <v>9.9328163455331603E-2</v>
      </c>
    </row>
    <row r="198" spans="1:13">
      <c r="D198" s="6">
        <f>SUM(D180:D197)</f>
        <v>0.48522121289648956</v>
      </c>
      <c r="E198">
        <f>SUM(E180:E197)</f>
        <v>1.0075454328688564</v>
      </c>
    </row>
    <row r="206" spans="1:13" ht="16.8">
      <c r="A206" s="17" t="s">
        <v>177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 spans="1:13">
      <c r="A207" s="18"/>
      <c r="B207" s="18" t="s">
        <v>171</v>
      </c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1:13">
      <c r="A208" s="18" t="s">
        <v>29</v>
      </c>
      <c r="B208" s="18" t="s">
        <v>43</v>
      </c>
      <c r="C208" s="18" t="s">
        <v>99</v>
      </c>
      <c r="D208" s="18" t="s">
        <v>120</v>
      </c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1:13">
      <c r="A209" s="18">
        <v>0</v>
      </c>
      <c r="B209" s="18">
        <v>0</v>
      </c>
      <c r="C209" s="18">
        <f>EXP((K$209*K$217*A209/$K$210)-($K$209*$K$214/$K$215))</f>
        <v>5.662849675188251E-3</v>
      </c>
      <c r="D209" s="18">
        <f>(B209-C209)^2</f>
        <v>3.2067866443779682E-5</v>
      </c>
      <c r="E209" s="18"/>
      <c r="F209" s="18"/>
      <c r="G209" s="18"/>
      <c r="H209" s="18"/>
      <c r="I209" s="18"/>
      <c r="J209" s="18" t="s">
        <v>207</v>
      </c>
      <c r="K209" s="18">
        <v>0.12447367953039599</v>
      </c>
      <c r="L209" s="18"/>
      <c r="M209" s="18"/>
    </row>
    <row r="210" spans="1:13">
      <c r="A210" s="18">
        <v>20</v>
      </c>
      <c r="B210" s="18">
        <v>0</v>
      </c>
      <c r="C210" s="18">
        <f t="shared" ref="C210:C230" si="24">EXP((K$209*K$217*A210/$K$210)-($K$209*$K$214/$K$215))</f>
        <v>7.4374212630676844E-3</v>
      </c>
      <c r="D210" s="18">
        <f t="shared" ref="D210:D230" si="25">(B210-C210)^2</f>
        <v>5.531523504433131E-5</v>
      </c>
      <c r="E210" s="18"/>
      <c r="F210" s="18"/>
      <c r="G210" s="18"/>
      <c r="H210" s="18"/>
      <c r="I210" s="18"/>
      <c r="J210" s="18" t="s">
        <v>208</v>
      </c>
      <c r="K210" s="18">
        <v>913.24340121999705</v>
      </c>
      <c r="L210" s="18"/>
      <c r="M210" s="18"/>
    </row>
    <row r="211" spans="1:13">
      <c r="A211" s="18">
        <v>30</v>
      </c>
      <c r="B211" s="18">
        <v>0</v>
      </c>
      <c r="C211" s="18">
        <f t="shared" si="24"/>
        <v>8.5234625056296327E-3</v>
      </c>
      <c r="D211" s="18">
        <f t="shared" si="25"/>
        <v>7.264941308487417E-5</v>
      </c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>
      <c r="A212" s="18">
        <v>40</v>
      </c>
      <c r="B212" s="18">
        <v>0</v>
      </c>
      <c r="C212" s="18">
        <f t="shared" si="24"/>
        <v>9.768091723623664E-3</v>
      </c>
      <c r="D212" s="18">
        <f t="shared" si="25"/>
        <v>9.5415615921125117E-5</v>
      </c>
      <c r="E212" s="18"/>
      <c r="F212" s="18" t="s">
        <v>100</v>
      </c>
      <c r="G212" s="18">
        <f>(D231)</f>
        <v>7.7865463820958061E-2</v>
      </c>
      <c r="H212" s="18"/>
      <c r="I212" s="18"/>
      <c r="J212" s="18"/>
      <c r="K212" s="18"/>
      <c r="L212" s="18"/>
      <c r="M212" s="18"/>
    </row>
    <row r="213" spans="1:13">
      <c r="A213" s="18">
        <v>50</v>
      </c>
      <c r="B213" s="18">
        <v>0</v>
      </c>
      <c r="C213" s="18">
        <f t="shared" si="24"/>
        <v>1.1194466551369759E-2</v>
      </c>
      <c r="D213" s="18">
        <f t="shared" si="25"/>
        <v>1.2531608136973635E-4</v>
      </c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>
      <c r="A214" s="18">
        <v>60</v>
      </c>
      <c r="B214" s="18">
        <v>0</v>
      </c>
      <c r="C214" s="18">
        <f t="shared" si="24"/>
        <v>1.2829126191215557E-2</v>
      </c>
      <c r="D214" s="18">
        <f t="shared" si="25"/>
        <v>1.6458647883013297E-4</v>
      </c>
      <c r="E214" s="18"/>
      <c r="F214" s="18"/>
      <c r="G214" s="18"/>
      <c r="H214" s="18"/>
      <c r="I214" s="18"/>
      <c r="J214" s="18" t="s">
        <v>209</v>
      </c>
      <c r="K214" s="18">
        <v>12</v>
      </c>
      <c r="L214" s="18"/>
      <c r="M214" s="18"/>
    </row>
    <row r="215" spans="1:13">
      <c r="A215" s="18">
        <v>80</v>
      </c>
      <c r="B215" s="18">
        <v>0</v>
      </c>
      <c r="C215" s="18">
        <f t="shared" si="24"/>
        <v>1.6849399400303382E-2</v>
      </c>
      <c r="D215" s="18">
        <f t="shared" si="25"/>
        <v>2.8390226015094397E-4</v>
      </c>
      <c r="E215" s="18"/>
      <c r="F215" s="18"/>
      <c r="G215" s="18"/>
      <c r="H215" s="18"/>
      <c r="I215" s="18"/>
      <c r="J215" s="18" t="s">
        <v>210</v>
      </c>
      <c r="K215" s="18">
        <v>0.28870000000000001</v>
      </c>
      <c r="L215" s="18"/>
      <c r="M215" s="18"/>
    </row>
    <row r="216" spans="1:13">
      <c r="A216" s="18">
        <v>100</v>
      </c>
      <c r="B216" s="18">
        <v>0</v>
      </c>
      <c r="C216" s="18">
        <f t="shared" si="24"/>
        <v>2.2129508738119637E-2</v>
      </c>
      <c r="D216" s="18">
        <f t="shared" si="25"/>
        <v>4.8971515699051341E-4</v>
      </c>
      <c r="E216" s="18"/>
      <c r="F216" s="18"/>
      <c r="G216" s="18"/>
      <c r="H216" s="18"/>
      <c r="I216" s="18"/>
      <c r="J216" s="18" t="s">
        <v>8</v>
      </c>
      <c r="K216" s="18">
        <v>8</v>
      </c>
      <c r="L216" s="18"/>
      <c r="M216" s="18"/>
    </row>
    <row r="217" spans="1:13">
      <c r="A217" s="18">
        <v>140</v>
      </c>
      <c r="B217" s="18">
        <v>0</v>
      </c>
      <c r="C217" s="18">
        <f t="shared" si="24"/>
        <v>3.8172136565765014E-2</v>
      </c>
      <c r="D217" s="18">
        <f t="shared" si="25"/>
        <v>1.4571120099954144E-3</v>
      </c>
      <c r="E217" s="18"/>
      <c r="F217" s="18"/>
      <c r="G217" s="18"/>
      <c r="H217" s="18"/>
      <c r="I217" s="18"/>
      <c r="J217" s="18" t="s">
        <v>12</v>
      </c>
      <c r="K217" s="18">
        <v>100</v>
      </c>
      <c r="L217" s="18"/>
      <c r="M217" s="18"/>
    </row>
    <row r="218" spans="1:13">
      <c r="A218" s="18">
        <v>180</v>
      </c>
      <c r="B218" s="18">
        <v>0</v>
      </c>
      <c r="C218" s="18">
        <f t="shared" si="24"/>
        <v>6.5844751785449102E-2</v>
      </c>
      <c r="D218" s="18">
        <f t="shared" si="25"/>
        <v>4.3355313376874025E-3</v>
      </c>
      <c r="E218" s="18"/>
      <c r="F218" s="18"/>
      <c r="G218" s="18"/>
      <c r="H218" s="18"/>
      <c r="I218" s="18"/>
      <c r="J218" s="18" t="s">
        <v>106</v>
      </c>
      <c r="K218" s="18">
        <v>23</v>
      </c>
      <c r="L218" s="18"/>
      <c r="M218" s="18"/>
    </row>
    <row r="219" spans="1:13">
      <c r="A219" s="18">
        <v>230</v>
      </c>
      <c r="B219" s="18">
        <v>0.02</v>
      </c>
      <c r="C219" s="18">
        <f t="shared" si="24"/>
        <v>0.1301635949608623</v>
      </c>
      <c r="D219" s="18">
        <f t="shared" si="25"/>
        <v>1.2136017654700924E-2</v>
      </c>
      <c r="E219" s="18"/>
      <c r="F219" s="18"/>
      <c r="G219" s="18"/>
      <c r="H219" s="18"/>
      <c r="I219" s="18"/>
      <c r="J219" s="18" t="s">
        <v>107</v>
      </c>
      <c r="K219" s="18">
        <v>2</v>
      </c>
      <c r="L219" s="18"/>
      <c r="M219" s="18"/>
    </row>
    <row r="220" spans="1:13">
      <c r="A220" s="18">
        <v>255</v>
      </c>
      <c r="B220" s="18">
        <v>0.08</v>
      </c>
      <c r="C220" s="18">
        <f t="shared" si="24"/>
        <v>0.18300953592873626</v>
      </c>
      <c r="D220" s="18">
        <f t="shared" si="25"/>
        <v>1.0610964492253605E-2</v>
      </c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>
      <c r="A221" s="18">
        <v>280</v>
      </c>
      <c r="B221" s="18">
        <v>0.21</v>
      </c>
      <c r="C221" s="18">
        <f t="shared" si="24"/>
        <v>0.25731073462531484</v>
      </c>
      <c r="D221" s="18">
        <f t="shared" si="25"/>
        <v>2.2383056107869652E-3</v>
      </c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>
      <c r="A222" s="18">
        <v>293</v>
      </c>
      <c r="B222" s="18">
        <v>0.3</v>
      </c>
      <c r="C222" s="18">
        <f t="shared" si="24"/>
        <v>0.30719184398844618</v>
      </c>
      <c r="D222" s="18">
        <f t="shared" si="25"/>
        <v>5.1722619954149591E-5</v>
      </c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>
      <c r="A223" s="18">
        <v>300</v>
      </c>
      <c r="B223" s="18">
        <v>0.35</v>
      </c>
      <c r="C223" s="18">
        <f t="shared" si="24"/>
        <v>0.33794439878968963</v>
      </c>
      <c r="D223" s="18">
        <f t="shared" si="25"/>
        <v>1.4533752054203642E-4</v>
      </c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>
      <c r="A224" s="18">
        <v>315</v>
      </c>
      <c r="B224" s="18">
        <v>0.49</v>
      </c>
      <c r="C224" s="18">
        <f t="shared" si="24"/>
        <v>0.41460617273890543</v>
      </c>
      <c r="D224" s="18">
        <f t="shared" si="25"/>
        <v>5.6842291890757653E-3</v>
      </c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>
      <c r="A225" s="18">
        <v>337</v>
      </c>
      <c r="B225" s="18">
        <v>0.68</v>
      </c>
      <c r="C225" s="18">
        <f t="shared" si="24"/>
        <v>0.55957956513867757</v>
      </c>
      <c r="D225" s="18">
        <f t="shared" si="25"/>
        <v>1.450108113219001E-2</v>
      </c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>
      <c r="A226" s="18">
        <v>354</v>
      </c>
      <c r="B226" s="18">
        <v>0.8</v>
      </c>
      <c r="C226" s="18">
        <f t="shared" si="24"/>
        <v>0.70549037363834044</v>
      </c>
      <c r="D226" s="18">
        <f t="shared" si="25"/>
        <v>8.9320694750205046E-3</v>
      </c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>
      <c r="A227" s="18">
        <v>362</v>
      </c>
      <c r="B227" s="18">
        <v>0.84</v>
      </c>
      <c r="C227" s="18">
        <f t="shared" si="24"/>
        <v>0.78676681111969637</v>
      </c>
      <c r="D227" s="18">
        <f t="shared" si="25"/>
        <v>2.8337723983660784E-3</v>
      </c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>
      <c r="A228" s="18">
        <v>370</v>
      </c>
      <c r="B228" s="18">
        <v>0.87</v>
      </c>
      <c r="C228" s="18">
        <f t="shared" si="24"/>
        <v>0.87740674885066339</v>
      </c>
      <c r="D228" s="18">
        <f t="shared" si="25"/>
        <v>5.4859928536803474E-5</v>
      </c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>
      <c r="A229" s="18">
        <v>375</v>
      </c>
      <c r="B229" s="18">
        <v>0.89</v>
      </c>
      <c r="C229" s="18">
        <f t="shared" si="24"/>
        <v>0.93928590988909066</v>
      </c>
      <c r="D229" s="18">
        <f t="shared" si="25"/>
        <v>2.4291009135955638E-3</v>
      </c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>
      <c r="A230" s="18">
        <v>380</v>
      </c>
      <c r="B230" s="18">
        <v>0.9</v>
      </c>
      <c r="C230" s="18">
        <f t="shared" si="24"/>
        <v>1.0055291022913462</v>
      </c>
      <c r="D230" s="18">
        <f t="shared" si="25"/>
        <v>1.11363914304174E-2</v>
      </c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>
      <c r="A231" s="18"/>
      <c r="B231" s="18"/>
      <c r="C231" s="18"/>
      <c r="D231" s="18">
        <f>SUM(D209:D230)</f>
        <v>7.7865463820958061E-2</v>
      </c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6.8">
      <c r="A240" s="17" t="s">
        <v>184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>
      <c r="A241" s="18"/>
      <c r="B241" s="18" t="s">
        <v>171</v>
      </c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>
      <c r="A242" s="18" t="s">
        <v>29</v>
      </c>
      <c r="B242" s="18" t="s">
        <v>43</v>
      </c>
      <c r="C242" s="18" t="s">
        <v>99</v>
      </c>
      <c r="D242" s="18" t="s">
        <v>120</v>
      </c>
      <c r="E242" s="18" t="s">
        <v>137</v>
      </c>
      <c r="F242" s="18"/>
      <c r="G242" s="18"/>
      <c r="H242" s="18"/>
      <c r="I242" s="18"/>
      <c r="J242" s="18"/>
      <c r="K242" s="18"/>
      <c r="L242" s="18"/>
      <c r="M242" s="18"/>
    </row>
    <row r="243" spans="1:13">
      <c r="A243" s="18">
        <v>0</v>
      </c>
      <c r="B243" s="18">
        <v>0</v>
      </c>
      <c r="C243" s="18">
        <f>EXP((($K$243*$K$251*A243)/($K$244))-(($K$243*$K$248)/($K$249)))</f>
        <v>5.2190992333097496E-3</v>
      </c>
      <c r="D243" s="18">
        <f>(B243-C243)^2</f>
        <v>2.7238996807134416E-5</v>
      </c>
      <c r="E243" s="18">
        <f>ABS(B243-C243)</f>
        <v>5.2190992333097496E-3</v>
      </c>
      <c r="F243" s="18"/>
      <c r="G243" s="18"/>
      <c r="H243" s="18"/>
      <c r="I243" s="18"/>
      <c r="J243" s="18" t="s">
        <v>207</v>
      </c>
      <c r="K243" s="18">
        <v>0.126436897639921</v>
      </c>
      <c r="L243" s="18"/>
      <c r="M243" s="18"/>
    </row>
    <row r="244" spans="1:13">
      <c r="A244" s="18">
        <v>20</v>
      </c>
      <c r="B244" s="18">
        <v>0</v>
      </c>
      <c r="C244" s="18">
        <f t="shared" ref="C244:C264" si="26">EXP((($K$243*$K$251*A244)/($K$244))-(($K$243*$K$248)/($K$249)))</f>
        <v>6.8817602560191735E-3</v>
      </c>
      <c r="D244" s="18">
        <f t="shared" ref="D244:D264" si="27">(B244-C244)^2</f>
        <v>4.7358624221325084E-5</v>
      </c>
      <c r="E244" s="18">
        <f t="shared" ref="E244:E264" si="28">ABS(B244-C244)</f>
        <v>6.8817602560191735E-3</v>
      </c>
      <c r="F244" s="18"/>
      <c r="G244" s="18"/>
      <c r="H244" s="18"/>
      <c r="I244" s="18"/>
      <c r="J244" s="18" t="s">
        <v>208</v>
      </c>
      <c r="K244" s="18">
        <v>914.38843158774296</v>
      </c>
      <c r="L244" s="18"/>
      <c r="M244" s="18"/>
    </row>
    <row r="245" spans="1:13">
      <c r="A245" s="18">
        <v>30</v>
      </c>
      <c r="B245" s="18">
        <v>0</v>
      </c>
      <c r="C245" s="18">
        <f t="shared" si="26"/>
        <v>7.9022639345482926E-3</v>
      </c>
      <c r="D245" s="18">
        <f t="shared" si="27"/>
        <v>6.2445775291262656E-5</v>
      </c>
      <c r="E245" s="18">
        <f t="shared" si="28"/>
        <v>7.9022639345482926E-3</v>
      </c>
      <c r="F245" s="18"/>
      <c r="G245" s="18"/>
      <c r="H245" s="18"/>
      <c r="I245" s="18"/>
      <c r="J245" s="18"/>
      <c r="K245" s="18"/>
      <c r="L245" s="18"/>
      <c r="M245" s="18"/>
    </row>
    <row r="246" spans="1:13">
      <c r="A246" s="18">
        <v>40</v>
      </c>
      <c r="B246" s="18">
        <v>0</v>
      </c>
      <c r="C246" s="18">
        <f t="shared" si="26"/>
        <v>9.0740992083593857E-3</v>
      </c>
      <c r="D246" s="18">
        <f t="shared" si="27"/>
        <v>8.2339276443148428E-5</v>
      </c>
      <c r="E246" s="18">
        <f t="shared" si="28"/>
        <v>9.0740992083593857E-3</v>
      </c>
      <c r="F246" s="18"/>
      <c r="G246" s="18"/>
      <c r="H246" s="18"/>
      <c r="I246" s="18"/>
      <c r="J246" s="18"/>
      <c r="K246" s="18"/>
      <c r="L246" s="18"/>
      <c r="M246" s="18"/>
    </row>
    <row r="247" spans="1:13">
      <c r="A247" s="18">
        <v>50</v>
      </c>
      <c r="B247" s="18">
        <v>0</v>
      </c>
      <c r="C247" s="18">
        <f t="shared" si="26"/>
        <v>1.041970720354775E-2</v>
      </c>
      <c r="D247" s="18">
        <f t="shared" si="27"/>
        <v>1.0857029820766487E-4</v>
      </c>
      <c r="E247" s="18">
        <f t="shared" si="28"/>
        <v>1.041970720354775E-2</v>
      </c>
      <c r="F247" s="18"/>
      <c r="G247" s="18" t="s">
        <v>132</v>
      </c>
      <c r="H247" s="18">
        <f>(E265)</f>
        <v>0.96733662646198837</v>
      </c>
      <c r="I247" s="18"/>
      <c r="J247" s="18"/>
      <c r="K247" s="18"/>
      <c r="L247" s="18"/>
      <c r="M247" s="18"/>
    </row>
    <row r="248" spans="1:13">
      <c r="A248" s="18">
        <v>60</v>
      </c>
      <c r="B248" s="18">
        <v>0</v>
      </c>
      <c r="C248" s="18">
        <f t="shared" si="26"/>
        <v>1.1964856865092022E-2</v>
      </c>
      <c r="D248" s="18">
        <f t="shared" si="27"/>
        <v>1.4315779980213968E-4</v>
      </c>
      <c r="E248" s="18">
        <f t="shared" si="28"/>
        <v>1.1964856865092022E-2</v>
      </c>
      <c r="F248" s="18"/>
      <c r="G248" s="18"/>
      <c r="H248" s="18"/>
      <c r="I248" s="18"/>
      <c r="J248" s="18" t="s">
        <v>209</v>
      </c>
      <c r="K248" s="18">
        <v>12</v>
      </c>
      <c r="L248" s="18"/>
      <c r="M248" s="18"/>
    </row>
    <row r="249" spans="1:13">
      <c r="A249" s="18">
        <v>80</v>
      </c>
      <c r="B249" s="18">
        <v>0</v>
      </c>
      <c r="C249" s="18">
        <f t="shared" si="26"/>
        <v>1.5776530156322029E-2</v>
      </c>
      <c r="D249" s="18">
        <f t="shared" si="27"/>
        <v>2.488989037733384E-4</v>
      </c>
      <c r="E249" s="18">
        <f t="shared" si="28"/>
        <v>1.5776530156322029E-2</v>
      </c>
      <c r="F249" s="18"/>
      <c r="G249" s="18"/>
      <c r="H249" s="18"/>
      <c r="I249" s="18"/>
      <c r="J249" s="18" t="s">
        <v>210</v>
      </c>
      <c r="K249" s="18">
        <v>0.28870000000000001</v>
      </c>
      <c r="L249" s="18"/>
      <c r="M249" s="18"/>
    </row>
    <row r="250" spans="1:13">
      <c r="A250" s="18">
        <v>100</v>
      </c>
      <c r="B250" s="18">
        <v>0</v>
      </c>
      <c r="C250" s="18">
        <f t="shared" si="26"/>
        <v>2.0802497395477539E-2</v>
      </c>
      <c r="D250" s="18">
        <f t="shared" si="27"/>
        <v>4.3274389788884978E-4</v>
      </c>
      <c r="E250" s="18">
        <f t="shared" si="28"/>
        <v>2.0802497395477539E-2</v>
      </c>
      <c r="F250" s="18"/>
      <c r="G250" s="18"/>
      <c r="H250" s="18"/>
      <c r="I250" s="18"/>
      <c r="J250" s="18" t="s">
        <v>8</v>
      </c>
      <c r="K250" s="18">
        <v>8</v>
      </c>
      <c r="L250" s="18"/>
      <c r="M250" s="18"/>
    </row>
    <row r="251" spans="1:13">
      <c r="A251" s="18">
        <v>140</v>
      </c>
      <c r="B251" s="18">
        <v>0</v>
      </c>
      <c r="C251" s="18">
        <f t="shared" si="26"/>
        <v>3.6167912643518409E-2</v>
      </c>
      <c r="D251" s="18">
        <f t="shared" si="27"/>
        <v>1.3081179049891788E-3</v>
      </c>
      <c r="E251" s="18">
        <f t="shared" si="28"/>
        <v>3.6167912643518409E-2</v>
      </c>
      <c r="F251" s="18"/>
      <c r="G251" s="18"/>
      <c r="H251" s="18"/>
      <c r="I251" s="18"/>
      <c r="J251" s="18" t="s">
        <v>12</v>
      </c>
      <c r="K251" s="18">
        <v>100</v>
      </c>
      <c r="L251" s="18"/>
      <c r="M251" s="18"/>
    </row>
    <row r="252" spans="1:13">
      <c r="A252" s="18">
        <v>180</v>
      </c>
      <c r="B252" s="18">
        <v>0</v>
      </c>
      <c r="C252" s="18">
        <f t="shared" si="26"/>
        <v>6.2882733746841543E-2</v>
      </c>
      <c r="D252" s="18">
        <f t="shared" si="27"/>
        <v>3.9542382034761644E-3</v>
      </c>
      <c r="E252" s="18">
        <f t="shared" si="28"/>
        <v>6.2882733746841543E-2</v>
      </c>
      <c r="F252" s="18"/>
      <c r="G252" s="18"/>
      <c r="H252" s="18"/>
      <c r="I252" s="18"/>
      <c r="J252" s="18" t="s">
        <v>106</v>
      </c>
      <c r="K252" s="18">
        <v>23</v>
      </c>
      <c r="L252" s="18"/>
      <c r="M252" s="18"/>
    </row>
    <row r="253" spans="1:13">
      <c r="A253" s="18">
        <v>230</v>
      </c>
      <c r="B253" s="18">
        <v>0.02</v>
      </c>
      <c r="C253" s="18">
        <f t="shared" si="26"/>
        <v>0.1255426740344282</v>
      </c>
      <c r="D253" s="18">
        <f t="shared" si="27"/>
        <v>1.1139256042337564E-2</v>
      </c>
      <c r="E253" s="18">
        <f t="shared" si="28"/>
        <v>0.1055426740344282</v>
      </c>
      <c r="F253" s="18"/>
      <c r="G253" s="18"/>
      <c r="H253" s="18"/>
      <c r="I253" s="18"/>
      <c r="J253" s="18" t="s">
        <v>107</v>
      </c>
      <c r="K253" s="18">
        <v>2</v>
      </c>
      <c r="L253" s="18"/>
      <c r="M253" s="18"/>
    </row>
    <row r="254" spans="1:13">
      <c r="A254" s="18">
        <v>255</v>
      </c>
      <c r="B254" s="18">
        <v>0.08</v>
      </c>
      <c r="C254" s="18">
        <f t="shared" si="26"/>
        <v>0.1773868228819501</v>
      </c>
      <c r="D254" s="18">
        <f t="shared" si="27"/>
        <v>9.4841932710403188E-3</v>
      </c>
      <c r="E254" s="18">
        <f t="shared" si="28"/>
        <v>9.7386822881950094E-2</v>
      </c>
      <c r="F254" s="18"/>
      <c r="G254" s="18"/>
      <c r="H254" s="18"/>
      <c r="I254" s="18"/>
      <c r="J254" s="18"/>
      <c r="K254" s="18"/>
      <c r="L254" s="18"/>
      <c r="M254" s="18"/>
    </row>
    <row r="255" spans="1:13">
      <c r="A255" s="18">
        <v>280</v>
      </c>
      <c r="B255" s="18">
        <v>0.21</v>
      </c>
      <c r="C255" s="18">
        <f t="shared" si="26"/>
        <v>0.25064055050733747</v>
      </c>
      <c r="D255" s="18">
        <f t="shared" si="27"/>
        <v>1.6516543455394484E-3</v>
      </c>
      <c r="E255" s="18">
        <f t="shared" si="28"/>
        <v>4.0640550507337475E-2</v>
      </c>
      <c r="F255" s="18"/>
      <c r="G255" s="18"/>
      <c r="H255" s="18"/>
      <c r="I255" s="18"/>
      <c r="J255" s="18"/>
      <c r="K255" s="18"/>
      <c r="L255" s="18"/>
      <c r="M255" s="18"/>
    </row>
    <row r="256" spans="1:13">
      <c r="A256" s="18">
        <v>293</v>
      </c>
      <c r="B256" s="18">
        <v>0.3</v>
      </c>
      <c r="C256" s="18">
        <f t="shared" si="26"/>
        <v>0.29999839111179954</v>
      </c>
      <c r="D256" s="18">
        <f t="shared" si="27"/>
        <v>2.5885212415276566E-12</v>
      </c>
      <c r="E256" s="18">
        <f t="shared" si="28"/>
        <v>1.6088882004439142E-6</v>
      </c>
      <c r="F256" s="18"/>
      <c r="G256" s="18"/>
      <c r="H256" s="18"/>
      <c r="I256" s="18"/>
      <c r="J256" s="18"/>
      <c r="K256" s="18"/>
      <c r="L256" s="18"/>
      <c r="M256" s="18"/>
    </row>
    <row r="257" spans="1:13">
      <c r="A257" s="18">
        <v>300</v>
      </c>
      <c r="B257" s="18">
        <v>0.35</v>
      </c>
      <c r="C257" s="18">
        <f t="shared" si="26"/>
        <v>0.33048771481862205</v>
      </c>
      <c r="D257" s="18">
        <f t="shared" si="27"/>
        <v>3.8072927299942076E-4</v>
      </c>
      <c r="E257" s="18">
        <f t="shared" si="28"/>
        <v>1.9512285181377931E-2</v>
      </c>
      <c r="F257" s="18"/>
      <c r="G257" s="18"/>
      <c r="H257" s="18"/>
      <c r="I257" s="18"/>
      <c r="J257" s="18"/>
      <c r="K257" s="18"/>
      <c r="L257" s="18"/>
      <c r="M257" s="18"/>
    </row>
    <row r="258" spans="1:13">
      <c r="A258" s="18">
        <v>315</v>
      </c>
      <c r="B258" s="18">
        <v>0.49</v>
      </c>
      <c r="C258" s="18">
        <f t="shared" si="26"/>
        <v>0.40666173426827423</v>
      </c>
      <c r="D258" s="18">
        <f t="shared" si="27"/>
        <v>6.9452665351717362E-3</v>
      </c>
      <c r="E258" s="18">
        <f t="shared" si="28"/>
        <v>8.3338265731725758E-2</v>
      </c>
      <c r="F258" s="18"/>
      <c r="G258" s="18"/>
      <c r="H258" s="18"/>
      <c r="I258" s="18"/>
      <c r="J258" s="18"/>
      <c r="K258" s="18"/>
      <c r="L258" s="18"/>
      <c r="M258" s="18"/>
    </row>
    <row r="259" spans="1:13">
      <c r="A259" s="18">
        <v>337</v>
      </c>
      <c r="B259" s="18">
        <v>0.68</v>
      </c>
      <c r="C259" s="18">
        <f t="shared" si="26"/>
        <v>0.55124884338613322</v>
      </c>
      <c r="D259" s="18">
        <f t="shared" si="27"/>
        <v>1.6576860329408461E-2</v>
      </c>
      <c r="E259" s="18">
        <f t="shared" si="28"/>
        <v>0.12875115661386682</v>
      </c>
      <c r="F259" s="18"/>
      <c r="G259" s="18"/>
      <c r="H259" s="18"/>
      <c r="I259" s="18"/>
      <c r="J259" s="18"/>
      <c r="K259" s="18"/>
      <c r="L259" s="18"/>
      <c r="M259" s="18"/>
    </row>
    <row r="260" spans="1:13">
      <c r="A260" s="18">
        <v>354</v>
      </c>
      <c r="B260" s="18">
        <v>0.8</v>
      </c>
      <c r="C260" s="18">
        <f t="shared" si="26"/>
        <v>0.69732635272665155</v>
      </c>
      <c r="D260" s="18">
        <f t="shared" si="27"/>
        <v>1.0541877844411981E-2</v>
      </c>
      <c r="E260" s="18">
        <f t="shared" si="28"/>
        <v>0.10267364727334849</v>
      </c>
      <c r="F260" s="18"/>
      <c r="G260" s="18"/>
      <c r="H260" s="18"/>
      <c r="I260" s="18"/>
      <c r="J260" s="18"/>
      <c r="K260" s="18"/>
      <c r="L260" s="18"/>
      <c r="M260" s="18"/>
    </row>
    <row r="261" spans="1:13">
      <c r="A261" s="18">
        <v>362</v>
      </c>
      <c r="B261" s="18">
        <v>0.84</v>
      </c>
      <c r="C261" s="18">
        <f t="shared" si="26"/>
        <v>0.7788927685163054</v>
      </c>
      <c r="D261" s="18">
        <f t="shared" si="27"/>
        <v>3.7340937396018329E-3</v>
      </c>
      <c r="E261" s="18">
        <f t="shared" si="28"/>
        <v>6.1107231483694568E-2</v>
      </c>
      <c r="F261" s="18"/>
      <c r="G261" s="18"/>
      <c r="H261" s="18"/>
      <c r="I261" s="18"/>
      <c r="J261" s="18"/>
      <c r="K261" s="18"/>
      <c r="L261" s="18"/>
      <c r="M261" s="18"/>
    </row>
    <row r="262" spans="1:13">
      <c r="A262" s="18">
        <v>370</v>
      </c>
      <c r="B262" s="18">
        <v>0.87</v>
      </c>
      <c r="C262" s="18">
        <f t="shared" si="26"/>
        <v>0.8700000257767514</v>
      </c>
      <c r="D262" s="18">
        <f t="shared" si="27"/>
        <v>6.6444091273898269E-16</v>
      </c>
      <c r="E262" s="18">
        <f t="shared" si="28"/>
        <v>2.5776751400030662E-8</v>
      </c>
      <c r="F262" s="18"/>
      <c r="G262" s="18"/>
      <c r="H262" s="18"/>
      <c r="I262" s="18"/>
      <c r="J262" s="18"/>
      <c r="K262" s="18"/>
      <c r="L262" s="18"/>
      <c r="M262" s="18"/>
    </row>
    <row r="263" spans="1:13">
      <c r="A263" s="18">
        <v>375</v>
      </c>
      <c r="B263" s="18">
        <v>0.89</v>
      </c>
      <c r="C263" s="18">
        <f t="shared" si="26"/>
        <v>0.93227762598880171</v>
      </c>
      <c r="D263" s="18">
        <f t="shared" si="27"/>
        <v>1.7873976592490003E-3</v>
      </c>
      <c r="E263" s="18">
        <f t="shared" si="28"/>
        <v>4.2277625988801693E-2</v>
      </c>
      <c r="F263" s="18"/>
      <c r="G263" s="18"/>
      <c r="H263" s="18"/>
      <c r="I263" s="18"/>
      <c r="J263" s="18"/>
      <c r="K263" s="18"/>
      <c r="L263" s="18"/>
      <c r="M263" s="18"/>
    </row>
    <row r="264" spans="1:13">
      <c r="A264" s="18">
        <v>380</v>
      </c>
      <c r="B264" s="18">
        <v>0.9</v>
      </c>
      <c r="C264" s="18">
        <f t="shared" si="26"/>
        <v>0.99901327145746965</v>
      </c>
      <c r="D264" s="18">
        <f t="shared" si="27"/>
        <v>9.8036279247105708E-3</v>
      </c>
      <c r="E264" s="18">
        <f t="shared" si="28"/>
        <v>9.9013271457469632E-2</v>
      </c>
      <c r="F264" s="18"/>
      <c r="G264" s="18"/>
      <c r="H264" s="18"/>
      <c r="I264" s="18"/>
      <c r="J264" s="18"/>
      <c r="K264" s="18"/>
      <c r="L264" s="18"/>
      <c r="M264" s="18"/>
    </row>
    <row r="265" spans="1:13">
      <c r="A265" s="18"/>
      <c r="B265" s="18"/>
      <c r="C265" s="18"/>
      <c r="D265" s="18">
        <f>SUM(D243:D264)</f>
        <v>7.8460066647959709E-2</v>
      </c>
      <c r="E265" s="18">
        <f>SUM(E243:E264)</f>
        <v>0.96733662646198837</v>
      </c>
      <c r="F265" s="18"/>
      <c r="G265" s="18"/>
      <c r="H265" s="18"/>
      <c r="I265" s="18"/>
      <c r="J265" s="18"/>
      <c r="K265" s="18"/>
      <c r="L265" s="18"/>
      <c r="M265" s="18"/>
    </row>
    <row r="266" spans="1: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6.8">
      <c r="A273" s="19" t="s">
        <v>141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>
      <c r="A274" s="18"/>
      <c r="B274" s="18" t="s">
        <v>171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>
      <c r="A275" s="18" t="s">
        <v>29</v>
      </c>
      <c r="B275" s="18" t="s">
        <v>43</v>
      </c>
      <c r="C275" s="18" t="s">
        <v>99</v>
      </c>
      <c r="D275" s="18" t="s">
        <v>120</v>
      </c>
      <c r="E275" s="18" t="s">
        <v>119</v>
      </c>
      <c r="F275" s="18"/>
      <c r="G275" s="18"/>
      <c r="H275" s="18"/>
      <c r="I275" s="18"/>
      <c r="J275" s="18"/>
      <c r="K275" s="18"/>
      <c r="L275" s="18"/>
      <c r="M275" s="18"/>
    </row>
    <row r="276" spans="1:13">
      <c r="A276" s="18">
        <v>0</v>
      </c>
      <c r="B276" s="18">
        <v>0</v>
      </c>
      <c r="C276" s="18">
        <f>EXP((($K$276*$K$284*A276)/($K$277))-(($K$276*$K$281)/($K$282)))</f>
        <v>1.0748874986980108E-4</v>
      </c>
      <c r="D276" s="18">
        <f>(B276-C276)^2</f>
        <v>1.1553831348572662E-8</v>
      </c>
      <c r="E276" s="18">
        <f t="shared" ref="E276:E285" si="29">(B276-C$74)^2</f>
        <v>0</v>
      </c>
      <c r="F276" s="18"/>
      <c r="G276" s="18"/>
      <c r="H276" s="18"/>
      <c r="I276" s="18"/>
      <c r="J276" s="18" t="s">
        <v>207</v>
      </c>
      <c r="K276" s="18">
        <v>0.219848042092741</v>
      </c>
      <c r="L276" s="18"/>
      <c r="M276" s="18"/>
    </row>
    <row r="277" spans="1:13">
      <c r="A277" s="18">
        <v>20</v>
      </c>
      <c r="B277" s="18">
        <v>0</v>
      </c>
      <c r="C277" s="18">
        <f t="shared" ref="C277:C297" si="30">EXP((($K$276*$K$284*A277)/($K$277))-(($K$276*$K$281)/($K$282)))</f>
        <v>1.7570936790668851E-4</v>
      </c>
      <c r="D277" s="18">
        <f t="shared" ref="D277:D297" si="31">(B277-C277)^2</f>
        <v>3.0873781970168015E-8</v>
      </c>
      <c r="E277" s="18">
        <f t="shared" si="29"/>
        <v>0</v>
      </c>
      <c r="F277" s="18"/>
      <c r="G277" s="18"/>
      <c r="H277" s="18"/>
      <c r="I277" s="18"/>
      <c r="J277" s="18" t="s">
        <v>208</v>
      </c>
      <c r="K277" s="18">
        <v>894.70027229705397</v>
      </c>
      <c r="L277" s="18"/>
      <c r="M277" s="18"/>
    </row>
    <row r="278" spans="1:13">
      <c r="A278" s="18">
        <v>30</v>
      </c>
      <c r="B278" s="18">
        <v>0</v>
      </c>
      <c r="C278" s="18">
        <f t="shared" si="30"/>
        <v>2.2465229969092677E-4</v>
      </c>
      <c r="D278" s="18">
        <f t="shared" si="31"/>
        <v>5.0468655756421974E-8</v>
      </c>
      <c r="E278" s="18">
        <f t="shared" si="29"/>
        <v>0</v>
      </c>
      <c r="F278" s="18"/>
      <c r="G278" s="18"/>
      <c r="H278" s="18"/>
      <c r="I278" s="18"/>
      <c r="J278" s="18"/>
      <c r="K278" s="18"/>
      <c r="L278" s="18"/>
      <c r="M278" s="18"/>
    </row>
    <row r="279" spans="1:13">
      <c r="A279" s="18">
        <v>40</v>
      </c>
      <c r="B279" s="18">
        <v>0</v>
      </c>
      <c r="C279" s="18">
        <f t="shared" si="30"/>
        <v>2.8722803091081383E-4</v>
      </c>
      <c r="D279" s="18">
        <f t="shared" si="31"/>
        <v>8.2499941740903427E-8</v>
      </c>
      <c r="E279" s="18">
        <f t="shared" si="29"/>
        <v>0</v>
      </c>
      <c r="F279" s="18"/>
      <c r="G279" s="18" t="s">
        <v>121</v>
      </c>
      <c r="H279" s="18">
        <f>(100)*(1/21)^(0.5)*(E298)^(0.5)</f>
        <v>28.970373567301571</v>
      </c>
      <c r="I279" s="18"/>
      <c r="J279" s="18"/>
      <c r="K279" s="18"/>
      <c r="L279" s="18"/>
      <c r="M279" s="18"/>
    </row>
    <row r="280" spans="1:13">
      <c r="A280" s="18">
        <v>50</v>
      </c>
      <c r="B280" s="18">
        <v>0</v>
      </c>
      <c r="C280" s="18">
        <f t="shared" si="30"/>
        <v>3.6723390703948168E-4</v>
      </c>
      <c r="D280" s="18">
        <f t="shared" si="31"/>
        <v>1.3486074247948266E-7</v>
      </c>
      <c r="E280" s="18">
        <f t="shared" si="29"/>
        <v>0</v>
      </c>
      <c r="F280" s="18"/>
      <c r="G280" s="18"/>
      <c r="H280" s="18"/>
      <c r="I280" s="18"/>
      <c r="J280" s="18"/>
      <c r="K280" s="18"/>
      <c r="L280" s="18"/>
      <c r="M280" s="18"/>
    </row>
    <row r="281" spans="1:13">
      <c r="A281" s="18">
        <v>60</v>
      </c>
      <c r="B281" s="18">
        <v>0</v>
      </c>
      <c r="C281" s="18">
        <f t="shared" si="30"/>
        <v>4.6952500440793603E-4</v>
      </c>
      <c r="D281" s="18">
        <f t="shared" si="31"/>
        <v>2.2045372976427234E-7</v>
      </c>
      <c r="E281" s="18">
        <f t="shared" si="29"/>
        <v>0</v>
      </c>
      <c r="F281" s="18"/>
      <c r="G281" s="18"/>
      <c r="H281" s="18"/>
      <c r="I281" s="18"/>
      <c r="J281" s="18" t="s">
        <v>209</v>
      </c>
      <c r="K281" s="18">
        <v>12</v>
      </c>
      <c r="L281" s="18"/>
      <c r="M281" s="18"/>
    </row>
    <row r="282" spans="1:13">
      <c r="A282" s="18">
        <v>80</v>
      </c>
      <c r="B282" s="18">
        <v>0</v>
      </c>
      <c r="C282" s="18">
        <f t="shared" si="30"/>
        <v>7.6752164148186661E-4</v>
      </c>
      <c r="D282" s="18">
        <f t="shared" si="31"/>
        <v>5.89089470143019E-7</v>
      </c>
      <c r="E282" s="18">
        <f t="shared" si="29"/>
        <v>0</v>
      </c>
      <c r="F282" s="18"/>
      <c r="G282" s="18"/>
      <c r="H282" s="18"/>
      <c r="I282" s="18"/>
      <c r="J282" s="18" t="s">
        <v>210</v>
      </c>
      <c r="K282" s="18">
        <v>0.28870000000000001</v>
      </c>
      <c r="L282" s="18"/>
      <c r="M282" s="18"/>
    </row>
    <row r="283" spans="1:13">
      <c r="A283" s="18">
        <v>100</v>
      </c>
      <c r="B283" s="18">
        <v>0</v>
      </c>
      <c r="C283" s="18">
        <f t="shared" si="30"/>
        <v>1.2546498367767482E-3</v>
      </c>
      <c r="D283" s="18">
        <f t="shared" si="31"/>
        <v>1.5741462129239209E-6</v>
      </c>
      <c r="E283" s="18">
        <f t="shared" si="29"/>
        <v>0</v>
      </c>
      <c r="F283" s="18"/>
      <c r="G283" s="18"/>
      <c r="H283" s="18"/>
      <c r="I283" s="18"/>
      <c r="J283" s="18" t="s">
        <v>8</v>
      </c>
      <c r="K283" s="18">
        <v>8</v>
      </c>
      <c r="L283" s="18"/>
      <c r="M283" s="18"/>
    </row>
    <row r="284" spans="1:13">
      <c r="A284" s="18">
        <v>140</v>
      </c>
      <c r="B284" s="18">
        <v>0</v>
      </c>
      <c r="C284" s="18">
        <f t="shared" si="30"/>
        <v>3.3526355319646864E-3</v>
      </c>
      <c r="D284" s="18">
        <f t="shared" si="31"/>
        <v>1.1240165010192136E-5</v>
      </c>
      <c r="E284" s="18">
        <f t="shared" si="29"/>
        <v>0</v>
      </c>
      <c r="F284" s="18"/>
      <c r="G284" s="18"/>
      <c r="H284" s="18"/>
      <c r="I284" s="18"/>
      <c r="J284" s="18" t="s">
        <v>12</v>
      </c>
      <c r="K284" s="18">
        <v>100</v>
      </c>
      <c r="L284" s="18"/>
      <c r="M284" s="18"/>
    </row>
    <row r="285" spans="1:13">
      <c r="A285" s="18">
        <v>180</v>
      </c>
      <c r="B285" s="18">
        <v>0</v>
      </c>
      <c r="C285" s="18">
        <f t="shared" si="30"/>
        <v>8.9588064181067642E-3</v>
      </c>
      <c r="D285" s="18">
        <f t="shared" si="31"/>
        <v>8.0260212437110946E-5</v>
      </c>
      <c r="E285" s="18">
        <f t="shared" si="29"/>
        <v>0</v>
      </c>
      <c r="F285" s="18"/>
      <c r="G285" s="18"/>
      <c r="H285" s="18"/>
      <c r="I285" s="18"/>
      <c r="J285" s="18" t="s">
        <v>106</v>
      </c>
      <c r="K285" s="18">
        <v>23</v>
      </c>
      <c r="L285" s="18"/>
      <c r="M285" s="18"/>
    </row>
    <row r="286" spans="1:13">
      <c r="A286" s="18">
        <v>230</v>
      </c>
      <c r="B286" s="18">
        <v>0.02</v>
      </c>
      <c r="C286" s="18">
        <f t="shared" si="30"/>
        <v>3.0607644868107714E-2</v>
      </c>
      <c r="D286" s="18">
        <f t="shared" si="31"/>
        <v>1.1252212964789191E-4</v>
      </c>
      <c r="E286" s="18">
        <f>((B286-C286)/B286)^2</f>
        <v>0.28130532411972975</v>
      </c>
      <c r="F286" s="18"/>
      <c r="G286" s="18"/>
      <c r="H286" s="18"/>
      <c r="I286" s="18"/>
      <c r="J286" s="18" t="s">
        <v>107</v>
      </c>
      <c r="K286" s="18">
        <v>2</v>
      </c>
      <c r="L286" s="18"/>
      <c r="M286" s="18"/>
    </row>
    <row r="287" spans="1:13">
      <c r="A287" s="18">
        <v>255</v>
      </c>
      <c r="B287" s="18">
        <v>0.08</v>
      </c>
      <c r="C287" s="18">
        <f t="shared" si="30"/>
        <v>5.6574378845326227E-2</v>
      </c>
      <c r="D287" s="18">
        <f t="shared" si="31"/>
        <v>5.4875972648229946E-4</v>
      </c>
      <c r="E287" s="18">
        <f t="shared" ref="E287:E297" si="32">((B287-C287)/B287)^2</f>
        <v>8.5743707262859292E-2</v>
      </c>
      <c r="F287" s="18"/>
      <c r="G287" s="18"/>
      <c r="H287" s="18"/>
      <c r="I287" s="18"/>
      <c r="J287" s="18"/>
      <c r="K287" s="18"/>
      <c r="L287" s="18"/>
      <c r="M287" s="18"/>
    </row>
    <row r="288" spans="1:13">
      <c r="A288" s="18">
        <v>280</v>
      </c>
      <c r="B288" s="18">
        <v>0.21</v>
      </c>
      <c r="C288" s="18">
        <f t="shared" si="30"/>
        <v>0.10457061807684169</v>
      </c>
      <c r="D288" s="18">
        <f t="shared" si="31"/>
        <v>1.1115354572699179E-2</v>
      </c>
      <c r="E288" s="18">
        <f t="shared" si="32"/>
        <v>0.25204885652379089</v>
      </c>
      <c r="F288" s="18"/>
      <c r="G288" s="18"/>
      <c r="H288" s="18"/>
      <c r="I288" s="18"/>
      <c r="J288" s="18"/>
      <c r="K288" s="18"/>
      <c r="L288" s="18"/>
      <c r="M288" s="18"/>
    </row>
    <row r="289" spans="1:13">
      <c r="A289" s="18">
        <v>293</v>
      </c>
      <c r="B289" s="18">
        <v>0.3</v>
      </c>
      <c r="C289" s="18">
        <f t="shared" si="30"/>
        <v>0.14392638352519155</v>
      </c>
      <c r="D289" s="18">
        <f t="shared" si="31"/>
        <v>2.4358973759525598E-2</v>
      </c>
      <c r="E289" s="18">
        <f t="shared" si="32"/>
        <v>0.27065526399472889</v>
      </c>
      <c r="F289" s="18"/>
      <c r="G289" s="18"/>
      <c r="H289" s="18"/>
      <c r="I289" s="18"/>
      <c r="J289" s="18"/>
      <c r="K289" s="18"/>
      <c r="L289" s="18"/>
      <c r="M289" s="18"/>
    </row>
    <row r="290" spans="1:13">
      <c r="A290" s="18">
        <v>300</v>
      </c>
      <c r="B290" s="18">
        <v>0.35</v>
      </c>
      <c r="C290" s="18">
        <f t="shared" si="30"/>
        <v>0.17093916550475902</v>
      </c>
      <c r="D290" s="18">
        <f t="shared" si="31"/>
        <v>3.2062782450132075E-2</v>
      </c>
      <c r="E290" s="18">
        <f t="shared" si="32"/>
        <v>0.26173699959291491</v>
      </c>
      <c r="F290" s="18"/>
      <c r="G290" s="18"/>
      <c r="H290" s="18"/>
      <c r="I290" s="18"/>
      <c r="J290" s="18"/>
      <c r="K290" s="18"/>
      <c r="L290" s="18"/>
      <c r="M290" s="18"/>
    </row>
    <row r="291" spans="1:13">
      <c r="A291" s="18">
        <v>315</v>
      </c>
      <c r="B291" s="18">
        <v>0.49</v>
      </c>
      <c r="C291" s="18">
        <f t="shared" si="30"/>
        <v>0.24712433169892994</v>
      </c>
      <c r="D291" s="18">
        <f t="shared" si="31"/>
        <v>5.8988590252691403E-2</v>
      </c>
      <c r="E291" s="18">
        <f t="shared" si="32"/>
        <v>0.24568342462595336</v>
      </c>
      <c r="F291" s="18"/>
      <c r="G291" s="18"/>
      <c r="H291" s="18"/>
      <c r="I291" s="18"/>
      <c r="J291" s="18"/>
      <c r="K291" s="18"/>
      <c r="L291" s="18"/>
      <c r="M291" s="18"/>
    </row>
    <row r="292" spans="1:13">
      <c r="A292" s="18">
        <v>337</v>
      </c>
      <c r="B292" s="18">
        <v>0.68</v>
      </c>
      <c r="C292" s="18">
        <f t="shared" si="30"/>
        <v>0.42431716702555439</v>
      </c>
      <c r="D292" s="18">
        <f t="shared" si="31"/>
        <v>6.5373711077838279E-2</v>
      </c>
      <c r="E292" s="18">
        <f t="shared" si="32"/>
        <v>0.14137913295380247</v>
      </c>
      <c r="F292" s="18"/>
      <c r="G292" s="18"/>
      <c r="H292" s="18"/>
      <c r="I292" s="18"/>
      <c r="J292" s="18"/>
      <c r="K292" s="18"/>
      <c r="L292" s="18"/>
      <c r="M292" s="18"/>
    </row>
    <row r="293" spans="1:13">
      <c r="A293" s="18">
        <v>354</v>
      </c>
      <c r="B293" s="18">
        <v>0.8</v>
      </c>
      <c r="C293" s="18">
        <f t="shared" si="30"/>
        <v>0.64432906394175937</v>
      </c>
      <c r="D293" s="18">
        <f t="shared" si="31"/>
        <v>2.4233440333248858E-2</v>
      </c>
      <c r="E293" s="18">
        <f t="shared" si="32"/>
        <v>3.7864750520701339E-2</v>
      </c>
      <c r="F293" s="18"/>
      <c r="G293" s="18"/>
      <c r="H293" s="18"/>
      <c r="I293" s="18"/>
      <c r="J293" s="18"/>
      <c r="K293" s="18"/>
      <c r="L293" s="18"/>
      <c r="M293" s="18"/>
    </row>
    <row r="294" spans="1:13">
      <c r="A294" s="18">
        <v>362</v>
      </c>
      <c r="B294" s="18">
        <v>0.84</v>
      </c>
      <c r="C294" s="18">
        <f t="shared" si="30"/>
        <v>0.78429687293230188</v>
      </c>
      <c r="D294" s="18">
        <f t="shared" si="31"/>
        <v>3.1028383651201196E-3</v>
      </c>
      <c r="E294" s="18">
        <f t="shared" si="32"/>
        <v>4.3974466625852039E-3</v>
      </c>
      <c r="F294" s="18"/>
      <c r="G294" s="18"/>
      <c r="H294" s="18"/>
      <c r="I294" s="18"/>
      <c r="J294" s="18"/>
      <c r="K294" s="18"/>
      <c r="L294" s="18"/>
      <c r="M294" s="18"/>
    </row>
    <row r="295" spans="1:13">
      <c r="A295" s="18">
        <v>370</v>
      </c>
      <c r="B295" s="18">
        <v>0.87</v>
      </c>
      <c r="C295" s="18">
        <f t="shared" si="30"/>
        <v>0.95466993391281962</v>
      </c>
      <c r="D295" s="18">
        <f t="shared" si="31"/>
        <v>7.1689977088012433E-3</v>
      </c>
      <c r="E295" s="18">
        <f t="shared" si="32"/>
        <v>9.4715255764318187E-3</v>
      </c>
      <c r="F295" s="18"/>
      <c r="G295" s="18"/>
      <c r="H295" s="18"/>
      <c r="I295" s="18"/>
      <c r="J295" s="18"/>
      <c r="K295" s="18"/>
      <c r="L295" s="18"/>
      <c r="M295" s="18"/>
    </row>
    <row r="296" spans="1:13">
      <c r="A296" s="18">
        <v>375</v>
      </c>
      <c r="B296" s="18">
        <v>0.89</v>
      </c>
      <c r="C296" s="18">
        <f t="shared" si="30"/>
        <v>1.0794716011749552</v>
      </c>
      <c r="D296" s="18">
        <f t="shared" si="31"/>
        <v>3.5899487651801287E-2</v>
      </c>
      <c r="E296" s="18">
        <f t="shared" si="32"/>
        <v>4.5321913460170789E-2</v>
      </c>
      <c r="F296" s="18"/>
      <c r="G296" s="18"/>
      <c r="H296" s="18"/>
      <c r="I296" s="18"/>
      <c r="J296" s="18"/>
      <c r="K296" s="18"/>
      <c r="L296" s="18"/>
      <c r="M296" s="18"/>
    </row>
    <row r="297" spans="1:13">
      <c r="A297" s="18">
        <v>380</v>
      </c>
      <c r="B297" s="18">
        <v>0.9</v>
      </c>
      <c r="C297" s="18">
        <f t="shared" si="30"/>
        <v>1.2205882853849577</v>
      </c>
      <c r="D297" s="18">
        <f t="shared" si="31"/>
        <v>0.10277684872606704</v>
      </c>
      <c r="E297" s="18">
        <f t="shared" si="32"/>
        <v>0.12688499842724327</v>
      </c>
      <c r="F297" s="18"/>
      <c r="G297" s="18"/>
      <c r="H297" s="18"/>
      <c r="I297" s="18"/>
      <c r="J297" s="18"/>
      <c r="K297" s="18"/>
      <c r="L297" s="18"/>
      <c r="M297" s="18"/>
    </row>
    <row r="298" spans="1:13">
      <c r="A298" s="18"/>
      <c r="B298" s="18"/>
      <c r="C298" s="18"/>
      <c r="D298" s="18">
        <f>SUM(D276:D297)</f>
        <v>0.3658365010778688</v>
      </c>
      <c r="E298" s="18">
        <f>SUM(E276:E297)</f>
        <v>1.7624933437209118</v>
      </c>
      <c r="F298" s="18"/>
      <c r="G298" s="18"/>
      <c r="H298" s="18"/>
      <c r="I298" s="18"/>
      <c r="J298" s="18"/>
      <c r="K298" s="18"/>
      <c r="L298" s="18"/>
      <c r="M298" s="18"/>
    </row>
    <row r="299" spans="1: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6.8">
      <c r="A307" s="17" t="s">
        <v>125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>
      <c r="A308" s="18"/>
      <c r="B308" s="18" t="s">
        <v>171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>
      <c r="A309" s="18" t="s">
        <v>29</v>
      </c>
      <c r="B309" s="18" t="s">
        <v>43</v>
      </c>
      <c r="C309" s="18" t="s">
        <v>99</v>
      </c>
      <c r="D309" s="18" t="s">
        <v>120</v>
      </c>
      <c r="E309" s="18" t="s">
        <v>119</v>
      </c>
      <c r="F309" s="18"/>
      <c r="G309" s="18"/>
      <c r="H309" s="18"/>
      <c r="I309" s="18"/>
      <c r="J309" s="18"/>
      <c r="K309" s="18"/>
      <c r="L309" s="18"/>
      <c r="M309" s="18"/>
    </row>
    <row r="310" spans="1:13">
      <c r="A310" s="18">
        <v>0</v>
      </c>
      <c r="B310" s="18">
        <v>0</v>
      </c>
      <c r="C310" s="18">
        <f>EXP((($K$310*$K$318*A310)/($K$311))-(($K$310*$K$315)/($K$316)))</f>
        <v>9.9503570790645179E-4</v>
      </c>
      <c r="D310" s="18">
        <f>(B310-C310)^2</f>
        <v>9.9009606000889359E-7</v>
      </c>
      <c r="E310" s="18">
        <f t="shared" ref="E310:E319" si="33">(B310-C$74)^2</f>
        <v>0</v>
      </c>
      <c r="F310" s="18"/>
      <c r="G310" s="18"/>
      <c r="H310" s="18"/>
      <c r="I310" s="18"/>
      <c r="J310" s="18" t="s">
        <v>207</v>
      </c>
      <c r="K310" s="18">
        <v>0.16630880911471099</v>
      </c>
      <c r="L310" s="18"/>
      <c r="M310" s="18"/>
    </row>
    <row r="311" spans="1:13">
      <c r="A311" s="18">
        <v>20</v>
      </c>
      <c r="B311" s="18">
        <v>0</v>
      </c>
      <c r="C311" s="18">
        <f t="shared" ref="C311:C331" si="34">EXP((($K$310*$K$318*A311)/($K$311))-(($K$310*$K$315)/($K$316)))</f>
        <v>1.4378073983785616E-3</v>
      </c>
      <c r="D311" s="18">
        <f t="shared" ref="D311:D331" si="35">(B311-C311)^2</f>
        <v>2.0672901148321277E-6</v>
      </c>
      <c r="E311" s="18">
        <f t="shared" si="33"/>
        <v>0</v>
      </c>
      <c r="F311" s="18"/>
      <c r="G311" s="18"/>
      <c r="H311" s="18"/>
      <c r="I311" s="18"/>
      <c r="J311" s="18" t="s">
        <v>208</v>
      </c>
      <c r="K311" s="18">
        <v>903.61657521783798</v>
      </c>
      <c r="L311" s="18"/>
      <c r="M311" s="18"/>
    </row>
    <row r="312" spans="1:13">
      <c r="A312" s="18">
        <v>30</v>
      </c>
      <c r="B312" s="18">
        <v>0</v>
      </c>
      <c r="C312" s="18">
        <f t="shared" si="34"/>
        <v>1.7283501748428533E-3</v>
      </c>
      <c r="D312" s="18">
        <f t="shared" si="35"/>
        <v>2.9871943268793218E-6</v>
      </c>
      <c r="E312" s="18">
        <f t="shared" si="33"/>
        <v>0</v>
      </c>
      <c r="F312" s="18"/>
      <c r="G312" s="18"/>
      <c r="H312" s="18"/>
      <c r="I312" s="18"/>
      <c r="J312" s="18"/>
      <c r="K312" s="18"/>
      <c r="L312" s="18"/>
      <c r="M312" s="18"/>
    </row>
    <row r="313" spans="1:13">
      <c r="A313" s="18">
        <v>40</v>
      </c>
      <c r="B313" s="18">
        <v>0</v>
      </c>
      <c r="C313" s="18">
        <f t="shared" si="34"/>
        <v>2.077603947683138E-3</v>
      </c>
      <c r="D313" s="18">
        <f t="shared" si="35"/>
        <v>4.3164381634285592E-6</v>
      </c>
      <c r="E313" s="18">
        <f t="shared" si="33"/>
        <v>0</v>
      </c>
      <c r="F313" s="18"/>
      <c r="G313" s="18"/>
      <c r="H313" s="18"/>
      <c r="I313" s="18"/>
      <c r="J313" s="18" t="s">
        <v>104</v>
      </c>
      <c r="K313" s="18">
        <f>1-(D332/E332)</f>
        <v>0.59349691485049538</v>
      </c>
      <c r="L313" s="18"/>
      <c r="M313" s="18"/>
    </row>
    <row r="314" spans="1:13">
      <c r="A314" s="18">
        <v>50</v>
      </c>
      <c r="B314" s="18">
        <v>0</v>
      </c>
      <c r="C314" s="18">
        <f t="shared" si="34"/>
        <v>2.497432653554143E-3</v>
      </c>
      <c r="D314" s="18">
        <f t="shared" si="35"/>
        <v>6.2371698590384886E-6</v>
      </c>
      <c r="E314" s="18">
        <f t="shared" si="33"/>
        <v>0</v>
      </c>
      <c r="F314" s="18"/>
      <c r="G314" s="18" t="s">
        <v>134</v>
      </c>
      <c r="H314" s="18">
        <f>(100/21)*(E332)</f>
        <v>1.7493927688804214</v>
      </c>
      <c r="I314" s="18"/>
      <c r="J314" s="18"/>
      <c r="K314" s="18"/>
      <c r="L314" s="18"/>
      <c r="M314" s="18"/>
    </row>
    <row r="315" spans="1:13">
      <c r="A315" s="18">
        <v>60</v>
      </c>
      <c r="B315" s="18">
        <v>0</v>
      </c>
      <c r="C315" s="18">
        <f t="shared" si="34"/>
        <v>3.0020976163401794E-3</v>
      </c>
      <c r="D315" s="18">
        <f t="shared" si="35"/>
        <v>9.0125900980353867E-6</v>
      </c>
      <c r="E315" s="18">
        <f t="shared" si="33"/>
        <v>0</v>
      </c>
      <c r="F315" s="18"/>
      <c r="G315" s="18"/>
      <c r="H315" s="18"/>
      <c r="I315" s="18"/>
      <c r="J315" s="18" t="s">
        <v>209</v>
      </c>
      <c r="K315" s="18">
        <v>12</v>
      </c>
      <c r="L315" s="18"/>
      <c r="M315" s="18"/>
    </row>
    <row r="316" spans="1:13">
      <c r="A316" s="18">
        <v>80</v>
      </c>
      <c r="B316" s="18">
        <v>0</v>
      </c>
      <c r="C316" s="18">
        <f t="shared" si="34"/>
        <v>4.337973129135547E-3</v>
      </c>
      <c r="D316" s="18">
        <f t="shared" si="35"/>
        <v>1.8818010869102051E-5</v>
      </c>
      <c r="E316" s="18">
        <f t="shared" si="33"/>
        <v>0</v>
      </c>
      <c r="F316" s="18"/>
      <c r="G316" s="18"/>
      <c r="H316" s="18"/>
      <c r="I316" s="18"/>
      <c r="J316" s="18" t="s">
        <v>210</v>
      </c>
      <c r="K316" s="18">
        <v>0.28870000000000001</v>
      </c>
      <c r="L316" s="18"/>
      <c r="M316" s="18"/>
    </row>
    <row r="317" spans="1:13">
      <c r="A317" s="18">
        <v>100</v>
      </c>
      <c r="B317" s="18">
        <v>0</v>
      </c>
      <c r="C317" s="18">
        <f t="shared" si="34"/>
        <v>6.2682874689607444E-3</v>
      </c>
      <c r="D317" s="18">
        <f t="shared" si="35"/>
        <v>3.9291427793530296E-5</v>
      </c>
      <c r="E317" s="18">
        <f t="shared" si="33"/>
        <v>0</v>
      </c>
      <c r="F317" s="18"/>
      <c r="G317" s="18"/>
      <c r="H317" s="18"/>
      <c r="I317" s="18"/>
      <c r="J317" s="18" t="s">
        <v>8</v>
      </c>
      <c r="K317" s="18">
        <v>8</v>
      </c>
      <c r="L317" s="18"/>
      <c r="M317" s="18"/>
    </row>
    <row r="318" spans="1:13">
      <c r="A318" s="18">
        <v>140</v>
      </c>
      <c r="B318" s="18">
        <v>0</v>
      </c>
      <c r="C318" s="18">
        <f t="shared" si="34"/>
        <v>1.3087991402967755E-2</v>
      </c>
      <c r="D318" s="18">
        <f t="shared" si="35"/>
        <v>1.7129551896415785E-4</v>
      </c>
      <c r="E318" s="18">
        <f t="shared" si="33"/>
        <v>0</v>
      </c>
      <c r="F318" s="18"/>
      <c r="G318" s="18"/>
      <c r="H318" s="18"/>
      <c r="I318" s="18"/>
      <c r="J318" s="18" t="s">
        <v>12</v>
      </c>
      <c r="K318" s="18">
        <v>100</v>
      </c>
      <c r="L318" s="18"/>
      <c r="M318" s="18"/>
    </row>
    <row r="319" spans="1:13">
      <c r="A319" s="18">
        <v>180</v>
      </c>
      <c r="B319" s="18">
        <v>0</v>
      </c>
      <c r="C319" s="18">
        <f t="shared" si="34"/>
        <v>2.7327323421648717E-2</v>
      </c>
      <c r="D319" s="18">
        <f t="shared" si="35"/>
        <v>7.4678260539139053E-4</v>
      </c>
      <c r="E319" s="18">
        <f t="shared" si="33"/>
        <v>0</v>
      </c>
      <c r="F319" s="18"/>
      <c r="G319" s="18"/>
      <c r="H319" s="18"/>
      <c r="I319" s="18"/>
      <c r="J319" s="18" t="s">
        <v>106</v>
      </c>
      <c r="K319" s="18">
        <v>23</v>
      </c>
      <c r="L319" s="18"/>
      <c r="M319" s="18"/>
    </row>
    <row r="320" spans="1:13">
      <c r="A320" s="18">
        <v>230</v>
      </c>
      <c r="B320" s="18">
        <v>0.02</v>
      </c>
      <c r="C320" s="18">
        <f t="shared" si="34"/>
        <v>6.8588643910130725E-2</v>
      </c>
      <c r="D320" s="18">
        <f t="shared" si="35"/>
        <v>2.3608563170254833E-3</v>
      </c>
      <c r="E320" s="18">
        <f>(B320-C320)^2/B320</f>
        <v>0.11804281585127416</v>
      </c>
      <c r="F320" s="18"/>
      <c r="G320" s="18"/>
      <c r="H320" s="18"/>
      <c r="I320" s="18"/>
      <c r="J320" s="18" t="s">
        <v>107</v>
      </c>
      <c r="K320" s="18">
        <v>2</v>
      </c>
      <c r="L320" s="18"/>
      <c r="M320" s="18"/>
    </row>
    <row r="321" spans="1:13">
      <c r="A321" s="18">
        <v>255</v>
      </c>
      <c r="B321" s="18">
        <v>0.08</v>
      </c>
      <c r="C321" s="18">
        <f t="shared" si="34"/>
        <v>0.10866252089942469</v>
      </c>
      <c r="D321" s="18">
        <f t="shared" si="35"/>
        <v>8.2154010430995677E-4</v>
      </c>
      <c r="E321" s="18">
        <f t="shared" ref="E321:E331" si="36">(B321-C321)^2/B321</f>
        <v>1.0269251303874459E-2</v>
      </c>
      <c r="F321" s="18"/>
      <c r="G321" s="18"/>
      <c r="H321" s="18"/>
      <c r="I321" s="18"/>
      <c r="J321" s="18"/>
      <c r="K321" s="18"/>
      <c r="L321" s="18"/>
      <c r="M321" s="18"/>
    </row>
    <row r="322" spans="1:13">
      <c r="A322" s="18">
        <v>280</v>
      </c>
      <c r="B322" s="18">
        <v>0.21</v>
      </c>
      <c r="C322" s="18">
        <f t="shared" si="34"/>
        <v>0.17215012245596956</v>
      </c>
      <c r="D322" s="18">
        <f t="shared" si="35"/>
        <v>1.4326132300980995E-3</v>
      </c>
      <c r="E322" s="18">
        <f t="shared" si="36"/>
        <v>6.8219677623719025E-3</v>
      </c>
      <c r="F322" s="18"/>
      <c r="G322" s="18"/>
      <c r="H322" s="18"/>
      <c r="I322" s="18"/>
      <c r="J322" s="18"/>
      <c r="K322" s="18"/>
      <c r="L322" s="18"/>
      <c r="M322" s="18"/>
    </row>
    <row r="323" spans="1:13">
      <c r="A323" s="18">
        <v>293</v>
      </c>
      <c r="B323" s="18">
        <v>0.3</v>
      </c>
      <c r="C323" s="18">
        <f t="shared" si="34"/>
        <v>0.21868433132555298</v>
      </c>
      <c r="D323" s="18">
        <f t="shared" si="35"/>
        <v>6.6122379719724417E-3</v>
      </c>
      <c r="E323" s="18">
        <f t="shared" si="36"/>
        <v>2.2040793239908141E-2</v>
      </c>
      <c r="F323" s="18"/>
      <c r="G323" s="18"/>
      <c r="H323" s="18"/>
      <c r="I323" s="18"/>
      <c r="J323" s="18"/>
      <c r="K323" s="18"/>
      <c r="L323" s="18"/>
      <c r="M323" s="18"/>
    </row>
    <row r="324" spans="1:13">
      <c r="A324" s="18">
        <v>300</v>
      </c>
      <c r="B324" s="18">
        <v>0.35</v>
      </c>
      <c r="C324" s="18">
        <f t="shared" si="34"/>
        <v>0.2487536052547763</v>
      </c>
      <c r="D324" s="18">
        <f t="shared" si="35"/>
        <v>1.0250832448905657E-2</v>
      </c>
      <c r="E324" s="18">
        <f t="shared" si="36"/>
        <v>2.9288092711159022E-2</v>
      </c>
      <c r="F324" s="18"/>
      <c r="G324" s="18"/>
      <c r="H324" s="18"/>
      <c r="I324" s="18"/>
      <c r="J324" s="18"/>
      <c r="K324" s="18"/>
      <c r="L324" s="18"/>
      <c r="M324" s="18"/>
    </row>
    <row r="325" spans="1:13">
      <c r="A325" s="18">
        <v>315</v>
      </c>
      <c r="B325" s="18">
        <v>0.49</v>
      </c>
      <c r="C325" s="18">
        <f t="shared" si="34"/>
        <v>0.32784300340741834</v>
      </c>
      <c r="D325" s="18">
        <f t="shared" si="35"/>
        <v>2.6294891543926537E-2</v>
      </c>
      <c r="E325" s="18">
        <f t="shared" si="36"/>
        <v>5.3663043967197017E-2</v>
      </c>
      <c r="F325" s="18"/>
      <c r="G325" s="18"/>
      <c r="H325" s="18"/>
      <c r="I325" s="18"/>
      <c r="J325" s="18"/>
      <c r="K325" s="18"/>
      <c r="L325" s="18"/>
      <c r="M325" s="18"/>
    </row>
    <row r="326" spans="1:13">
      <c r="A326" s="18">
        <v>337</v>
      </c>
      <c r="B326" s="18">
        <v>0.68</v>
      </c>
      <c r="C326" s="18">
        <f t="shared" si="34"/>
        <v>0.49148941870549773</v>
      </c>
      <c r="D326" s="18">
        <f t="shared" si="35"/>
        <v>3.5536239259991172E-2</v>
      </c>
      <c r="E326" s="18">
        <f t="shared" si="36"/>
        <v>5.2259175382339956E-2</v>
      </c>
      <c r="F326" s="18"/>
      <c r="G326" s="18"/>
      <c r="H326" s="18"/>
      <c r="I326" s="18"/>
      <c r="J326" s="18"/>
      <c r="K326" s="18"/>
      <c r="L326" s="18"/>
      <c r="M326" s="18"/>
    </row>
    <row r="327" spans="1:13">
      <c r="A327" s="18">
        <v>354</v>
      </c>
      <c r="B327" s="18">
        <v>0.8</v>
      </c>
      <c r="C327" s="18">
        <f t="shared" si="34"/>
        <v>0.67204276966871845</v>
      </c>
      <c r="D327" s="18">
        <f t="shared" si="35"/>
        <v>1.6373052794052649E-2</v>
      </c>
      <c r="E327" s="18">
        <f t="shared" si="36"/>
        <v>2.046631599256581E-2</v>
      </c>
      <c r="F327" s="18"/>
      <c r="G327" s="18"/>
      <c r="H327" s="18"/>
      <c r="I327" s="18"/>
      <c r="J327" s="18"/>
      <c r="K327" s="18"/>
      <c r="L327" s="18"/>
      <c r="M327" s="18"/>
    </row>
    <row r="328" spans="1:13">
      <c r="A328" s="18">
        <v>362</v>
      </c>
      <c r="B328" s="18">
        <v>0.84</v>
      </c>
      <c r="C328" s="18">
        <f t="shared" si="34"/>
        <v>0.77864900349843413</v>
      </c>
      <c r="D328" s="18">
        <f t="shared" si="35"/>
        <v>3.7639447717351432E-3</v>
      </c>
      <c r="E328" s="18">
        <f t="shared" si="36"/>
        <v>4.4808866330180276E-3</v>
      </c>
      <c r="F328" s="18"/>
      <c r="G328" s="18"/>
      <c r="H328" s="18"/>
      <c r="I328" s="18"/>
      <c r="J328" s="18"/>
      <c r="K328" s="18"/>
      <c r="L328" s="18"/>
      <c r="M328" s="18"/>
    </row>
    <row r="329" spans="1:13">
      <c r="A329" s="18">
        <v>370</v>
      </c>
      <c r="B329" s="18">
        <v>0.87</v>
      </c>
      <c r="C329" s="18">
        <f t="shared" si="34"/>
        <v>0.90216619836260648</v>
      </c>
      <c r="D329" s="18">
        <f t="shared" si="35"/>
        <v>1.0346643171025478E-3</v>
      </c>
      <c r="E329" s="18">
        <f t="shared" si="36"/>
        <v>1.1892693300029286E-3</v>
      </c>
      <c r="F329" s="18"/>
      <c r="G329" s="18"/>
      <c r="H329" s="18"/>
      <c r="I329" s="18"/>
      <c r="J329" s="18"/>
      <c r="K329" s="18"/>
      <c r="L329" s="18"/>
      <c r="M329" s="18"/>
    </row>
    <row r="330" spans="1:13">
      <c r="A330" s="18">
        <v>375</v>
      </c>
      <c r="B330" s="18">
        <v>0.89</v>
      </c>
      <c r="C330" s="18">
        <f t="shared" si="34"/>
        <v>0.98912701448071749</v>
      </c>
      <c r="D330" s="18">
        <f t="shared" si="35"/>
        <v>9.8261649998603734E-3</v>
      </c>
      <c r="E330" s="18">
        <f t="shared" si="36"/>
        <v>1.104063483130379E-2</v>
      </c>
      <c r="F330" s="18"/>
      <c r="G330" s="18"/>
      <c r="H330" s="18"/>
      <c r="I330" s="18"/>
      <c r="J330" s="18"/>
      <c r="K330" s="18"/>
      <c r="L330" s="18"/>
      <c r="M330" s="18"/>
    </row>
    <row r="331" spans="1:13">
      <c r="A331" s="18">
        <v>380</v>
      </c>
      <c r="B331" s="18">
        <v>0.9</v>
      </c>
      <c r="C331" s="18">
        <f t="shared" si="34"/>
        <v>1.0844700816227009</v>
      </c>
      <c r="D331" s="18">
        <f t="shared" si="35"/>
        <v>3.402921101388591E-2</v>
      </c>
      <c r="E331" s="18">
        <f t="shared" si="36"/>
        <v>3.7810234459873235E-2</v>
      </c>
      <c r="F331" s="18"/>
      <c r="G331" s="18"/>
      <c r="H331" s="18"/>
      <c r="I331" s="18"/>
      <c r="J331" s="18"/>
      <c r="K331" s="18"/>
      <c r="L331" s="18"/>
      <c r="M331" s="18"/>
    </row>
    <row r="332" spans="1:13">
      <c r="A332" s="18"/>
      <c r="B332" s="18"/>
      <c r="C332" s="18"/>
      <c r="D332" s="18">
        <f>SUM(D310:D331)</f>
        <v>0.14933804711450638</v>
      </c>
      <c r="E332" s="18">
        <f>SUM(E310:E331)</f>
        <v>0.36737248146488849</v>
      </c>
      <c r="F332" s="18"/>
      <c r="G332" s="18"/>
      <c r="H332" s="18"/>
      <c r="I332" s="18"/>
      <c r="J332" s="18"/>
      <c r="K332" s="18"/>
      <c r="L332" s="18"/>
      <c r="M332" s="18"/>
    </row>
    <row r="333" spans="1: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41" spans="1:11" ht="16.8">
      <c r="A341" s="1" t="s">
        <v>109</v>
      </c>
    </row>
    <row r="342" spans="1:11">
      <c r="B342" t="s">
        <v>53</v>
      </c>
    </row>
    <row r="343" spans="1:11">
      <c r="A343" t="s">
        <v>29</v>
      </c>
      <c r="B343" t="s">
        <v>43</v>
      </c>
      <c r="C343" t="s">
        <v>99</v>
      </c>
      <c r="D343" t="s">
        <v>120</v>
      </c>
    </row>
    <row r="344" spans="1:11">
      <c r="A344">
        <v>0</v>
      </c>
      <c r="B344">
        <v>0</v>
      </c>
      <c r="C344">
        <f>EXP((($K$344*$K$353*A344)/($K$345))-(($K$344*$K$350)/($K$351)))</f>
        <v>4.7589732311647676E-2</v>
      </c>
      <c r="D344">
        <f>(B344-C344)^2</f>
        <v>2.264782621494283E-3</v>
      </c>
      <c r="J344" s="6" t="s">
        <v>207</v>
      </c>
      <c r="K344" s="6">
        <v>0.109853362323711</v>
      </c>
    </row>
    <row r="345" spans="1:11">
      <c r="A345">
        <v>20</v>
      </c>
      <c r="B345">
        <v>0</v>
      </c>
      <c r="C345">
        <f t="shared" ref="C345:C361" si="37">EXP((($K$344*$K$353*A345)/($K$345))-(($K$344*$K$350)/($K$351)))</f>
        <v>5.7127656095739318E-2</v>
      </c>
      <c r="D345">
        <f t="shared" ref="D345:D361" si="38">(B345-C345)^2</f>
        <v>3.2635690909930616E-3</v>
      </c>
      <c r="J345" s="6" t="s">
        <v>208</v>
      </c>
      <c r="K345" s="6">
        <v>1202.74343960279</v>
      </c>
    </row>
    <row r="346" spans="1:11">
      <c r="A346">
        <v>30</v>
      </c>
      <c r="B346">
        <v>0</v>
      </c>
      <c r="C346">
        <f t="shared" si="37"/>
        <v>6.259115670246139E-2</v>
      </c>
      <c r="D346">
        <f t="shared" si="38"/>
        <v>3.917652897352077E-3</v>
      </c>
    </row>
    <row r="347" spans="1:11">
      <c r="A347">
        <v>40</v>
      </c>
      <c r="B347">
        <v>0</v>
      </c>
      <c r="C347">
        <f t="shared" si="37"/>
        <v>6.8577168487125473E-2</v>
      </c>
      <c r="D347">
        <f t="shared" si="38"/>
        <v>4.7028280377115952E-3</v>
      </c>
      <c r="H347" s="6" t="s">
        <v>100</v>
      </c>
      <c r="I347" s="6">
        <f>(D362)</f>
        <v>0.15480326926680668</v>
      </c>
    </row>
    <row r="348" spans="1:11">
      <c r="A348">
        <v>50</v>
      </c>
      <c r="B348">
        <v>0</v>
      </c>
      <c r="C348">
        <f t="shared" si="37"/>
        <v>7.5135662695408473E-2</v>
      </c>
      <c r="D348">
        <f t="shared" si="38"/>
        <v>5.6453678086781965E-3</v>
      </c>
    </row>
    <row r="349" spans="1:11">
      <c r="A349">
        <v>60</v>
      </c>
      <c r="B349">
        <v>0</v>
      </c>
      <c r="C349">
        <f t="shared" si="37"/>
        <v>8.2321389658105357E-2</v>
      </c>
      <c r="D349">
        <f t="shared" si="38"/>
        <v>6.7768111952416152E-3</v>
      </c>
    </row>
    <row r="350" spans="1:11">
      <c r="A350">
        <v>90</v>
      </c>
      <c r="B350">
        <v>0</v>
      </c>
      <c r="C350">
        <f t="shared" si="37"/>
        <v>0.10827106499175976</v>
      </c>
      <c r="D350">
        <f t="shared" si="38"/>
        <v>1.1722623514449866E-2</v>
      </c>
      <c r="J350" t="s">
        <v>209</v>
      </c>
      <c r="K350">
        <v>4</v>
      </c>
    </row>
    <row r="351" spans="1:11">
      <c r="A351">
        <v>150</v>
      </c>
      <c r="B351">
        <v>0.02</v>
      </c>
      <c r="C351">
        <f t="shared" si="37"/>
        <v>0.18728881413991957</v>
      </c>
      <c r="D351">
        <f t="shared" si="38"/>
        <v>2.7985547336340559E-2</v>
      </c>
      <c r="J351" t="s">
        <v>210</v>
      </c>
      <c r="K351">
        <v>0.14430000000000001</v>
      </c>
    </row>
    <row r="352" spans="1:11">
      <c r="A352">
        <v>210</v>
      </c>
      <c r="B352">
        <v>0.28999999999999998</v>
      </c>
      <c r="C352">
        <f t="shared" si="37"/>
        <v>0.32397483025226514</v>
      </c>
      <c r="D352">
        <f t="shared" si="38"/>
        <v>1.1542890906702321E-3</v>
      </c>
      <c r="J352" t="s">
        <v>8</v>
      </c>
      <c r="K352">
        <v>4</v>
      </c>
    </row>
    <row r="353" spans="1:11">
      <c r="A353">
        <v>235</v>
      </c>
      <c r="B353">
        <v>0.45</v>
      </c>
      <c r="C353">
        <f t="shared" si="37"/>
        <v>0.40707806420887188</v>
      </c>
      <c r="D353">
        <f t="shared" si="38"/>
        <v>1.842292572057726E-3</v>
      </c>
      <c r="J353" t="s">
        <v>12</v>
      </c>
      <c r="K353">
        <v>100</v>
      </c>
    </row>
    <row r="354" spans="1:11">
      <c r="A354">
        <v>260</v>
      </c>
      <c r="B354">
        <v>0.63</v>
      </c>
      <c r="C354">
        <f t="shared" si="37"/>
        <v>0.51149822420158164</v>
      </c>
      <c r="D354">
        <f t="shared" si="38"/>
        <v>1.4042670867378612E-2</v>
      </c>
      <c r="J354" t="s">
        <v>106</v>
      </c>
      <c r="K354">
        <v>18</v>
      </c>
    </row>
    <row r="355" spans="1:11">
      <c r="A355">
        <v>280</v>
      </c>
      <c r="B355">
        <v>0.74</v>
      </c>
      <c r="C355">
        <f t="shared" si="37"/>
        <v>0.61401258688352611</v>
      </c>
      <c r="D355">
        <f t="shared" si="38"/>
        <v>1.5872828263781055E-2</v>
      </c>
      <c r="J355" t="s">
        <v>107</v>
      </c>
      <c r="K355">
        <v>2</v>
      </c>
    </row>
    <row r="356" spans="1:11">
      <c r="A356">
        <v>290</v>
      </c>
      <c r="B356">
        <v>0.79</v>
      </c>
      <c r="C356">
        <f t="shared" si="37"/>
        <v>0.67273472551548918</v>
      </c>
      <c r="D356">
        <f t="shared" si="38"/>
        <v>1.3751144599927672E-2</v>
      </c>
    </row>
    <row r="357" spans="1:11">
      <c r="A357">
        <v>300</v>
      </c>
      <c r="B357">
        <v>0.83</v>
      </c>
      <c r="C357">
        <f t="shared" si="37"/>
        <v>0.73707285580490967</v>
      </c>
      <c r="D357">
        <f t="shared" si="38"/>
        <v>8.6354541282551035E-3</v>
      </c>
    </row>
    <row r="358" spans="1:11">
      <c r="A358">
        <v>315</v>
      </c>
      <c r="B358">
        <v>0.87</v>
      </c>
      <c r="C358">
        <f t="shared" si="37"/>
        <v>0.84529884490005835</v>
      </c>
      <c r="D358">
        <f t="shared" si="38"/>
        <v>6.1014706327137296E-4</v>
      </c>
    </row>
    <row r="359" spans="1:11">
      <c r="A359">
        <v>320</v>
      </c>
      <c r="B359">
        <v>0.88</v>
      </c>
      <c r="C359">
        <f t="shared" si="37"/>
        <v>0.88479683701901202</v>
      </c>
      <c r="D359">
        <f t="shared" si="38"/>
        <v>2.3009645386964048E-5</v>
      </c>
    </row>
    <row r="360" spans="1:11">
      <c r="A360">
        <v>330</v>
      </c>
      <c r="B360">
        <v>0.89</v>
      </c>
      <c r="C360">
        <f t="shared" si="37"/>
        <v>0.96941588821512215</v>
      </c>
      <c r="D360">
        <f t="shared" si="38"/>
        <v>6.3068833009967745E-3</v>
      </c>
    </row>
    <row r="361" spans="1:11">
      <c r="A361">
        <v>340</v>
      </c>
      <c r="B361">
        <v>0.9</v>
      </c>
      <c r="C361">
        <f t="shared" si="37"/>
        <v>1.0621276263713866</v>
      </c>
      <c r="D361">
        <f t="shared" si="38"/>
        <v>2.6285367232819917E-2</v>
      </c>
    </row>
    <row r="362" spans="1:11">
      <c r="D362" s="6">
        <f>SUM(D344:D361)</f>
        <v>0.15480326926680668</v>
      </c>
    </row>
    <row r="370" spans="1:11" ht="16.8">
      <c r="A370" s="1" t="s">
        <v>184</v>
      </c>
    </row>
    <row r="371" spans="1:11">
      <c r="B371" t="s">
        <v>53</v>
      </c>
    </row>
    <row r="372" spans="1:11">
      <c r="A372" t="s">
        <v>29</v>
      </c>
      <c r="B372" t="s">
        <v>43</v>
      </c>
      <c r="C372" t="s">
        <v>99</v>
      </c>
      <c r="D372" t="s">
        <v>120</v>
      </c>
      <c r="E372" t="s">
        <v>137</v>
      </c>
    </row>
    <row r="373" spans="1:11">
      <c r="A373">
        <v>0</v>
      </c>
      <c r="B373">
        <v>0</v>
      </c>
      <c r="C373">
        <f>EXP((($K$373*$K$382*A373)/($K$374))-(($K$373*$K$379)/($K$380)))</f>
        <v>3.4771901293188912E-2</v>
      </c>
      <c r="D373">
        <f>(B373-C373)^2</f>
        <v>1.2090851195432728E-3</v>
      </c>
      <c r="E373">
        <f>ABS(B373-C373)</f>
        <v>3.4771901293188912E-2</v>
      </c>
      <c r="J373" t="s">
        <v>207</v>
      </c>
      <c r="K373">
        <v>0.121173964412349</v>
      </c>
    </row>
    <row r="374" spans="1:11">
      <c r="A374">
        <v>20</v>
      </c>
      <c r="B374">
        <v>0</v>
      </c>
      <c r="C374">
        <f t="shared" ref="C374:C390" si="39">EXP((($K$373*$K$382*A374)/($K$374))-(($K$373*$K$379)/($K$380)))</f>
        <v>4.2555813093645811E-2</v>
      </c>
      <c r="D374">
        <f t="shared" ref="D374:D390" si="40">(B374-C374)^2</f>
        <v>1.8109972280613163E-3</v>
      </c>
      <c r="E374">
        <f t="shared" ref="E374:E390" si="41">ABS(B374-C374)</f>
        <v>4.2555813093645811E-2</v>
      </c>
      <c r="J374" t="s">
        <v>208</v>
      </c>
      <c r="K374">
        <v>1199.70161551565</v>
      </c>
    </row>
    <row r="375" spans="1:11">
      <c r="A375">
        <v>30</v>
      </c>
      <c r="B375">
        <v>0</v>
      </c>
      <c r="C375">
        <f t="shared" si="39"/>
        <v>4.7078662937446905E-2</v>
      </c>
      <c r="D375">
        <f t="shared" si="40"/>
        <v>2.216400503977737E-3</v>
      </c>
      <c r="E375">
        <f t="shared" si="41"/>
        <v>4.7078662937446905E-2</v>
      </c>
    </row>
    <row r="376" spans="1:11">
      <c r="A376">
        <v>40</v>
      </c>
      <c r="B376">
        <v>0</v>
      </c>
      <c r="C376">
        <f t="shared" si="39"/>
        <v>5.2082203178692811E-2</v>
      </c>
      <c r="D376">
        <f t="shared" si="40"/>
        <v>2.7125558879466396E-3</v>
      </c>
      <c r="E376">
        <f t="shared" si="41"/>
        <v>5.2082203178692811E-2</v>
      </c>
      <c r="G376" t="s">
        <v>132</v>
      </c>
      <c r="H376">
        <f>(E391)</f>
        <v>1.4459887841440868</v>
      </c>
      <c r="J376" t="s">
        <v>104</v>
      </c>
      <c r="K376">
        <f>1-(D391/E391)</f>
        <v>0.88612467103416082</v>
      </c>
    </row>
    <row r="377" spans="1:11">
      <c r="A377">
        <v>50</v>
      </c>
      <c r="B377">
        <v>0</v>
      </c>
      <c r="C377">
        <f t="shared" si="39"/>
        <v>5.7617521796462103E-2</v>
      </c>
      <c r="D377">
        <f t="shared" si="40"/>
        <v>3.3197788179657856E-3</v>
      </c>
      <c r="E377">
        <f t="shared" si="41"/>
        <v>5.7617521796462103E-2</v>
      </c>
    </row>
    <row r="378" spans="1:11">
      <c r="A378">
        <v>60</v>
      </c>
      <c r="B378">
        <v>0</v>
      </c>
      <c r="C378">
        <f t="shared" si="39"/>
        <v>6.3741136421892566E-2</v>
      </c>
      <c r="D378">
        <f t="shared" si="40"/>
        <v>4.0629324723543189E-3</v>
      </c>
      <c r="E378">
        <f t="shared" si="41"/>
        <v>6.3741136421892566E-2</v>
      </c>
    </row>
    <row r="379" spans="1:11">
      <c r="A379">
        <v>90</v>
      </c>
      <c r="B379">
        <v>0</v>
      </c>
      <c r="C379">
        <f t="shared" si="39"/>
        <v>8.6300931650346774E-2</v>
      </c>
      <c r="D379">
        <f t="shared" si="40"/>
        <v>7.4478508037178256E-3</v>
      </c>
      <c r="E379">
        <f t="shared" si="41"/>
        <v>8.6300931650346774E-2</v>
      </c>
      <c r="J379" t="s">
        <v>209</v>
      </c>
      <c r="K379">
        <v>4</v>
      </c>
    </row>
    <row r="380" spans="1:11">
      <c r="A380">
        <v>150</v>
      </c>
      <c r="B380">
        <v>0.02</v>
      </c>
      <c r="C380">
        <f t="shared" si="39"/>
        <v>0.15820013439238351</v>
      </c>
      <c r="D380">
        <f t="shared" si="40"/>
        <v>1.9099277146072867E-2</v>
      </c>
      <c r="E380">
        <f t="shared" si="41"/>
        <v>0.13820013439238352</v>
      </c>
      <c r="J380" t="s">
        <v>210</v>
      </c>
      <c r="K380">
        <v>0.14430000000000001</v>
      </c>
    </row>
    <row r="381" spans="1:11">
      <c r="A381">
        <v>210</v>
      </c>
      <c r="B381">
        <v>0.28999999999999998</v>
      </c>
      <c r="C381">
        <f t="shared" si="39"/>
        <v>0.2900001430247322</v>
      </c>
      <c r="D381">
        <f t="shared" si="40"/>
        <v>2.045607402782494E-14</v>
      </c>
      <c r="E381">
        <f t="shared" si="41"/>
        <v>1.4302473222427281E-7</v>
      </c>
      <c r="J381" t="s">
        <v>8</v>
      </c>
      <c r="K381">
        <v>4</v>
      </c>
    </row>
    <row r="382" spans="1:11">
      <c r="A382">
        <v>235</v>
      </c>
      <c r="B382">
        <v>0.45</v>
      </c>
      <c r="C382">
        <f t="shared" si="39"/>
        <v>0.37330282836843276</v>
      </c>
      <c r="D382">
        <f t="shared" si="40"/>
        <v>5.882456136282084E-3</v>
      </c>
      <c r="E382">
        <f t="shared" si="41"/>
        <v>7.6697171631567251E-2</v>
      </c>
      <c r="J382" t="s">
        <v>12</v>
      </c>
      <c r="K382">
        <v>100</v>
      </c>
    </row>
    <row r="383" spans="1:11">
      <c r="A383">
        <v>260</v>
      </c>
      <c r="B383">
        <v>0.63</v>
      </c>
      <c r="C383">
        <f t="shared" si="39"/>
        <v>0.48053425151582363</v>
      </c>
      <c r="D383">
        <f t="shared" si="40"/>
        <v>2.2340009969935071E-2</v>
      </c>
      <c r="E383">
        <f t="shared" si="41"/>
        <v>0.14946574848417638</v>
      </c>
      <c r="J383" t="s">
        <v>106</v>
      </c>
      <c r="K383">
        <v>18</v>
      </c>
    </row>
    <row r="384" spans="1:11">
      <c r="A384">
        <v>280</v>
      </c>
      <c r="B384">
        <v>0.74</v>
      </c>
      <c r="C384">
        <f t="shared" si="39"/>
        <v>0.58810490747044686</v>
      </c>
      <c r="D384">
        <f t="shared" si="40"/>
        <v>2.3072119134561506E-2</v>
      </c>
      <c r="E384">
        <f t="shared" si="41"/>
        <v>0.15189509252955313</v>
      </c>
      <c r="J384" t="s">
        <v>107</v>
      </c>
      <c r="K384">
        <v>2</v>
      </c>
    </row>
    <row r="385" spans="1:5">
      <c r="A385">
        <v>290</v>
      </c>
      <c r="B385">
        <v>0.79</v>
      </c>
      <c r="C385">
        <f t="shared" si="39"/>
        <v>0.65060894617928622</v>
      </c>
      <c r="D385">
        <f t="shared" si="40"/>
        <v>1.9429865885249135E-2</v>
      </c>
      <c r="E385">
        <f t="shared" si="41"/>
        <v>0.13939105382071382</v>
      </c>
    </row>
    <row r="386" spans="1:5">
      <c r="A386">
        <v>300</v>
      </c>
      <c r="B386">
        <v>0.83</v>
      </c>
      <c r="C386">
        <f t="shared" si="39"/>
        <v>0.71975594060111181</v>
      </c>
      <c r="D386">
        <f t="shared" si="40"/>
        <v>1.2153752632745578E-2</v>
      </c>
      <c r="E386">
        <f t="shared" si="41"/>
        <v>0.11024405939888815</v>
      </c>
    </row>
    <row r="387" spans="1:5">
      <c r="A387">
        <v>315</v>
      </c>
      <c r="B387">
        <v>0.87</v>
      </c>
      <c r="C387">
        <f t="shared" si="39"/>
        <v>0.83749668961307999</v>
      </c>
      <c r="D387">
        <f t="shared" si="40"/>
        <v>1.0564651861084619E-3</v>
      </c>
      <c r="E387">
        <f t="shared" si="41"/>
        <v>3.2503310386920004E-2</v>
      </c>
    </row>
    <row r="388" spans="1:5">
      <c r="A388">
        <v>320</v>
      </c>
      <c r="B388">
        <v>0.88</v>
      </c>
      <c r="C388">
        <f t="shared" si="39"/>
        <v>0.88087789686846618</v>
      </c>
      <c r="D388">
        <f t="shared" si="40"/>
        <v>7.7070291166272002E-7</v>
      </c>
      <c r="E388">
        <f t="shared" si="41"/>
        <v>8.7789686846617698E-4</v>
      </c>
    </row>
    <row r="389" spans="1:5">
      <c r="A389">
        <v>330</v>
      </c>
      <c r="B389">
        <v>0.89</v>
      </c>
      <c r="C389">
        <f t="shared" si="39"/>
        <v>0.97449797291993889</v>
      </c>
      <c r="D389">
        <f t="shared" si="40"/>
        <v>7.1399074275787242E-3</v>
      </c>
      <c r="E389">
        <f t="shared" si="41"/>
        <v>8.449797291993888E-2</v>
      </c>
    </row>
    <row r="390" spans="1:5">
      <c r="A390">
        <v>340</v>
      </c>
      <c r="B390">
        <v>0.9</v>
      </c>
      <c r="C390">
        <f t="shared" si="39"/>
        <v>1.0780680303150716</v>
      </c>
      <c r="D390">
        <f t="shared" si="40"/>
        <v>3.1708223420289249E-2</v>
      </c>
      <c r="E390">
        <f t="shared" si="41"/>
        <v>0.17806803031507157</v>
      </c>
    </row>
    <row r="391" spans="1:5">
      <c r="D391">
        <f>SUM(D373:D390)</f>
        <v>0.16466244847532169</v>
      </c>
      <c r="E391">
        <f>SUM(E373:E390)</f>
        <v>1.4459887841440868</v>
      </c>
    </row>
    <row r="399" spans="1:5" ht="16.8">
      <c r="A399" s="10" t="s">
        <v>145</v>
      </c>
    </row>
    <row r="400" spans="1:5">
      <c r="B400" t="s">
        <v>53</v>
      </c>
    </row>
    <row r="401" spans="1:22">
      <c r="A401" t="s">
        <v>29</v>
      </c>
      <c r="B401" t="s">
        <v>43</v>
      </c>
      <c r="C401" t="s">
        <v>99</v>
      </c>
      <c r="D401" t="s">
        <v>120</v>
      </c>
      <c r="E401" t="s">
        <v>119</v>
      </c>
      <c r="V401" t="s">
        <v>219</v>
      </c>
    </row>
    <row r="402" spans="1:22">
      <c r="A402">
        <v>0</v>
      </c>
      <c r="B402">
        <v>0</v>
      </c>
      <c r="C402">
        <f>EXP((($K$402*$K$411*A402)/($K$403))-(($K$402*$K$408)/($K$409)))</f>
        <v>1.3449820746507855E-3</v>
      </c>
      <c r="D402">
        <f>(B402-C402)^2</f>
        <v>1.8089767811319312E-6</v>
      </c>
      <c r="E402">
        <v>0</v>
      </c>
      <c r="J402" s="6" t="s">
        <v>207</v>
      </c>
      <c r="K402" s="6">
        <v>0.238505338457422</v>
      </c>
    </row>
    <row r="403" spans="1:22">
      <c r="A403">
        <v>20</v>
      </c>
      <c r="B403">
        <v>0</v>
      </c>
      <c r="C403">
        <f t="shared" ref="C403:C419" si="42">EXP((($K$402*$K$411*A403)/($K$403))-(($K$402*$K$408)/($K$409)))</f>
        <v>2.0162766403139984E-3</v>
      </c>
      <c r="D403">
        <f t="shared" ref="D403:D419" si="43">(B403-C403)^2</f>
        <v>4.0653714902759047E-6</v>
      </c>
      <c r="E403">
        <v>0</v>
      </c>
      <c r="J403" s="6" t="s">
        <v>208</v>
      </c>
      <c r="K403" s="6">
        <v>1178.1768586556</v>
      </c>
    </row>
    <row r="404" spans="1:22">
      <c r="A404">
        <v>30</v>
      </c>
      <c r="B404">
        <v>0</v>
      </c>
      <c r="C404">
        <f t="shared" si="42"/>
        <v>2.4686921141896497E-3</v>
      </c>
      <c r="D404">
        <f t="shared" si="43"/>
        <v>6.0944407546621619E-6</v>
      </c>
      <c r="E404">
        <v>0</v>
      </c>
    </row>
    <row r="405" spans="1:22">
      <c r="A405">
        <v>40</v>
      </c>
      <c r="B405">
        <v>0</v>
      </c>
      <c r="C405">
        <f t="shared" si="42"/>
        <v>3.0226213173372199E-3</v>
      </c>
      <c r="D405">
        <f t="shared" si="43"/>
        <v>9.1362396280213902E-6</v>
      </c>
      <c r="E405">
        <v>0</v>
      </c>
      <c r="H405" s="6" t="s">
        <v>121</v>
      </c>
      <c r="I405" s="6">
        <f>(100)*(1/16)^(0.5)*(E420)^(0.5)</f>
        <v>83.34894102779441</v>
      </c>
    </row>
    <row r="406" spans="1:22">
      <c r="A406">
        <v>50</v>
      </c>
      <c r="B406">
        <v>0</v>
      </c>
      <c r="C406">
        <f t="shared" si="42"/>
        <v>3.700842067549749E-3</v>
      </c>
      <c r="D406">
        <f t="shared" si="43"/>
        <v>1.3696232008945901E-5</v>
      </c>
      <c r="E406">
        <v>0</v>
      </c>
    </row>
    <row r="407" spans="1:22">
      <c r="A407">
        <v>60</v>
      </c>
      <c r="B407">
        <v>0</v>
      </c>
      <c r="C407">
        <f t="shared" si="42"/>
        <v>4.531243106897568E-3</v>
      </c>
      <c r="D407">
        <f t="shared" si="43"/>
        <v>2.0532164093806725E-5</v>
      </c>
      <c r="E407">
        <v>9</v>
      </c>
    </row>
    <row r="408" spans="1:22">
      <c r="A408">
        <v>90</v>
      </c>
      <c r="B408">
        <v>0</v>
      </c>
      <c r="C408">
        <f t="shared" si="42"/>
        <v>8.317020974706036E-3</v>
      </c>
      <c r="D408">
        <f t="shared" si="43"/>
        <v>6.9172837893700137E-5</v>
      </c>
      <c r="E408">
        <v>0</v>
      </c>
      <c r="J408" t="s">
        <v>209</v>
      </c>
      <c r="K408">
        <v>4</v>
      </c>
    </row>
    <row r="409" spans="1:22">
      <c r="A409">
        <v>150</v>
      </c>
      <c r="B409">
        <v>0.02</v>
      </c>
      <c r="C409">
        <f t="shared" si="42"/>
        <v>2.8020034372089473E-2</v>
      </c>
      <c r="D409">
        <f t="shared" si="43"/>
        <v>6.4320951329496578E-5</v>
      </c>
      <c r="E409">
        <f>((B409-C409)/B409)^2</f>
        <v>0.16080237832374147</v>
      </c>
      <c r="J409" t="s">
        <v>210</v>
      </c>
      <c r="K409">
        <v>0.14430000000000001</v>
      </c>
    </row>
    <row r="410" spans="1:22">
      <c r="A410">
        <v>210</v>
      </c>
      <c r="B410">
        <v>0.28999999999999998</v>
      </c>
      <c r="C410">
        <f t="shared" si="42"/>
        <v>9.4399464495858718E-2</v>
      </c>
      <c r="D410">
        <f t="shared" si="43"/>
        <v>3.8259569489506824E-2</v>
      </c>
      <c r="E410">
        <f t="shared" ref="E410:E419" si="44">((B410-C410)/B410)^2</f>
        <v>0.45492948263385041</v>
      </c>
      <c r="J410" t="s">
        <v>8</v>
      </c>
      <c r="K410">
        <v>4</v>
      </c>
    </row>
    <row r="411" spans="1:22">
      <c r="A411">
        <v>235</v>
      </c>
      <c r="B411">
        <v>0.45</v>
      </c>
      <c r="C411">
        <f t="shared" si="42"/>
        <v>0.1565891110209098</v>
      </c>
      <c r="D411">
        <f t="shared" si="43"/>
        <v>8.6089949771499988E-2</v>
      </c>
      <c r="E411">
        <f t="shared" si="44"/>
        <v>0.42513555442716039</v>
      </c>
      <c r="J411" t="s">
        <v>12</v>
      </c>
      <c r="K411">
        <v>100</v>
      </c>
    </row>
    <row r="412" spans="1:22">
      <c r="A412">
        <v>260</v>
      </c>
      <c r="B412">
        <v>0.63</v>
      </c>
      <c r="C412">
        <f t="shared" si="42"/>
        <v>0.25974882189500625</v>
      </c>
      <c r="D412">
        <f t="shared" si="43"/>
        <v>0.13708593488813581</v>
      </c>
      <c r="E412">
        <f t="shared" si="44"/>
        <v>0.34539162229311104</v>
      </c>
      <c r="J412" t="s">
        <v>106</v>
      </c>
      <c r="K412">
        <v>18</v>
      </c>
    </row>
    <row r="413" spans="1:22">
      <c r="A413">
        <v>280</v>
      </c>
      <c r="B413">
        <v>0.74</v>
      </c>
      <c r="C413">
        <f t="shared" si="42"/>
        <v>0.3893921650011315</v>
      </c>
      <c r="D413">
        <f t="shared" si="43"/>
        <v>0.1229258539625938</v>
      </c>
      <c r="E413">
        <f t="shared" si="44"/>
        <v>0.2244811065788784</v>
      </c>
      <c r="J413" t="s">
        <v>107</v>
      </c>
      <c r="K413">
        <v>2</v>
      </c>
    </row>
    <row r="414" spans="1:22">
      <c r="A414">
        <v>290</v>
      </c>
      <c r="B414">
        <v>0.79</v>
      </c>
      <c r="C414">
        <f t="shared" si="42"/>
        <v>0.47676462041231848</v>
      </c>
      <c r="D414">
        <f t="shared" si="43"/>
        <v>9.8116403025438947E-2</v>
      </c>
      <c r="E414">
        <f t="shared" si="44"/>
        <v>0.1572126310293846</v>
      </c>
    </row>
    <row r="415" spans="1:22">
      <c r="A415">
        <v>300</v>
      </c>
      <c r="B415">
        <v>0.83</v>
      </c>
      <c r="C415">
        <f t="shared" si="42"/>
        <v>0.58374185129339107</v>
      </c>
      <c r="D415">
        <f t="shared" si="43"/>
        <v>6.0643075804406296E-2</v>
      </c>
      <c r="E415">
        <f t="shared" si="44"/>
        <v>8.8028851508791264E-2</v>
      </c>
    </row>
    <row r="416" spans="1:22">
      <c r="A416">
        <v>315</v>
      </c>
      <c r="B416">
        <v>0.87</v>
      </c>
      <c r="C416">
        <f t="shared" si="42"/>
        <v>0.79085351252031244</v>
      </c>
      <c r="D416">
        <f t="shared" si="43"/>
        <v>6.264166480372339E-3</v>
      </c>
      <c r="E416">
        <f t="shared" si="44"/>
        <v>8.2760820192526608E-3</v>
      </c>
    </row>
    <row r="417" spans="1:11">
      <c r="A417">
        <v>320</v>
      </c>
      <c r="B417">
        <v>0.88</v>
      </c>
      <c r="C417">
        <f t="shared" si="42"/>
        <v>0.87509349077541243</v>
      </c>
      <c r="D417">
        <f t="shared" si="43"/>
        <v>2.4073832770962959E-5</v>
      </c>
      <c r="E417">
        <f t="shared" si="44"/>
        <v>3.1087077441842668E-5</v>
      </c>
    </row>
    <row r="418" spans="1:11">
      <c r="A418">
        <v>330</v>
      </c>
      <c r="B418">
        <v>0.89</v>
      </c>
      <c r="C418">
        <f t="shared" si="42"/>
        <v>1.0714484097378218</v>
      </c>
      <c r="D418">
        <f t="shared" si="43"/>
        <v>3.2923525396384476E-2</v>
      </c>
      <c r="E418">
        <f t="shared" si="44"/>
        <v>4.1564859735367346E-2</v>
      </c>
    </row>
    <row r="419" spans="1:11">
      <c r="A419">
        <v>340</v>
      </c>
      <c r="B419">
        <v>0.9</v>
      </c>
      <c r="C419">
        <f t="shared" si="42"/>
        <v>1.3118617688636609</v>
      </c>
      <c r="D419">
        <f t="shared" si="43"/>
        <v>0.16963011665150363</v>
      </c>
      <c r="E419">
        <f t="shared" si="44"/>
        <v>0.20941989710062175</v>
      </c>
    </row>
    <row r="420" spans="1:11">
      <c r="D420" s="6">
        <f>SUM(D402:D419)</f>
        <v>0.75215149651659297</v>
      </c>
      <c r="E420">
        <f>SUM(E402:E419)</f>
        <v>11.115273552727601</v>
      </c>
    </row>
    <row r="429" spans="1:11" ht="16.8">
      <c r="A429" s="1" t="s">
        <v>125</v>
      </c>
    </row>
    <row r="430" spans="1:11">
      <c r="B430" t="s">
        <v>53</v>
      </c>
    </row>
    <row r="431" spans="1:11">
      <c r="A431" t="s">
        <v>29</v>
      </c>
      <c r="B431" t="s">
        <v>43</v>
      </c>
      <c r="C431" t="s">
        <v>99</v>
      </c>
      <c r="D431" t="s">
        <v>120</v>
      </c>
      <c r="E431" t="s">
        <v>220</v>
      </c>
    </row>
    <row r="432" spans="1:11">
      <c r="A432">
        <v>0</v>
      </c>
      <c r="B432">
        <v>0</v>
      </c>
      <c r="C432">
        <f>EXP((($K$432*$K$441*A432)/($K$433))-(($K$432*$K$438)/($K$439)))</f>
        <v>1.0746661996356224E-2</v>
      </c>
      <c r="D432">
        <f>(B432-C432)^2</f>
        <v>1.1549074406392715E-4</v>
      </c>
      <c r="E432">
        <v>0</v>
      </c>
      <c r="J432" s="6" t="s">
        <v>207</v>
      </c>
      <c r="K432" s="6">
        <v>0.16353375005173401</v>
      </c>
    </row>
    <row r="433" spans="1:11">
      <c r="A433">
        <v>20</v>
      </c>
      <c r="B433">
        <v>0</v>
      </c>
      <c r="C433">
        <f t="shared" ref="C433:C449" si="45">EXP((($K$432*$K$441*A433)/($K$433))-(($K$432*$K$438)/($K$439)))</f>
        <v>1.4162477201047872E-2</v>
      </c>
      <c r="D433">
        <f t="shared" ref="D433:D449" si="46">(B433-C433)^2</f>
        <v>2.0057576047020079E-4</v>
      </c>
      <c r="E433">
        <v>0</v>
      </c>
      <c r="J433" s="6" t="s">
        <v>208</v>
      </c>
      <c r="K433" s="6">
        <v>1185.0236443190099</v>
      </c>
    </row>
    <row r="434" spans="1:11">
      <c r="A434">
        <v>30</v>
      </c>
      <c r="B434">
        <v>0</v>
      </c>
      <c r="C434">
        <f t="shared" si="45"/>
        <v>1.6258184241479175E-2</v>
      </c>
      <c r="D434">
        <f t="shared" si="46"/>
        <v>2.6432855482988178E-4</v>
      </c>
      <c r="E434">
        <v>0</v>
      </c>
    </row>
    <row r="435" spans="1:11">
      <c r="A435">
        <v>40</v>
      </c>
      <c r="B435">
        <v>0</v>
      </c>
      <c r="C435">
        <f t="shared" si="45"/>
        <v>1.8664005673408923E-2</v>
      </c>
      <c r="D435">
        <f t="shared" si="46"/>
        <v>3.4834510777704045E-4</v>
      </c>
      <c r="E435">
        <v>0</v>
      </c>
      <c r="J435" t="s">
        <v>104</v>
      </c>
      <c r="K435">
        <f>1-(D450/E450)</f>
        <v>0.52112604534592732</v>
      </c>
    </row>
    <row r="436" spans="1:11">
      <c r="A436">
        <v>50</v>
      </c>
      <c r="B436">
        <v>0</v>
      </c>
      <c r="C436">
        <f t="shared" si="45"/>
        <v>2.1425830990911929E-2</v>
      </c>
      <c r="D436">
        <f t="shared" si="46"/>
        <v>4.5906623365112205E-4</v>
      </c>
      <c r="E436">
        <v>0</v>
      </c>
      <c r="G436" s="6" t="s">
        <v>134</v>
      </c>
      <c r="H436" s="6">
        <f>(100/16)*(E450)</f>
        <v>4.1138388722337265</v>
      </c>
    </row>
    <row r="437" spans="1:11">
      <c r="A437">
        <v>60</v>
      </c>
      <c r="B437">
        <v>0</v>
      </c>
      <c r="C437">
        <f t="shared" si="45"/>
        <v>2.4596340232856079E-2</v>
      </c>
      <c r="D437">
        <f t="shared" si="46"/>
        <v>6.0497995285041463E-4</v>
      </c>
      <c r="E437">
        <v>0</v>
      </c>
    </row>
    <row r="438" spans="1:11">
      <c r="A438">
        <v>90</v>
      </c>
      <c r="B438">
        <v>0</v>
      </c>
      <c r="C438">
        <f t="shared" si="45"/>
        <v>3.7210794506002773E-2</v>
      </c>
      <c r="D438">
        <f t="shared" si="46"/>
        <v>1.3846432277679662E-3</v>
      </c>
      <c r="E438">
        <v>0</v>
      </c>
      <c r="J438" t="s">
        <v>209</v>
      </c>
      <c r="K438">
        <v>4</v>
      </c>
    </row>
    <row r="439" spans="1:11">
      <c r="A439">
        <v>150</v>
      </c>
      <c r="B439">
        <v>0.02</v>
      </c>
      <c r="C439">
        <f t="shared" si="45"/>
        <v>8.5165920572812429E-2</v>
      </c>
      <c r="D439">
        <f t="shared" si="46"/>
        <v>4.2465972041020976E-3</v>
      </c>
      <c r="E439">
        <f>(B439-C439)^2/B439</f>
        <v>0.21232986020510489</v>
      </c>
      <c r="J439" t="s">
        <v>210</v>
      </c>
      <c r="K439">
        <v>0.14430000000000001</v>
      </c>
    </row>
    <row r="440" spans="1:11">
      <c r="A440">
        <v>210</v>
      </c>
      <c r="B440">
        <v>0.28999999999999998</v>
      </c>
      <c r="C440">
        <f t="shared" si="45"/>
        <v>0.19492284761198844</v>
      </c>
      <c r="D440">
        <f t="shared" si="46"/>
        <v>9.0396649062131681E-3</v>
      </c>
      <c r="E440">
        <f t="shared" ref="E440:E449" si="47">(B440-C440)^2/B440</f>
        <v>3.1171258297286789E-2</v>
      </c>
      <c r="J440" t="s">
        <v>8</v>
      </c>
      <c r="K440">
        <v>4</v>
      </c>
    </row>
    <row r="441" spans="1:11">
      <c r="A441">
        <v>235</v>
      </c>
      <c r="B441">
        <v>0.45</v>
      </c>
      <c r="C441">
        <f t="shared" si="45"/>
        <v>0.27522937879191844</v>
      </c>
      <c r="D441">
        <f t="shared" si="46"/>
        <v>3.0544770037458729E-2</v>
      </c>
      <c r="E441">
        <f t="shared" si="47"/>
        <v>6.787726674990828E-2</v>
      </c>
      <c r="J441" t="s">
        <v>12</v>
      </c>
      <c r="K441">
        <v>100</v>
      </c>
    </row>
    <row r="442" spans="1:11">
      <c r="A442">
        <v>260</v>
      </c>
      <c r="B442">
        <v>0.63</v>
      </c>
      <c r="C442">
        <f t="shared" si="45"/>
        <v>0.38862150783357596</v>
      </c>
      <c r="D442">
        <f t="shared" si="46"/>
        <v>5.8263576480536435E-2</v>
      </c>
      <c r="E442">
        <f t="shared" si="47"/>
        <v>9.2481867429422909E-2</v>
      </c>
      <c r="J442" t="s">
        <v>106</v>
      </c>
      <c r="K442">
        <v>18</v>
      </c>
    </row>
    <row r="443" spans="1:11">
      <c r="A443">
        <v>280</v>
      </c>
      <c r="B443">
        <v>0.74</v>
      </c>
      <c r="C443">
        <f t="shared" si="45"/>
        <v>0.51214444507475942</v>
      </c>
      <c r="D443">
        <f t="shared" si="46"/>
        <v>5.1918153910289318E-2</v>
      </c>
      <c r="E443">
        <f t="shared" si="47"/>
        <v>7.0159667446336921E-2</v>
      </c>
      <c r="J443" t="s">
        <v>107</v>
      </c>
      <c r="K443">
        <v>2</v>
      </c>
    </row>
    <row r="444" spans="1:11">
      <c r="A444">
        <v>290</v>
      </c>
      <c r="B444">
        <v>0.79</v>
      </c>
      <c r="C444">
        <f t="shared" si="45"/>
        <v>0.58792954283869792</v>
      </c>
      <c r="D444">
        <f t="shared" si="46"/>
        <v>4.0832469657377635E-2</v>
      </c>
      <c r="E444">
        <f t="shared" si="47"/>
        <v>5.1686670452376751E-2</v>
      </c>
    </row>
    <row r="445" spans="1:11">
      <c r="A445">
        <v>300</v>
      </c>
      <c r="B445">
        <v>0.83</v>
      </c>
      <c r="C445">
        <f t="shared" si="45"/>
        <v>0.67492901791029491</v>
      </c>
      <c r="D445">
        <f t="shared" si="46"/>
        <v>2.4047009486265623E-2</v>
      </c>
      <c r="E445">
        <f t="shared" si="47"/>
        <v>2.8972300585862198E-2</v>
      </c>
    </row>
    <row r="446" spans="1:11">
      <c r="A446">
        <v>315</v>
      </c>
      <c r="B446">
        <v>0.87</v>
      </c>
      <c r="C446">
        <f t="shared" si="45"/>
        <v>0.83015144110258332</v>
      </c>
      <c r="D446">
        <f t="shared" si="46"/>
        <v>1.5879076462008857E-3</v>
      </c>
      <c r="E446">
        <f t="shared" si="47"/>
        <v>1.8251812025297538E-3</v>
      </c>
    </row>
    <row r="447" spans="1:11">
      <c r="A447">
        <v>320</v>
      </c>
      <c r="B447">
        <v>0.88</v>
      </c>
      <c r="C447">
        <f t="shared" si="45"/>
        <v>0.88945449589101766</v>
      </c>
      <c r="D447">
        <f t="shared" si="46"/>
        <v>8.938749255326974E-5</v>
      </c>
      <c r="E447">
        <f t="shared" si="47"/>
        <v>1.0157669608326106E-4</v>
      </c>
    </row>
    <row r="448" spans="1:11">
      <c r="A448">
        <v>330</v>
      </c>
      <c r="B448">
        <v>0.89</v>
      </c>
      <c r="C448">
        <f t="shared" si="45"/>
        <v>1.0210724341034203</v>
      </c>
      <c r="D448">
        <f t="shared" si="46"/>
        <v>1.7179982981795454E-2</v>
      </c>
      <c r="E448">
        <f t="shared" si="47"/>
        <v>1.9303351664938712E-2</v>
      </c>
    </row>
    <row r="449" spans="1:11">
      <c r="A449">
        <v>340</v>
      </c>
      <c r="B449">
        <v>0.9</v>
      </c>
      <c r="C449">
        <f t="shared" si="45"/>
        <v>1.1721666712600778</v>
      </c>
      <c r="D449">
        <f t="shared" si="46"/>
        <v>7.4074696944791241E-2</v>
      </c>
      <c r="E449">
        <f t="shared" si="47"/>
        <v>8.2305218827545823E-2</v>
      </c>
    </row>
    <row r="450" spans="1:11">
      <c r="D450">
        <f>SUM(D432:D449)</f>
        <v>0.31520164632899439</v>
      </c>
      <c r="E450">
        <f>SUM(E432:E449)</f>
        <v>0.65821421955739623</v>
      </c>
    </row>
    <row r="457" spans="1:11" ht="16.8">
      <c r="A457" s="1" t="s">
        <v>177</v>
      </c>
    </row>
    <row r="458" spans="1:11">
      <c r="B458" t="s">
        <v>55</v>
      </c>
    </row>
    <row r="459" spans="1:11">
      <c r="A459" t="s">
        <v>29</v>
      </c>
      <c r="B459" t="s">
        <v>43</v>
      </c>
      <c r="C459" t="s">
        <v>99</v>
      </c>
      <c r="D459" t="s">
        <v>120</v>
      </c>
    </row>
    <row r="460" spans="1:11">
      <c r="A460">
        <v>0</v>
      </c>
      <c r="B460">
        <v>0</v>
      </c>
      <c r="C460">
        <f>EXP((($K$461*$K$469*A460)/($K$462))-(($K$461*$K$467)/($K$466)))</f>
        <v>0.22376348225401591</v>
      </c>
      <c r="D460">
        <f>(B460-C460)^2</f>
        <v>5.0070095990443292E-2</v>
      </c>
    </row>
    <row r="461" spans="1:11">
      <c r="A461">
        <v>10</v>
      </c>
      <c r="B461">
        <v>0</v>
      </c>
      <c r="C461">
        <f t="shared" ref="C461:C468" si="48">EXP((($K$461*$K$469*A461)/($K$462))-(($K$461*$K$467)/($K$466)))</f>
        <v>0.25544345596158097</v>
      </c>
      <c r="D461">
        <f t="shared" ref="D461:D468" si="49">(B461-C461)^2</f>
        <v>6.5251359193596162E-2</v>
      </c>
      <c r="J461" s="6" t="s">
        <v>207</v>
      </c>
      <c r="K461" s="6">
        <v>0.162143041818258</v>
      </c>
    </row>
    <row r="462" spans="1:11">
      <c r="A462">
        <v>20</v>
      </c>
      <c r="B462">
        <v>0.08</v>
      </c>
      <c r="C462">
        <f t="shared" si="48"/>
        <v>0.29160861520524117</v>
      </c>
      <c r="D462">
        <f t="shared" si="49"/>
        <v>4.4778206029079816E-2</v>
      </c>
      <c r="J462" s="6" t="s">
        <v>208</v>
      </c>
      <c r="K462" s="6">
        <v>1224.5392794049601</v>
      </c>
    </row>
    <row r="463" spans="1:11">
      <c r="A463">
        <v>30</v>
      </c>
      <c r="B463">
        <v>0.32</v>
      </c>
      <c r="C463">
        <f t="shared" si="48"/>
        <v>0.33289396333060833</v>
      </c>
      <c r="D463">
        <f t="shared" si="49"/>
        <v>1.6625429037107217E-4</v>
      </c>
      <c r="F463" s="6" t="s">
        <v>100</v>
      </c>
      <c r="G463" s="6">
        <f>(D469)</f>
        <v>0.32907459717570875</v>
      </c>
    </row>
    <row r="464" spans="1:11">
      <c r="A464">
        <v>48</v>
      </c>
      <c r="B464">
        <v>0.62</v>
      </c>
      <c r="C464">
        <f t="shared" si="48"/>
        <v>0.42248952373717369</v>
      </c>
      <c r="D464">
        <f t="shared" si="49"/>
        <v>3.9010388233568477E-2</v>
      </c>
    </row>
    <row r="465" spans="1:11">
      <c r="A465">
        <v>60</v>
      </c>
      <c r="B465">
        <v>0.74</v>
      </c>
      <c r="C465">
        <f t="shared" si="48"/>
        <v>0.49524788274504766</v>
      </c>
      <c r="D465">
        <f t="shared" si="49"/>
        <v>5.9903598900781931E-2</v>
      </c>
    </row>
    <row r="466" spans="1:11">
      <c r="A466">
        <v>85</v>
      </c>
      <c r="B466">
        <v>0.86</v>
      </c>
      <c r="C466">
        <f t="shared" si="48"/>
        <v>0.68958300669940809</v>
      </c>
      <c r="D466">
        <f t="shared" si="49"/>
        <v>2.9041951605613986E-2</v>
      </c>
      <c r="J466" t="s">
        <v>210</v>
      </c>
      <c r="K466">
        <v>0.43319999999999997</v>
      </c>
    </row>
    <row r="467" spans="1:11">
      <c r="A467">
        <v>100</v>
      </c>
      <c r="B467">
        <v>0.89</v>
      </c>
      <c r="C467">
        <f t="shared" si="48"/>
        <v>0.84109471591168627</v>
      </c>
      <c r="D467">
        <f t="shared" si="49"/>
        <v>2.3917268117586731E-3</v>
      </c>
      <c r="J467" t="s">
        <v>209</v>
      </c>
      <c r="K467">
        <v>4</v>
      </c>
    </row>
    <row r="468" spans="1:11">
      <c r="A468">
        <v>120</v>
      </c>
      <c r="B468">
        <v>0.9</v>
      </c>
      <c r="C468">
        <f t="shared" si="48"/>
        <v>1.0961148034200767</v>
      </c>
      <c r="D468">
        <f t="shared" si="49"/>
        <v>3.846101612049533E-2</v>
      </c>
      <c r="J468" t="s">
        <v>8</v>
      </c>
      <c r="K468">
        <v>12</v>
      </c>
    </row>
    <row r="469" spans="1:11">
      <c r="D469" s="6">
        <f>SUM(D460:D468)</f>
        <v>0.32907459717570875</v>
      </c>
      <c r="J469" t="s">
        <v>12</v>
      </c>
      <c r="K469">
        <v>100</v>
      </c>
    </row>
    <row r="470" spans="1:11">
      <c r="J470" t="s">
        <v>106</v>
      </c>
      <c r="K470">
        <v>9</v>
      </c>
    </row>
    <row r="471" spans="1:11">
      <c r="J471" t="s">
        <v>107</v>
      </c>
      <c r="K471">
        <v>2</v>
      </c>
    </row>
    <row r="477" spans="1:11" ht="16.8">
      <c r="A477" s="1" t="s">
        <v>184</v>
      </c>
    </row>
    <row r="478" spans="1:11">
      <c r="B478" t="s">
        <v>55</v>
      </c>
    </row>
    <row r="479" spans="1:11">
      <c r="A479" t="s">
        <v>29</v>
      </c>
      <c r="B479" t="s">
        <v>43</v>
      </c>
      <c r="C479" t="s">
        <v>99</v>
      </c>
      <c r="D479" t="s">
        <v>120</v>
      </c>
      <c r="E479" t="s">
        <v>137</v>
      </c>
    </row>
    <row r="480" spans="1:11">
      <c r="A480">
        <v>0</v>
      </c>
      <c r="B480">
        <v>0</v>
      </c>
      <c r="C480">
        <f>EXP((($K$481*$K$489*A480)/($K$482))-(($K$481*$K$487)/($K$486)))</f>
        <v>0.21921466920087959</v>
      </c>
      <c r="D480">
        <f>(B480-C480)^2</f>
        <v>4.8055071192851066E-2</v>
      </c>
      <c r="E480">
        <f>ABS(B480-C480)</f>
        <v>0.21921466920087959</v>
      </c>
    </row>
    <row r="481" spans="1:11">
      <c r="A481">
        <v>10</v>
      </c>
      <c r="B481">
        <v>0</v>
      </c>
      <c r="C481">
        <f t="shared" ref="C481:C488" si="50">EXP((($K$481*$K$489*A481)/($K$482))-(($K$481*$K$487)/($K$486)))</f>
        <v>0.25218639439316853</v>
      </c>
      <c r="D481">
        <f t="shared" ref="D481:D488" si="51">(B481-C481)^2</f>
        <v>6.3597977517026741E-2</v>
      </c>
      <c r="E481">
        <f t="shared" ref="E481:E488" si="52">ABS(B481-C481)</f>
        <v>0.25218639439316853</v>
      </c>
      <c r="J481" s="6" t="s">
        <v>207</v>
      </c>
      <c r="K481" s="6">
        <v>0.164367322039324</v>
      </c>
    </row>
    <row r="482" spans="1:11">
      <c r="A482">
        <v>20</v>
      </c>
      <c r="B482">
        <v>0.08</v>
      </c>
      <c r="C482">
        <f t="shared" si="50"/>
        <v>0.29011734364705355</v>
      </c>
      <c r="D482">
        <f t="shared" si="51"/>
        <v>4.4149298101293991E-2</v>
      </c>
      <c r="E482">
        <f t="shared" si="52"/>
        <v>0.21011734364705353</v>
      </c>
      <c r="J482" s="6" t="s">
        <v>208</v>
      </c>
      <c r="K482" s="6">
        <v>1173.0719471595401</v>
      </c>
    </row>
    <row r="483" spans="1:11">
      <c r="A483">
        <v>30</v>
      </c>
      <c r="B483">
        <v>0.32</v>
      </c>
      <c r="C483">
        <f t="shared" si="50"/>
        <v>0.3337534258632574</v>
      </c>
      <c r="D483">
        <f t="shared" si="51"/>
        <v>1.8915672297611745E-4</v>
      </c>
      <c r="E483">
        <f t="shared" si="52"/>
        <v>1.3753425863257396E-2</v>
      </c>
      <c r="G483" s="6" t="s">
        <v>132</v>
      </c>
      <c r="H483" s="6">
        <f>(E489)</f>
        <v>1.5342051024741852</v>
      </c>
    </row>
    <row r="484" spans="1:11">
      <c r="A484">
        <v>48</v>
      </c>
      <c r="B484">
        <v>0.62</v>
      </c>
      <c r="C484">
        <f t="shared" si="50"/>
        <v>0.42949627755067232</v>
      </c>
      <c r="D484">
        <f t="shared" si="51"/>
        <v>3.6291668267050471E-2</v>
      </c>
      <c r="E484">
        <f t="shared" si="52"/>
        <v>0.19050372244932767</v>
      </c>
    </row>
    <row r="485" spans="1:11">
      <c r="A485">
        <v>60</v>
      </c>
      <c r="B485">
        <v>0.74</v>
      </c>
      <c r="C485">
        <f t="shared" si="50"/>
        <v>0.50813820845805846</v>
      </c>
      <c r="D485">
        <f t="shared" si="51"/>
        <v>5.3759890377038752E-2</v>
      </c>
      <c r="E485">
        <f t="shared" si="52"/>
        <v>0.23186179154194153</v>
      </c>
    </row>
    <row r="486" spans="1:11">
      <c r="A486">
        <v>85</v>
      </c>
      <c r="B486">
        <v>0.86</v>
      </c>
      <c r="C486">
        <f t="shared" si="50"/>
        <v>0.72129338931641152</v>
      </c>
      <c r="D486">
        <f t="shared" si="51"/>
        <v>1.923952384732858E-2</v>
      </c>
      <c r="E486">
        <f t="shared" si="52"/>
        <v>0.13870661068358847</v>
      </c>
      <c r="J486" t="s">
        <v>210</v>
      </c>
      <c r="K486">
        <v>0.43319999999999997</v>
      </c>
    </row>
    <row r="487" spans="1:11">
      <c r="A487">
        <v>100</v>
      </c>
      <c r="B487">
        <v>0.89</v>
      </c>
      <c r="C487">
        <f t="shared" si="50"/>
        <v>0.89000001050984257</v>
      </c>
      <c r="D487">
        <f t="shared" si="51"/>
        <v>1.1045679046358364E-16</v>
      </c>
      <c r="E487">
        <f t="shared" si="52"/>
        <v>1.0509842551797988E-8</v>
      </c>
      <c r="J487" t="s">
        <v>209</v>
      </c>
      <c r="K487">
        <v>4</v>
      </c>
    </row>
    <row r="488" spans="1:11">
      <c r="A488">
        <v>120</v>
      </c>
      <c r="B488">
        <v>0.9</v>
      </c>
      <c r="C488">
        <f t="shared" si="50"/>
        <v>1.1778611341851262</v>
      </c>
      <c r="D488">
        <f t="shared" si="51"/>
        <v>7.7206809890644684E-2</v>
      </c>
      <c r="E488">
        <f t="shared" si="52"/>
        <v>0.27786113418512615</v>
      </c>
      <c r="J488" t="s">
        <v>8</v>
      </c>
      <c r="K488">
        <v>12</v>
      </c>
    </row>
    <row r="489" spans="1:11">
      <c r="D489">
        <f>SUM(D480:D488)</f>
        <v>0.34248939591621053</v>
      </c>
      <c r="E489" s="6">
        <f>SUM(E480:E488)</f>
        <v>1.5342051024741852</v>
      </c>
      <c r="J489" t="s">
        <v>12</v>
      </c>
      <c r="K489">
        <v>100</v>
      </c>
    </row>
    <row r="490" spans="1:11">
      <c r="J490" t="s">
        <v>106</v>
      </c>
      <c r="K490">
        <v>9</v>
      </c>
    </row>
    <row r="491" spans="1:11">
      <c r="J491" t="s">
        <v>107</v>
      </c>
      <c r="K491">
        <v>2</v>
      </c>
    </row>
    <row r="499" spans="1:11" ht="16.8">
      <c r="A499" s="3" t="s">
        <v>190</v>
      </c>
    </row>
    <row r="500" spans="1:11">
      <c r="B500" t="s">
        <v>55</v>
      </c>
    </row>
    <row r="501" spans="1:11">
      <c r="A501" t="s">
        <v>29</v>
      </c>
      <c r="B501" t="s">
        <v>43</v>
      </c>
      <c r="C501" t="s">
        <v>99</v>
      </c>
      <c r="D501" t="s">
        <v>120</v>
      </c>
      <c r="E501" t="s">
        <v>119</v>
      </c>
    </row>
    <row r="502" spans="1:11">
      <c r="A502">
        <v>0</v>
      </c>
      <c r="B502">
        <v>0</v>
      </c>
      <c r="C502">
        <f>EXP((($K$503*$K$511*A502)/($K$504))-(($K$503*$K$509)/($K$508)))</f>
        <v>7.2361569063568734E-2</v>
      </c>
      <c r="D502">
        <f>(B502-C502)^2</f>
        <v>5.2361966773416275E-3</v>
      </c>
      <c r="E502">
        <f>(B502-C$119)^2</f>
        <v>0</v>
      </c>
    </row>
    <row r="503" spans="1:11">
      <c r="A503">
        <v>10</v>
      </c>
      <c r="B503">
        <v>0</v>
      </c>
      <c r="C503">
        <f t="shared" ref="C503:C510" si="53">EXP((($K$503*$K$511*A503)/($K$504))-(($K$503*$K$509)/($K$508)))</f>
        <v>9.1441470013836318E-2</v>
      </c>
      <c r="D503">
        <f t="shared" ref="D503:D510" si="54">(B503-C503)^2</f>
        <v>8.3615424382913264E-3</v>
      </c>
      <c r="E503">
        <f>(B503-C$119)^2</f>
        <v>0</v>
      </c>
      <c r="J503" s="6" t="s">
        <v>207</v>
      </c>
      <c r="K503" s="6">
        <v>0.28440445691298</v>
      </c>
    </row>
    <row r="504" spans="1:11">
      <c r="A504">
        <v>20</v>
      </c>
      <c r="B504">
        <v>0.08</v>
      </c>
      <c r="C504">
        <f t="shared" si="53"/>
        <v>0.11555225441485123</v>
      </c>
      <c r="D504">
        <f t="shared" si="54"/>
        <v>1.2639627939783086E-3</v>
      </c>
      <c r="E504">
        <f>((B504-C504)/B504)^2</f>
        <v>0.19749418655911072</v>
      </c>
      <c r="J504" s="6" t="s">
        <v>208</v>
      </c>
      <c r="K504" s="6">
        <v>1215.2803100144099</v>
      </c>
    </row>
    <row r="505" spans="1:11">
      <c r="A505">
        <v>30</v>
      </c>
      <c r="B505">
        <v>0.32</v>
      </c>
      <c r="C505">
        <f t="shared" si="53"/>
        <v>0.14602043797342854</v>
      </c>
      <c r="D505">
        <f t="shared" si="54"/>
        <v>3.0268888002957631E-2</v>
      </c>
      <c r="E505">
        <f t="shared" ref="E505:E510" si="55">((B505-C505)/B505)^2</f>
        <v>0.29559460940388305</v>
      </c>
    </row>
    <row r="506" spans="1:11">
      <c r="A506">
        <v>48</v>
      </c>
      <c r="B506">
        <v>0.62</v>
      </c>
      <c r="C506">
        <f t="shared" si="53"/>
        <v>0.22251385074237895</v>
      </c>
      <c r="D506">
        <f t="shared" si="54"/>
        <v>0.15799523885165179</v>
      </c>
      <c r="E506">
        <f t="shared" si="55"/>
        <v>0.41101779097724195</v>
      </c>
      <c r="G506" s="6" t="s">
        <v>121</v>
      </c>
      <c r="H506" s="6">
        <f>(100)*(1/7)^(0.5)*(E511)^(0.5)</f>
        <v>47.052238812242464</v>
      </c>
    </row>
    <row r="507" spans="1:11">
      <c r="A507">
        <v>60</v>
      </c>
      <c r="B507">
        <v>0.74</v>
      </c>
      <c r="C507">
        <f t="shared" si="53"/>
        <v>0.29465873366041589</v>
      </c>
      <c r="D507">
        <f t="shared" si="54"/>
        <v>0.19832884350494437</v>
      </c>
      <c r="E507">
        <f t="shared" si="55"/>
        <v>0.36217831173291526</v>
      </c>
    </row>
    <row r="508" spans="1:11">
      <c r="A508">
        <v>85</v>
      </c>
      <c r="B508">
        <v>0.86</v>
      </c>
      <c r="C508">
        <f t="shared" si="53"/>
        <v>0.52894117730155565</v>
      </c>
      <c r="D508">
        <f t="shared" si="54"/>
        <v>0.10959994408647999</v>
      </c>
      <c r="E508">
        <f t="shared" si="55"/>
        <v>0.14818813424348298</v>
      </c>
      <c r="J508" t="s">
        <v>210</v>
      </c>
      <c r="K508">
        <v>0.43319999999999997</v>
      </c>
    </row>
    <row r="509" spans="1:11">
      <c r="A509">
        <v>100</v>
      </c>
      <c r="B509">
        <v>0.89</v>
      </c>
      <c r="C509">
        <f t="shared" si="53"/>
        <v>0.75138100733758573</v>
      </c>
      <c r="D509">
        <f t="shared" si="54"/>
        <v>1.9215225126742466E-2</v>
      </c>
      <c r="E509">
        <f t="shared" si="55"/>
        <v>2.425858493465783E-2</v>
      </c>
      <c r="J509" t="s">
        <v>209</v>
      </c>
      <c r="K509">
        <v>4</v>
      </c>
    </row>
    <row r="510" spans="1:11">
      <c r="A510">
        <v>120</v>
      </c>
      <c r="B510">
        <v>0.9</v>
      </c>
      <c r="C510">
        <f t="shared" si="53"/>
        <v>1.1998602358399155</v>
      </c>
      <c r="D510">
        <f t="shared" si="54"/>
        <v>8.9916161037969747E-2</v>
      </c>
      <c r="E510">
        <f t="shared" si="55"/>
        <v>0.11100760621971574</v>
      </c>
      <c r="J510" t="s">
        <v>8</v>
      </c>
      <c r="K510">
        <v>12</v>
      </c>
    </row>
    <row r="511" spans="1:11">
      <c r="D511" s="6">
        <f>SUM(D502:D510)</f>
        <v>0.62018600252035727</v>
      </c>
      <c r="E511">
        <f>SUM(E502:E510)</f>
        <v>1.5497392240710077</v>
      </c>
      <c r="J511" t="s">
        <v>12</v>
      </c>
      <c r="K511">
        <v>100</v>
      </c>
    </row>
    <row r="512" spans="1:11">
      <c r="J512" t="s">
        <v>106</v>
      </c>
      <c r="K512">
        <v>9</v>
      </c>
    </row>
    <row r="513" spans="1:11">
      <c r="J513" t="s">
        <v>107</v>
      </c>
      <c r="K513">
        <v>2</v>
      </c>
    </row>
    <row r="521" spans="1:11" ht="16.8">
      <c r="A521" s="1" t="s">
        <v>125</v>
      </c>
    </row>
    <row r="522" spans="1:11">
      <c r="B522" t="s">
        <v>55</v>
      </c>
    </row>
    <row r="523" spans="1:11">
      <c r="A523" t="s">
        <v>29</v>
      </c>
      <c r="B523" t="s">
        <v>43</v>
      </c>
      <c r="C523" t="s">
        <v>99</v>
      </c>
      <c r="D523" t="s">
        <v>120</v>
      </c>
      <c r="E523" t="s">
        <v>119</v>
      </c>
    </row>
    <row r="524" spans="1:11">
      <c r="A524">
        <v>0</v>
      </c>
      <c r="B524">
        <v>0</v>
      </c>
      <c r="C524">
        <f>EXP((($K$525*$K$533*A524)/($K$526))-(($K$525*$K$531)/($K$530)))</f>
        <v>0.15049480376034211</v>
      </c>
      <c r="D524">
        <f>(B524-C524)^2</f>
        <v>2.2648685958863879E-2</v>
      </c>
      <c r="E524">
        <f>(B524-C$119)^2</f>
        <v>0</v>
      </c>
    </row>
    <row r="525" spans="1:11">
      <c r="A525">
        <v>10</v>
      </c>
      <c r="B525">
        <v>0</v>
      </c>
      <c r="C525">
        <f t="shared" ref="C525:C532" si="56">EXP((($K$525*$K$533*A525)/($K$526))-(($K$525*$K$531)/($K$530)))</f>
        <v>0.17804541650900191</v>
      </c>
      <c r="D525">
        <f t="shared" ref="D525:D532" si="57">(B525-C525)^2</f>
        <v>3.170017033986397E-2</v>
      </c>
      <c r="E525">
        <f>(B525-C$119)^2</f>
        <v>0</v>
      </c>
      <c r="J525" s="6" t="s">
        <v>207</v>
      </c>
      <c r="K525" s="6">
        <v>0.20510143398162001</v>
      </c>
    </row>
    <row r="526" spans="1:11">
      <c r="A526">
        <v>20</v>
      </c>
      <c r="B526">
        <v>0.08</v>
      </c>
      <c r="C526">
        <f t="shared" si="56"/>
        <v>0.21063963371350305</v>
      </c>
      <c r="D526">
        <f t="shared" si="57"/>
        <v>1.7066713896798247E-2</v>
      </c>
      <c r="E526">
        <f>(B526-C526)^2/B526</f>
        <v>0.21333392370997808</v>
      </c>
      <c r="J526" s="6" t="s">
        <v>208</v>
      </c>
      <c r="K526" s="6">
        <v>1220.04223589598</v>
      </c>
    </row>
    <row r="527" spans="1:11">
      <c r="A527">
        <v>30</v>
      </c>
      <c r="B527">
        <v>0.32</v>
      </c>
      <c r="C527">
        <f t="shared" si="56"/>
        <v>0.24920077225754045</v>
      </c>
      <c r="D527">
        <f t="shared" si="57"/>
        <v>5.012530648928655E-3</v>
      </c>
      <c r="E527">
        <f t="shared" ref="E527:E532" si="58">(B527-C527)^2/B527</f>
        <v>1.5664158277902046E-2</v>
      </c>
    </row>
    <row r="528" spans="1:11">
      <c r="A528">
        <v>48</v>
      </c>
      <c r="B528">
        <v>0.62</v>
      </c>
      <c r="C528">
        <f t="shared" si="56"/>
        <v>0.33726099049235841</v>
      </c>
      <c r="D528">
        <f t="shared" si="57"/>
        <v>7.9941347497362231E-2</v>
      </c>
      <c r="E528">
        <f t="shared" si="58"/>
        <v>0.12893765725381004</v>
      </c>
      <c r="G528" s="6" t="s">
        <v>134</v>
      </c>
      <c r="H528" s="6">
        <f>(100/7)*(E533)</f>
        <v>9.0318226045688945</v>
      </c>
    </row>
    <row r="529" spans="1:11">
      <c r="A529">
        <v>60</v>
      </c>
      <c r="B529">
        <v>0.74</v>
      </c>
      <c r="C529">
        <f t="shared" si="56"/>
        <v>0.41264564185650116</v>
      </c>
      <c r="D529">
        <f t="shared" si="57"/>
        <v>0.10716087579554211</v>
      </c>
      <c r="E529">
        <f t="shared" si="58"/>
        <v>0.14481199431830014</v>
      </c>
    </row>
    <row r="530" spans="1:11">
      <c r="A530">
        <v>85</v>
      </c>
      <c r="B530">
        <v>0.86</v>
      </c>
      <c r="C530">
        <f t="shared" si="56"/>
        <v>0.62820370733259823</v>
      </c>
      <c r="D530">
        <f t="shared" si="57"/>
        <v>5.3729521294351767E-2</v>
      </c>
      <c r="E530">
        <f t="shared" si="58"/>
        <v>6.2476187551571825E-2</v>
      </c>
      <c r="J530" t="s">
        <v>210</v>
      </c>
      <c r="K530">
        <v>0.43319999999999997</v>
      </c>
    </row>
    <row r="531" spans="1:11">
      <c r="A531">
        <v>100</v>
      </c>
      <c r="B531">
        <v>0.89</v>
      </c>
      <c r="C531">
        <f t="shared" si="56"/>
        <v>0.80837790467657955</v>
      </c>
      <c r="D531">
        <f t="shared" si="57"/>
        <v>6.6621664449855369E-3</v>
      </c>
      <c r="E531">
        <f t="shared" si="58"/>
        <v>7.4855802752646482E-3</v>
      </c>
      <c r="J531" t="s">
        <v>209</v>
      </c>
      <c r="K531">
        <v>4</v>
      </c>
    </row>
    <row r="532" spans="1:11">
      <c r="A532">
        <v>120</v>
      </c>
      <c r="B532">
        <v>0.9</v>
      </c>
      <c r="C532">
        <f t="shared" si="56"/>
        <v>1.1314438870216628</v>
      </c>
      <c r="D532">
        <f t="shared" si="57"/>
        <v>5.3566272839696186E-2</v>
      </c>
      <c r="E532">
        <f t="shared" si="58"/>
        <v>5.9518080932995758E-2</v>
      </c>
      <c r="J532" t="s">
        <v>8</v>
      </c>
      <c r="K532">
        <v>12</v>
      </c>
    </row>
    <row r="533" spans="1:11">
      <c r="D533" s="6">
        <f>SUM(D524:D532)</f>
        <v>0.37748828471639256</v>
      </c>
      <c r="E533">
        <f>SUM(E524:E532)</f>
        <v>0.63222758231982257</v>
      </c>
      <c r="J533" t="s">
        <v>12</v>
      </c>
      <c r="K533">
        <v>100</v>
      </c>
    </row>
    <row r="534" spans="1:11">
      <c r="J534" t="s">
        <v>106</v>
      </c>
      <c r="K534">
        <v>9</v>
      </c>
    </row>
    <row r="535" spans="1:11">
      <c r="J535" t="s">
        <v>107</v>
      </c>
      <c r="K535">
        <v>2</v>
      </c>
    </row>
    <row r="540" spans="1:11" ht="16.8">
      <c r="A540" s="1" t="s">
        <v>109</v>
      </c>
    </row>
    <row r="541" spans="1:11">
      <c r="A541" t="s">
        <v>63</v>
      </c>
      <c r="B541" t="s">
        <v>64</v>
      </c>
    </row>
    <row r="542" spans="1:11">
      <c r="A542" t="s">
        <v>29</v>
      </c>
      <c r="B542" t="s">
        <v>43</v>
      </c>
      <c r="C542" t="s">
        <v>99</v>
      </c>
      <c r="D542" t="s">
        <v>120</v>
      </c>
    </row>
    <row r="543" spans="1:11">
      <c r="A543">
        <v>0</v>
      </c>
      <c r="B543">
        <v>0</v>
      </c>
      <c r="C543">
        <f>EXP((($K$543*$K$549*A543)/($K$544))-(($K$543*$K$550)/($K$551)))</f>
        <v>8.9617797428655624E-2</v>
      </c>
      <c r="D543">
        <f>(B543-C543)^2</f>
        <v>8.0313496159635546E-3</v>
      </c>
      <c r="J543" s="6" t="s">
        <v>207</v>
      </c>
      <c r="K543" s="6">
        <v>0.174100632198775</v>
      </c>
    </row>
    <row r="544" spans="1:11">
      <c r="A544">
        <v>10</v>
      </c>
      <c r="B544">
        <v>0</v>
      </c>
      <c r="C544">
        <f t="shared" ref="C544:C559" si="59">EXP((($K$543*$K$549*A544)/($K$544))-(($K$543*$K$550)/($K$551)))</f>
        <v>9.5968511196121514E-2</v>
      </c>
      <c r="D544">
        <f t="shared" ref="D544:D559" si="60">(B544-C544)^2</f>
        <v>9.2099551412001008E-3</v>
      </c>
      <c r="J544" s="6" t="s">
        <v>208</v>
      </c>
      <c r="K544" s="6">
        <v>1271.4349546839901</v>
      </c>
    </row>
    <row r="545" spans="1:11">
      <c r="A545">
        <v>22</v>
      </c>
      <c r="B545">
        <v>0</v>
      </c>
      <c r="C545">
        <f t="shared" si="59"/>
        <v>0.10418618778699668</v>
      </c>
      <c r="D545">
        <f t="shared" si="60"/>
        <v>1.0854761725587336E-2</v>
      </c>
    </row>
    <row r="546" spans="1:11">
      <c r="A546">
        <v>30</v>
      </c>
      <c r="B546">
        <v>0</v>
      </c>
      <c r="C546">
        <f t="shared" si="59"/>
        <v>0.11005194959103988</v>
      </c>
      <c r="D546">
        <f t="shared" si="60"/>
        <v>1.2111431608788782E-2</v>
      </c>
    </row>
    <row r="547" spans="1:11">
      <c r="A547">
        <v>41</v>
      </c>
      <c r="B547">
        <v>0</v>
      </c>
      <c r="C547">
        <f t="shared" si="59"/>
        <v>0.11866036537892899</v>
      </c>
      <c r="D547">
        <f t="shared" si="60"/>
        <v>1.4080282311860929E-2</v>
      </c>
      <c r="F547" s="6" t="s">
        <v>100</v>
      </c>
      <c r="G547" s="6">
        <f>(D560)</f>
        <v>0.2978848397116991</v>
      </c>
    </row>
    <row r="548" spans="1:11">
      <c r="A548">
        <v>50</v>
      </c>
      <c r="B548">
        <v>0</v>
      </c>
      <c r="C548">
        <f t="shared" si="59"/>
        <v>0.12620214128400756</v>
      </c>
      <c r="D548">
        <f t="shared" si="60"/>
        <v>1.5926980464668606E-2</v>
      </c>
    </row>
    <row r="549" spans="1:11">
      <c r="A549">
        <v>60</v>
      </c>
      <c r="B549">
        <v>0</v>
      </c>
      <c r="C549">
        <f t="shared" si="59"/>
        <v>0.13514538357663441</v>
      </c>
      <c r="D549">
        <f t="shared" si="60"/>
        <v>1.8264274702075648E-2</v>
      </c>
      <c r="J549" t="s">
        <v>12</v>
      </c>
      <c r="K549">
        <v>50</v>
      </c>
    </row>
    <row r="550" spans="1:11">
      <c r="A550">
        <v>80</v>
      </c>
      <c r="B550">
        <v>0.01</v>
      </c>
      <c r="C550">
        <f t="shared" si="59"/>
        <v>0.1549780522326015</v>
      </c>
      <c r="D550">
        <f t="shared" si="60"/>
        <v>2.1018635629158927E-2</v>
      </c>
      <c r="J550" t="s">
        <v>209</v>
      </c>
      <c r="K550">
        <v>4</v>
      </c>
    </row>
    <row r="551" spans="1:11">
      <c r="A551">
        <v>100</v>
      </c>
      <c r="B551">
        <v>0.05</v>
      </c>
      <c r="C551">
        <f t="shared" si="59"/>
        <v>0.17772117728454562</v>
      </c>
      <c r="D551">
        <f t="shared" si="60"/>
        <v>1.6312699126950336E-2</v>
      </c>
      <c r="J551" t="s">
        <v>210</v>
      </c>
      <c r="K551">
        <v>0.28870000000000001</v>
      </c>
    </row>
    <row r="552" spans="1:11">
      <c r="A552">
        <v>155</v>
      </c>
      <c r="B552">
        <v>0.26</v>
      </c>
      <c r="C552">
        <f t="shared" si="59"/>
        <v>0.25898754869513935</v>
      </c>
      <c r="D552">
        <f t="shared" si="60"/>
        <v>1.0250576447140573E-6</v>
      </c>
      <c r="J552" t="s">
        <v>106</v>
      </c>
      <c r="K552">
        <v>17</v>
      </c>
    </row>
    <row r="553" spans="1:11">
      <c r="A553">
        <v>210</v>
      </c>
      <c r="B553">
        <v>0.54</v>
      </c>
      <c r="C553">
        <f t="shared" si="59"/>
        <v>0.37741450627307938</v>
      </c>
      <c r="D553">
        <f t="shared" si="60"/>
        <v>2.6434042770426557E-2</v>
      </c>
      <c r="J553" t="s">
        <v>107</v>
      </c>
      <c r="K553">
        <v>2</v>
      </c>
    </row>
    <row r="554" spans="1:11">
      <c r="A554">
        <v>240</v>
      </c>
      <c r="B554">
        <v>0.66</v>
      </c>
      <c r="C554">
        <f t="shared" si="59"/>
        <v>0.46347046469601255</v>
      </c>
      <c r="D554">
        <f t="shared" si="60"/>
        <v>3.8623858246801264E-2</v>
      </c>
      <c r="J554" t="s">
        <v>8</v>
      </c>
      <c r="K554">
        <v>8</v>
      </c>
    </row>
    <row r="555" spans="1:11">
      <c r="A555">
        <v>280</v>
      </c>
      <c r="B555">
        <v>0.79</v>
      </c>
      <c r="C555">
        <f t="shared" si="59"/>
        <v>0.60948080091602663</v>
      </c>
      <c r="D555">
        <f t="shared" si="60"/>
        <v>3.2587181237919226E-2</v>
      </c>
    </row>
    <row r="556" spans="1:11">
      <c r="A556">
        <v>300</v>
      </c>
      <c r="B556">
        <v>0.83</v>
      </c>
      <c r="C556">
        <f t="shared" si="59"/>
        <v>0.69892248554365333</v>
      </c>
      <c r="D556">
        <f t="shared" si="60"/>
        <v>1.7181314796053761E-2</v>
      </c>
    </row>
    <row r="557" spans="1:11">
      <c r="A557">
        <v>320</v>
      </c>
      <c r="B557">
        <v>0.86</v>
      </c>
      <c r="C557">
        <f t="shared" si="59"/>
        <v>0.80148979272904475</v>
      </c>
      <c r="D557">
        <f t="shared" si="60"/>
        <v>3.4234443548901432E-3</v>
      </c>
    </row>
    <row r="558" spans="1:11">
      <c r="A558">
        <v>340</v>
      </c>
      <c r="B558">
        <v>0.88</v>
      </c>
      <c r="C558">
        <f t="shared" si="59"/>
        <v>0.9191089157035357</v>
      </c>
      <c r="D558">
        <f t="shared" si="60"/>
        <v>1.529507287506261E-3</v>
      </c>
    </row>
    <row r="559" spans="1:11">
      <c r="A559">
        <v>370</v>
      </c>
      <c r="B559">
        <v>0.9</v>
      </c>
      <c r="C559">
        <f t="shared" si="59"/>
        <v>1.1286790231617299</v>
      </c>
      <c r="D559">
        <f t="shared" si="60"/>
        <v>5.2294095634202967E-2</v>
      </c>
    </row>
    <row r="560" spans="1:11">
      <c r="D560" s="6">
        <f>SUM(D543:D559)</f>
        <v>0.2978848397116991</v>
      </c>
    </row>
    <row r="565" spans="1:11" ht="15.6">
      <c r="A565" s="20" t="s">
        <v>144</v>
      </c>
    </row>
    <row r="566" spans="1:11">
      <c r="A566" t="s">
        <v>63</v>
      </c>
      <c r="B566" t="s">
        <v>64</v>
      </c>
    </row>
    <row r="567" spans="1:11">
      <c r="A567" t="s">
        <v>29</v>
      </c>
      <c r="B567" t="s">
        <v>43</v>
      </c>
      <c r="C567" t="s">
        <v>99</v>
      </c>
      <c r="D567" t="s">
        <v>120</v>
      </c>
      <c r="E567" t="s">
        <v>137</v>
      </c>
    </row>
    <row r="568" spans="1:11">
      <c r="A568">
        <v>0</v>
      </c>
      <c r="B568">
        <v>0</v>
      </c>
      <c r="C568">
        <f>EXP((($K$568*$K$574*A568)/($K$569))-(($K$568*$K$575)/($K$576)))</f>
        <v>8.4558623211976672E-2</v>
      </c>
      <c r="D568">
        <f>(B568-C568)^2</f>
        <v>7.1501607595050396E-3</v>
      </c>
      <c r="E568">
        <f>ABS(B568-C568)</f>
        <v>8.4558623211976672E-2</v>
      </c>
      <c r="J568" s="6" t="s">
        <v>207</v>
      </c>
      <c r="K568" s="6">
        <v>0.17829464008094101</v>
      </c>
    </row>
    <row r="569" spans="1:11">
      <c r="A569">
        <v>10</v>
      </c>
      <c r="B569">
        <v>0</v>
      </c>
      <c r="C569">
        <f t="shared" ref="C569:C584" si="61">EXP((($K$568*$K$574*A569)/($K$569))-(($K$568*$K$575)/($K$576)))</f>
        <v>9.0915366785185484E-2</v>
      </c>
      <c r="D569">
        <f t="shared" ref="D569:D584" si="62">(B569-C569)^2</f>
        <v>8.2656039176848082E-3</v>
      </c>
      <c r="E569">
        <f t="shared" ref="E569:E584" si="63">ABS(B569-C569)</f>
        <v>9.0915366785185484E-2</v>
      </c>
      <c r="J569" s="6" t="s">
        <v>208</v>
      </c>
      <c r="K569" s="6">
        <v>1229.88999114137</v>
      </c>
    </row>
    <row r="570" spans="1:11">
      <c r="A570">
        <v>22</v>
      </c>
      <c r="B570">
        <v>0</v>
      </c>
      <c r="C570">
        <f t="shared" si="61"/>
        <v>9.9177365014155666E-2</v>
      </c>
      <c r="D570">
        <f t="shared" si="62"/>
        <v>9.8361497311510691E-3</v>
      </c>
      <c r="E570">
        <f t="shared" si="63"/>
        <v>9.9177365014155666E-2</v>
      </c>
    </row>
    <row r="571" spans="1:11">
      <c r="A571">
        <v>30</v>
      </c>
      <c r="B571">
        <v>0</v>
      </c>
      <c r="C571">
        <f t="shared" si="61"/>
        <v>0.10509839388973398</v>
      </c>
      <c r="D571">
        <f t="shared" si="62"/>
        <v>1.1045672398201672E-2</v>
      </c>
      <c r="E571">
        <f t="shared" si="63"/>
        <v>0.10509839388973398</v>
      </c>
    </row>
    <row r="572" spans="1:11">
      <c r="A572">
        <v>41</v>
      </c>
      <c r="B572">
        <v>0</v>
      </c>
      <c r="C572">
        <f t="shared" si="61"/>
        <v>0.11382126563234972</v>
      </c>
      <c r="D572">
        <f t="shared" si="62"/>
        <v>1.2955280510149915E-2</v>
      </c>
      <c r="E572">
        <f t="shared" si="63"/>
        <v>0.11382126563234972</v>
      </c>
      <c r="G572" s="6" t="s">
        <v>132</v>
      </c>
      <c r="H572" s="6">
        <f>(E585)</f>
        <v>2.0246181158972503</v>
      </c>
    </row>
    <row r="573" spans="1:11">
      <c r="A573">
        <v>50</v>
      </c>
      <c r="B573">
        <v>0</v>
      </c>
      <c r="C573">
        <f t="shared" si="61"/>
        <v>0.1214940090853986</v>
      </c>
      <c r="D573">
        <f t="shared" si="62"/>
        <v>1.4760794243642919E-2</v>
      </c>
      <c r="E573">
        <f t="shared" si="63"/>
        <v>0.1214940090853986</v>
      </c>
    </row>
    <row r="574" spans="1:11">
      <c r="A574">
        <v>60</v>
      </c>
      <c r="B574">
        <v>0</v>
      </c>
      <c r="C574">
        <f t="shared" si="61"/>
        <v>0.13062739172694082</v>
      </c>
      <c r="D574">
        <f t="shared" si="62"/>
        <v>1.7063515469383648E-2</v>
      </c>
      <c r="E574">
        <f t="shared" si="63"/>
        <v>0.13062739172694082</v>
      </c>
      <c r="J574" t="s">
        <v>12</v>
      </c>
      <c r="K574">
        <v>50</v>
      </c>
    </row>
    <row r="575" spans="1:11">
      <c r="A575">
        <v>80</v>
      </c>
      <c r="B575">
        <v>0.01</v>
      </c>
      <c r="C575">
        <f t="shared" si="61"/>
        <v>0.15100559513712133</v>
      </c>
      <c r="D575">
        <f t="shared" si="62"/>
        <v>1.9882577859973775E-2</v>
      </c>
      <c r="E575">
        <f t="shared" si="63"/>
        <v>0.14100559513712133</v>
      </c>
      <c r="J575" t="s">
        <v>209</v>
      </c>
      <c r="K575">
        <v>4</v>
      </c>
    </row>
    <row r="576" spans="1:11">
      <c r="A576">
        <v>100</v>
      </c>
      <c r="B576">
        <v>0.05</v>
      </c>
      <c r="C576">
        <f t="shared" si="61"/>
        <v>0.17456284980704648</v>
      </c>
      <c r="D576">
        <f t="shared" si="62"/>
        <v>1.5515903552052818E-2</v>
      </c>
      <c r="E576">
        <f t="shared" si="63"/>
        <v>0.12456284980704647</v>
      </c>
      <c r="J576" t="s">
        <v>210</v>
      </c>
      <c r="K576">
        <v>0.28870000000000001</v>
      </c>
    </row>
    <row r="577" spans="1:11">
      <c r="A577">
        <v>155</v>
      </c>
      <c r="B577">
        <v>0.26</v>
      </c>
      <c r="C577">
        <f t="shared" si="61"/>
        <v>0.26006893513129326</v>
      </c>
      <c r="D577">
        <f t="shared" si="62"/>
        <v>4.7520523264170976E-9</v>
      </c>
      <c r="E577">
        <f t="shared" si="63"/>
        <v>6.8935131293246243E-5</v>
      </c>
      <c r="J577" t="s">
        <v>106</v>
      </c>
      <c r="K577">
        <v>17</v>
      </c>
    </row>
    <row r="578" spans="1:11">
      <c r="A578">
        <v>210</v>
      </c>
      <c r="B578">
        <v>0.54</v>
      </c>
      <c r="C578">
        <f t="shared" si="61"/>
        <v>0.38745844889153852</v>
      </c>
      <c r="D578">
        <f t="shared" si="62"/>
        <v>2.3268924814575376E-2</v>
      </c>
      <c r="E578">
        <f t="shared" si="63"/>
        <v>0.15254155110846151</v>
      </c>
      <c r="J578" t="s">
        <v>107</v>
      </c>
      <c r="K578">
        <v>2</v>
      </c>
    </row>
    <row r="579" spans="1:11">
      <c r="A579">
        <v>240</v>
      </c>
      <c r="B579">
        <v>0.66</v>
      </c>
      <c r="C579">
        <f t="shared" si="61"/>
        <v>0.48157431058717415</v>
      </c>
      <c r="D579">
        <f t="shared" si="62"/>
        <v>3.1835726642442205E-2</v>
      </c>
      <c r="E579">
        <f t="shared" si="63"/>
        <v>0.17842568941282588</v>
      </c>
      <c r="J579" t="s">
        <v>8</v>
      </c>
      <c r="K579">
        <v>8</v>
      </c>
    </row>
    <row r="580" spans="1:11">
      <c r="A580">
        <v>280</v>
      </c>
      <c r="B580">
        <v>0.79</v>
      </c>
      <c r="C580">
        <f t="shared" si="61"/>
        <v>0.64354790322758237</v>
      </c>
      <c r="D580">
        <f t="shared" si="62"/>
        <v>2.1448216649037587E-2</v>
      </c>
      <c r="E580">
        <f t="shared" si="63"/>
        <v>0.14645209677241766</v>
      </c>
    </row>
    <row r="581" spans="1:11">
      <c r="A581">
        <v>300</v>
      </c>
      <c r="B581">
        <v>0.83</v>
      </c>
      <c r="C581">
        <f t="shared" si="61"/>
        <v>0.74394300338835584</v>
      </c>
      <c r="D581">
        <f t="shared" si="62"/>
        <v>7.4058066658165278E-3</v>
      </c>
      <c r="E581">
        <f t="shared" si="63"/>
        <v>8.6056996611644121E-2</v>
      </c>
    </row>
    <row r="582" spans="1:11">
      <c r="A582">
        <v>320</v>
      </c>
      <c r="B582">
        <v>0.86</v>
      </c>
      <c r="C582">
        <f t="shared" si="61"/>
        <v>0.85999999303045871</v>
      </c>
      <c r="D582">
        <f t="shared" si="62"/>
        <v>4.8574505617871664E-17</v>
      </c>
      <c r="E582">
        <f t="shared" si="63"/>
        <v>6.9695412774350984E-9</v>
      </c>
    </row>
    <row r="583" spans="1:11">
      <c r="A583">
        <v>340</v>
      </c>
      <c r="B583">
        <v>0.88</v>
      </c>
      <c r="C583">
        <f t="shared" si="61"/>
        <v>0.99416216651519529</v>
      </c>
      <c r="D583">
        <f t="shared" si="62"/>
        <v>1.3033000263443175E-2</v>
      </c>
      <c r="E583">
        <f t="shared" si="63"/>
        <v>0.11416216651519528</v>
      </c>
    </row>
    <row r="584" spans="1:11">
      <c r="A584">
        <v>370</v>
      </c>
      <c r="B584">
        <v>0.9</v>
      </c>
      <c r="C584">
        <f t="shared" si="61"/>
        <v>1.2356498130859626</v>
      </c>
      <c r="D584">
        <f t="shared" si="62"/>
        <v>0.11266079702464159</v>
      </c>
      <c r="E584">
        <f t="shared" si="63"/>
        <v>0.33564981308596253</v>
      </c>
    </row>
    <row r="585" spans="1:11">
      <c r="D585" s="6">
        <f>SUM(D568:D584)</f>
        <v>0.3261281352537545</v>
      </c>
      <c r="E585">
        <f>SUM(E568:E584)</f>
        <v>2.0246181158972503</v>
      </c>
    </row>
    <row r="591" spans="1:11">
      <c r="A591" t="s">
        <v>63</v>
      </c>
      <c r="B591" t="s">
        <v>64</v>
      </c>
    </row>
    <row r="592" spans="1:11">
      <c r="A592" t="s">
        <v>29</v>
      </c>
      <c r="B592" t="s">
        <v>43</v>
      </c>
      <c r="C592" t="s">
        <v>99</v>
      </c>
      <c r="D592" t="s">
        <v>120</v>
      </c>
      <c r="E592" t="s">
        <v>119</v>
      </c>
    </row>
    <row r="593" spans="1:11">
      <c r="A593">
        <v>0</v>
      </c>
      <c r="B593">
        <v>0</v>
      </c>
      <c r="C593">
        <f>EXP((($K$593*$K$599*A593)/($K$594))-(($K$593*$K$600)/($K$601)))</f>
        <v>4.2027459707332758E-3</v>
      </c>
      <c r="D593">
        <f>(B593-C593)^2</f>
        <v>1.7663073694514785E-5</v>
      </c>
      <c r="E593">
        <f t="shared" ref="E593:E599" si="64">(B593-C$148)^2</f>
        <v>0</v>
      </c>
      <c r="J593" s="6" t="s">
        <v>207</v>
      </c>
      <c r="K593" s="6">
        <v>0.39494283886749498</v>
      </c>
    </row>
    <row r="594" spans="1:11">
      <c r="A594">
        <v>10</v>
      </c>
      <c r="B594">
        <v>0</v>
      </c>
      <c r="C594">
        <f t="shared" ref="C594:C609" si="65">EXP((($K$593*$K$599*A594)/($K$594))-(($K$593*$K$600)/($K$601)))</f>
        <v>4.9137744881021005E-3</v>
      </c>
      <c r="D594">
        <f t="shared" ref="D594:D609" si="66">(B594-C594)^2</f>
        <v>2.414517971992306E-5</v>
      </c>
      <c r="E594">
        <f t="shared" si="64"/>
        <v>0</v>
      </c>
      <c r="J594" s="6" t="s">
        <v>208</v>
      </c>
      <c r="K594" s="6">
        <v>1263.37830100622</v>
      </c>
    </row>
    <row r="595" spans="1:11">
      <c r="A595">
        <v>22</v>
      </c>
      <c r="B595">
        <v>0</v>
      </c>
      <c r="C595">
        <f t="shared" si="65"/>
        <v>5.9275294177520707E-3</v>
      </c>
      <c r="D595">
        <f t="shared" si="66"/>
        <v>3.5135604998316203E-5</v>
      </c>
      <c r="E595">
        <f t="shared" si="64"/>
        <v>0</v>
      </c>
    </row>
    <row r="596" spans="1:11">
      <c r="A596">
        <v>30</v>
      </c>
      <c r="B596">
        <v>0</v>
      </c>
      <c r="C596">
        <f t="shared" si="65"/>
        <v>6.7170623964074149E-3</v>
      </c>
      <c r="D596">
        <f t="shared" si="66"/>
        <v>4.5118927237230523E-5</v>
      </c>
      <c r="E596">
        <f t="shared" si="64"/>
        <v>0</v>
      </c>
    </row>
    <row r="597" spans="1:11">
      <c r="A597">
        <v>41</v>
      </c>
      <c r="B597">
        <v>0</v>
      </c>
      <c r="C597">
        <f t="shared" si="65"/>
        <v>7.9771851361214313E-3</v>
      </c>
      <c r="D597">
        <f t="shared" si="66"/>
        <v>6.3635482695956701E-5</v>
      </c>
      <c r="E597">
        <f t="shared" si="64"/>
        <v>0</v>
      </c>
      <c r="G597" s="6" t="s">
        <v>121</v>
      </c>
      <c r="H597" s="6">
        <f>(100)*(1/15)^(0.5)*(E610)^(0.5)</f>
        <v>46.780451551532295</v>
      </c>
    </row>
    <row r="598" spans="1:11">
      <c r="A598">
        <v>50</v>
      </c>
      <c r="B598">
        <v>0</v>
      </c>
      <c r="C598">
        <f t="shared" si="65"/>
        <v>9.1821322583033813E-3</v>
      </c>
      <c r="D598">
        <f t="shared" si="66"/>
        <v>8.4311552808975557E-5</v>
      </c>
      <c r="E598">
        <f t="shared" si="64"/>
        <v>0</v>
      </c>
    </row>
    <row r="599" spans="1:11">
      <c r="A599">
        <v>60</v>
      </c>
      <c r="B599">
        <v>0</v>
      </c>
      <c r="C599">
        <f t="shared" si="65"/>
        <v>1.0735582771698747E-2</v>
      </c>
      <c r="D599">
        <f t="shared" si="66"/>
        <v>1.1525273744799495E-4</v>
      </c>
      <c r="E599">
        <f t="shared" si="64"/>
        <v>0</v>
      </c>
      <c r="J599" t="s">
        <v>12</v>
      </c>
      <c r="K599">
        <v>50</v>
      </c>
    </row>
    <row r="600" spans="1:11">
      <c r="A600">
        <v>80</v>
      </c>
      <c r="B600">
        <v>0.01</v>
      </c>
      <c r="C600">
        <f t="shared" si="65"/>
        <v>1.4675394549323194E-2</v>
      </c>
      <c r="D600">
        <f t="shared" si="66"/>
        <v>2.185931419184103E-5</v>
      </c>
      <c r="E600">
        <f>((B600-C600)/B600)^2</f>
        <v>0.21859314191841034</v>
      </c>
      <c r="J600" t="s">
        <v>209</v>
      </c>
      <c r="K600">
        <v>4</v>
      </c>
    </row>
    <row r="601" spans="1:11">
      <c r="A601">
        <v>100</v>
      </c>
      <c r="B601">
        <v>0.05</v>
      </c>
      <c r="C601">
        <f t="shared" si="65"/>
        <v>2.0061063265802204E-2</v>
      </c>
      <c r="D601">
        <f t="shared" si="66"/>
        <v>8.9633993277429835E-4</v>
      </c>
      <c r="E601">
        <f t="shared" ref="E601:E609" si="67">((B601-C601)/B601)^2</f>
        <v>0.3585359731097193</v>
      </c>
      <c r="J601" t="s">
        <v>210</v>
      </c>
      <c r="K601">
        <v>0.28870000000000001</v>
      </c>
    </row>
    <row r="602" spans="1:11">
      <c r="A602">
        <v>155</v>
      </c>
      <c r="B602">
        <v>0.26</v>
      </c>
      <c r="C602">
        <f t="shared" si="65"/>
        <v>4.7392038694613219E-2</v>
      </c>
      <c r="D602">
        <f t="shared" si="66"/>
        <v>4.5202145210432844E-2</v>
      </c>
      <c r="E602">
        <f t="shared" si="67"/>
        <v>0.66867078713658057</v>
      </c>
      <c r="J602" t="s">
        <v>106</v>
      </c>
      <c r="K602">
        <v>17</v>
      </c>
    </row>
    <row r="603" spans="1:11">
      <c r="A603">
        <v>210</v>
      </c>
      <c r="B603">
        <v>0.54</v>
      </c>
      <c r="C603">
        <f t="shared" si="65"/>
        <v>0.11195843918504801</v>
      </c>
      <c r="D603">
        <f t="shared" si="66"/>
        <v>0.18321957778490028</v>
      </c>
      <c r="E603">
        <f t="shared" si="67"/>
        <v>0.62832502669718882</v>
      </c>
      <c r="J603" t="s">
        <v>107</v>
      </c>
      <c r="K603">
        <v>2</v>
      </c>
    </row>
    <row r="604" spans="1:11">
      <c r="A604">
        <v>240</v>
      </c>
      <c r="B604">
        <v>0.66</v>
      </c>
      <c r="C604">
        <f t="shared" si="65"/>
        <v>0.17893820541314825</v>
      </c>
      <c r="D604">
        <f t="shared" si="66"/>
        <v>0.23142045021112237</v>
      </c>
      <c r="E604">
        <f t="shared" si="67"/>
        <v>0.53126825117337551</v>
      </c>
      <c r="J604" t="s">
        <v>8</v>
      </c>
      <c r="K604">
        <v>8</v>
      </c>
    </row>
    <row r="605" spans="1:11">
      <c r="A605">
        <v>280</v>
      </c>
      <c r="B605">
        <v>0.79</v>
      </c>
      <c r="C605">
        <f t="shared" si="65"/>
        <v>0.33437315288793251</v>
      </c>
      <c r="D605">
        <f t="shared" si="66"/>
        <v>0.20759582380928335</v>
      </c>
      <c r="E605">
        <f t="shared" si="67"/>
        <v>0.33263230861926507</v>
      </c>
    </row>
    <row r="606" spans="1:11">
      <c r="A606">
        <v>300</v>
      </c>
      <c r="B606">
        <v>0.83</v>
      </c>
      <c r="C606">
        <f t="shared" si="65"/>
        <v>0.4570835183971203</v>
      </c>
      <c r="D606">
        <f t="shared" si="66"/>
        <v>0.13906670225107087</v>
      </c>
      <c r="E606">
        <f t="shared" si="67"/>
        <v>0.20186776346504701</v>
      </c>
    </row>
    <row r="607" spans="1:11">
      <c r="A607">
        <v>320</v>
      </c>
      <c r="B607">
        <v>0.86</v>
      </c>
      <c r="C607">
        <f t="shared" si="65"/>
        <v>0.62482690666350649</v>
      </c>
      <c r="D607">
        <f t="shared" si="66"/>
        <v>5.5306383829455082E-2</v>
      </c>
      <c r="E607">
        <f t="shared" si="67"/>
        <v>7.4778777487094494E-2</v>
      </c>
    </row>
    <row r="608" spans="1:11">
      <c r="A608">
        <v>340</v>
      </c>
      <c r="B608">
        <v>0.88</v>
      </c>
      <c r="C608">
        <f t="shared" si="65"/>
        <v>0.8541298199938463</v>
      </c>
      <c r="D608">
        <f t="shared" si="66"/>
        <v>6.6926621355079517E-4</v>
      </c>
      <c r="E608">
        <f t="shared" si="67"/>
        <v>8.6423839559761774E-4</v>
      </c>
    </row>
    <row r="609" spans="1:11">
      <c r="A609">
        <v>370</v>
      </c>
      <c r="B609">
        <v>0.9</v>
      </c>
      <c r="C609">
        <f t="shared" si="65"/>
        <v>1.365117790959393</v>
      </c>
      <c r="D609">
        <f t="shared" si="66"/>
        <v>0.2163345594669456</v>
      </c>
      <c r="E609">
        <f t="shared" si="67"/>
        <v>0.26707970304561185</v>
      </c>
    </row>
    <row r="610" spans="1:11">
      <c r="D610" s="6">
        <f>SUM(D593:D609)</f>
        <v>1.0801183705823303</v>
      </c>
      <c r="E610">
        <f>SUM(E593:E609)</f>
        <v>3.2826159710478908</v>
      </c>
    </row>
    <row r="617" spans="1:11">
      <c r="A617" t="s">
        <v>63</v>
      </c>
      <c r="B617" t="s">
        <v>64</v>
      </c>
    </row>
    <row r="618" spans="1:11">
      <c r="A618" t="s">
        <v>29</v>
      </c>
      <c r="B618" t="s">
        <v>43</v>
      </c>
      <c r="C618" t="s">
        <v>99</v>
      </c>
      <c r="D618" t="s">
        <v>120</v>
      </c>
      <c r="E618" t="s">
        <v>119</v>
      </c>
    </row>
    <row r="619" spans="1:11">
      <c r="A619">
        <v>0</v>
      </c>
      <c r="B619">
        <v>0</v>
      </c>
      <c r="C619">
        <f>EXP((($K$619*$K$625*A619)/($K$620))-(($K$619*$K$626)/($K$627)))</f>
        <v>2.4947360023753751E-2</v>
      </c>
      <c r="D619">
        <f>(B619-C619)^2</f>
        <v>6.2237077215478674E-4</v>
      </c>
      <c r="E619">
        <f t="shared" ref="E619:E625" si="68">(B619-C$148)^2</f>
        <v>0</v>
      </c>
      <c r="J619" s="6" t="s">
        <v>207</v>
      </c>
      <c r="K619" s="6">
        <v>0.26639700643268299</v>
      </c>
    </row>
    <row r="620" spans="1:11">
      <c r="A620">
        <v>10</v>
      </c>
      <c r="B620">
        <v>0</v>
      </c>
      <c r="C620">
        <f t="shared" ref="C620:C635" si="69">EXP((($K$619*$K$625*A620)/($K$620))-(($K$619*$K$626)/($K$627)))</f>
        <v>2.7730119328109482E-2</v>
      </c>
      <c r="D620">
        <f t="shared" ref="D620:D635" si="70">(B620-C620)^2</f>
        <v>7.6895951795119099E-4</v>
      </c>
      <c r="E620">
        <f t="shared" si="68"/>
        <v>0</v>
      </c>
      <c r="J620" s="6" t="s">
        <v>208</v>
      </c>
      <c r="K620" s="6">
        <v>1259.5465346764699</v>
      </c>
    </row>
    <row r="621" spans="1:11">
      <c r="A621">
        <v>22</v>
      </c>
      <c r="B621">
        <v>0</v>
      </c>
      <c r="C621">
        <f t="shared" si="69"/>
        <v>3.1482144728877885E-2</v>
      </c>
      <c r="D621">
        <f t="shared" si="70"/>
        <v>9.9112543673001352E-4</v>
      </c>
      <c r="E621">
        <f t="shared" si="68"/>
        <v>0</v>
      </c>
    </row>
    <row r="622" spans="1:11">
      <c r="A622">
        <v>30</v>
      </c>
      <c r="B622">
        <v>0</v>
      </c>
      <c r="C622">
        <f t="shared" si="69"/>
        <v>3.4261472654710183E-2</v>
      </c>
      <c r="D622">
        <f t="shared" si="70"/>
        <v>1.1738485084694537E-3</v>
      </c>
      <c r="E622">
        <f t="shared" si="68"/>
        <v>0</v>
      </c>
    </row>
    <row r="623" spans="1:11">
      <c r="A623">
        <v>41</v>
      </c>
      <c r="B623">
        <v>0</v>
      </c>
      <c r="C623">
        <f t="shared" si="69"/>
        <v>3.8488047911310504E-2</v>
      </c>
      <c r="D623">
        <f t="shared" si="70"/>
        <v>1.4813298320233328E-3</v>
      </c>
      <c r="E623">
        <f t="shared" si="68"/>
        <v>0</v>
      </c>
      <c r="G623" s="6" t="s">
        <v>134</v>
      </c>
      <c r="H623" s="6">
        <f>(100/15)*(E636)</f>
        <v>6.7041045778469099</v>
      </c>
    </row>
    <row r="624" spans="1:11">
      <c r="A624">
        <v>50</v>
      </c>
      <c r="B624">
        <v>0</v>
      </c>
      <c r="C624">
        <f t="shared" si="69"/>
        <v>4.2331174077550604E-2</v>
      </c>
      <c r="D624">
        <f t="shared" si="70"/>
        <v>1.7919282987838923E-3</v>
      </c>
      <c r="E624">
        <f t="shared" si="68"/>
        <v>0</v>
      </c>
    </row>
    <row r="625" spans="1:11">
      <c r="A625">
        <v>60</v>
      </c>
      <c r="B625">
        <v>0</v>
      </c>
      <c r="C625">
        <f t="shared" si="69"/>
        <v>4.7053015122713086E-2</v>
      </c>
      <c r="D625">
        <f t="shared" si="70"/>
        <v>2.2139862321382663E-3</v>
      </c>
      <c r="E625">
        <f t="shared" si="68"/>
        <v>0</v>
      </c>
      <c r="J625" t="s">
        <v>12</v>
      </c>
      <c r="K625">
        <v>50</v>
      </c>
    </row>
    <row r="626" spans="1:11">
      <c r="A626">
        <v>80</v>
      </c>
      <c r="B626">
        <v>0.01</v>
      </c>
      <c r="C626">
        <f t="shared" si="69"/>
        <v>5.8135544671614123E-2</v>
      </c>
      <c r="D626">
        <f t="shared" si="70"/>
        <v>2.3170306608329585E-3</v>
      </c>
      <c r="E626">
        <f>(B626-C626)^2/B626</f>
        <v>0.23170306608329586</v>
      </c>
      <c r="J626" t="s">
        <v>209</v>
      </c>
      <c r="K626">
        <v>4</v>
      </c>
    </row>
    <row r="627" spans="1:11">
      <c r="A627">
        <v>100</v>
      </c>
      <c r="B627">
        <v>0.05</v>
      </c>
      <c r="C627">
        <f t="shared" si="69"/>
        <v>7.1828373706784993E-2</v>
      </c>
      <c r="D627">
        <f t="shared" si="70"/>
        <v>4.7647789868306226E-4</v>
      </c>
      <c r="E627">
        <f t="shared" ref="E627:E635" si="71">(B627-C627)^2/B627</f>
        <v>9.5295579736612446E-3</v>
      </c>
      <c r="J627" t="s">
        <v>210</v>
      </c>
      <c r="K627">
        <v>0.28870000000000001</v>
      </c>
    </row>
    <row r="628" spans="1:11">
      <c r="A628">
        <v>155</v>
      </c>
      <c r="B628">
        <v>0.26</v>
      </c>
      <c r="C628">
        <f t="shared" si="69"/>
        <v>0.12849769133875658</v>
      </c>
      <c r="D628">
        <f t="shared" si="70"/>
        <v>1.7292857183236941E-2</v>
      </c>
      <c r="E628">
        <f t="shared" si="71"/>
        <v>6.6510989166295928E-2</v>
      </c>
      <c r="J628" t="s">
        <v>106</v>
      </c>
      <c r="K628">
        <v>17</v>
      </c>
    </row>
    <row r="629" spans="1:11">
      <c r="A629">
        <v>210</v>
      </c>
      <c r="B629">
        <v>0.54</v>
      </c>
      <c r="C629">
        <f t="shared" si="69"/>
        <v>0.22987652131445452</v>
      </c>
      <c r="D629">
        <f t="shared" si="70"/>
        <v>9.617657203202401E-2</v>
      </c>
      <c r="E629">
        <f t="shared" si="71"/>
        <v>0.17810476302226669</v>
      </c>
      <c r="J629" t="s">
        <v>107</v>
      </c>
      <c r="K629">
        <v>2</v>
      </c>
    </row>
    <row r="630" spans="1:11">
      <c r="A630">
        <v>240</v>
      </c>
      <c r="B630">
        <v>0.66</v>
      </c>
      <c r="C630">
        <f t="shared" si="69"/>
        <v>0.31570106582323748</v>
      </c>
      <c r="D630">
        <f t="shared" si="70"/>
        <v>0.11854175607525468</v>
      </c>
      <c r="E630">
        <f t="shared" si="71"/>
        <v>0.17960872132614344</v>
      </c>
      <c r="J630" t="s">
        <v>8</v>
      </c>
      <c r="K630">
        <v>8</v>
      </c>
    </row>
    <row r="631" spans="1:11">
      <c r="A631">
        <v>280</v>
      </c>
      <c r="B631">
        <v>0.79</v>
      </c>
      <c r="C631">
        <f t="shared" si="69"/>
        <v>0.4819307344373705</v>
      </c>
      <c r="D631">
        <f t="shared" si="70"/>
        <v>9.4906672384297966E-2</v>
      </c>
      <c r="E631">
        <f t="shared" si="71"/>
        <v>0.12013502833455438</v>
      </c>
    </row>
    <row r="632" spans="1:11">
      <c r="A632">
        <v>300</v>
      </c>
      <c r="B632">
        <v>0.83</v>
      </c>
      <c r="C632">
        <f t="shared" si="69"/>
        <v>0.59544124148981981</v>
      </c>
      <c r="D632">
        <f t="shared" si="70"/>
        <v>5.5017811193837009E-2</v>
      </c>
      <c r="E632">
        <f t="shared" si="71"/>
        <v>6.6286519510646999E-2</v>
      </c>
    </row>
    <row r="633" spans="1:11">
      <c r="A633">
        <v>320</v>
      </c>
      <c r="B633">
        <v>0.86</v>
      </c>
      <c r="C633">
        <f t="shared" si="69"/>
        <v>0.73568719886864509</v>
      </c>
      <c r="D633">
        <f t="shared" si="70"/>
        <v>1.5453672525123792E-2</v>
      </c>
      <c r="E633">
        <f t="shared" si="71"/>
        <v>1.7969386657120688E-2</v>
      </c>
    </row>
    <row r="634" spans="1:11">
      <c r="A634">
        <v>340</v>
      </c>
      <c r="B634">
        <v>0.88</v>
      </c>
      <c r="C634">
        <f t="shared" si="69"/>
        <v>0.90896568270111489</v>
      </c>
      <c r="D634">
        <f t="shared" si="70"/>
        <v>8.3901077434166583E-4</v>
      </c>
      <c r="E634">
        <f t="shared" si="71"/>
        <v>9.534213344791657E-4</v>
      </c>
    </row>
    <row r="635" spans="1:11">
      <c r="A635">
        <v>370</v>
      </c>
      <c r="B635">
        <v>0.9</v>
      </c>
      <c r="C635">
        <f t="shared" si="69"/>
        <v>1.2483285947804386</v>
      </c>
      <c r="D635">
        <f t="shared" si="70"/>
        <v>0.12133280994171496</v>
      </c>
      <c r="E635">
        <f t="shared" si="71"/>
        <v>0.13481423326857217</v>
      </c>
    </row>
    <row r="636" spans="1:11">
      <c r="D636" s="6">
        <f>SUM(D619:D635)</f>
        <v>0.531398219267598</v>
      </c>
      <c r="E636">
        <f>SUM(E619:E635)</f>
        <v>1.0056156866770365</v>
      </c>
    </row>
    <row r="644" spans="1:11" ht="16.8">
      <c r="A644" s="1" t="s">
        <v>109</v>
      </c>
    </row>
    <row r="646" spans="1:11">
      <c r="B646" t="s">
        <v>66</v>
      </c>
    </row>
    <row r="647" spans="1:11">
      <c r="A647" t="s">
        <v>29</v>
      </c>
      <c r="B647" t="s">
        <v>43</v>
      </c>
      <c r="C647" t="s">
        <v>99</v>
      </c>
      <c r="D647" t="s">
        <v>120</v>
      </c>
    </row>
    <row r="648" spans="1:11">
      <c r="A648">
        <v>0</v>
      </c>
      <c r="B648">
        <v>0</v>
      </c>
      <c r="C648">
        <f>EXP((($K$648*$K$653*A648)/($K$649))-(($K$648*$K$652)/($K$654)))</f>
        <v>0.19283136746571411</v>
      </c>
      <c r="D648">
        <f>(B648-C648)^2</f>
        <v>3.7183936278697267E-2</v>
      </c>
      <c r="J648" t="s">
        <v>207</v>
      </c>
      <c r="K648" s="6">
        <v>0.11879566289421099</v>
      </c>
    </row>
    <row r="649" spans="1:11">
      <c r="A649">
        <v>10</v>
      </c>
      <c r="B649">
        <v>0</v>
      </c>
      <c r="C649">
        <f t="shared" ref="C649:C657" si="72">EXP((($K$648*$K$653*A649)/($K$649))-(($K$648*$K$652)/($K$654)))</f>
        <v>0.23257515104411589</v>
      </c>
      <c r="D649">
        <f t="shared" ref="D649:D657" si="73">(B649-C649)^2</f>
        <v>5.4091200883193316E-2</v>
      </c>
      <c r="J649" t="s">
        <v>208</v>
      </c>
      <c r="K649" s="6">
        <v>950.88593308381905</v>
      </c>
    </row>
    <row r="650" spans="1:11">
      <c r="A650">
        <v>15</v>
      </c>
      <c r="B650">
        <v>0.01</v>
      </c>
      <c r="C650">
        <f t="shared" si="72"/>
        <v>0.25542072129272358</v>
      </c>
      <c r="D650">
        <f t="shared" si="73"/>
        <v>6.0231330439840705E-2</v>
      </c>
      <c r="F650" s="6" t="s">
        <v>100</v>
      </c>
      <c r="G650" s="6">
        <f>(D658)</f>
        <v>0.3604907119894879</v>
      </c>
    </row>
    <row r="651" spans="1:11">
      <c r="A651">
        <v>25</v>
      </c>
      <c r="B651">
        <v>0.2</v>
      </c>
      <c r="C651">
        <f t="shared" si="72"/>
        <v>0.30806457276726246</v>
      </c>
      <c r="D651">
        <f t="shared" si="73"/>
        <v>1.167795188737096E-2</v>
      </c>
    </row>
    <row r="652" spans="1:11">
      <c r="A652">
        <v>40</v>
      </c>
      <c r="B652">
        <v>0.48</v>
      </c>
      <c r="C652">
        <f t="shared" si="72"/>
        <v>0.40805640915728858</v>
      </c>
      <c r="D652">
        <f t="shared" si="73"/>
        <v>5.1758802633434676E-3</v>
      </c>
      <c r="J652" t="s">
        <v>209</v>
      </c>
      <c r="K652">
        <v>4</v>
      </c>
    </row>
    <row r="653" spans="1:11">
      <c r="A653">
        <v>50</v>
      </c>
      <c r="B653">
        <v>0.69</v>
      </c>
      <c r="C653">
        <f t="shared" si="72"/>
        <v>0.49215945642842607</v>
      </c>
      <c r="D653">
        <f t="shared" si="73"/>
        <v>3.9140880680695822E-2</v>
      </c>
      <c r="J653" t="s">
        <v>12</v>
      </c>
      <c r="K653">
        <v>150</v>
      </c>
    </row>
    <row r="654" spans="1:11">
      <c r="A654">
        <v>60</v>
      </c>
      <c r="B654">
        <v>0.83</v>
      </c>
      <c r="C654">
        <f t="shared" si="72"/>
        <v>0.5935966820179458</v>
      </c>
      <c r="D654">
        <f t="shared" si="73"/>
        <v>5.5886528752924214E-2</v>
      </c>
      <c r="J654" t="s">
        <v>210</v>
      </c>
      <c r="K654">
        <v>0.28870000000000001</v>
      </c>
    </row>
    <row r="655" spans="1:11">
      <c r="A655">
        <v>70</v>
      </c>
      <c r="B655">
        <v>0.88</v>
      </c>
      <c r="C655">
        <f t="shared" si="72"/>
        <v>0.71594077143157964</v>
      </c>
      <c r="D655">
        <f t="shared" si="73"/>
        <v>2.6915430478465199E-2</v>
      </c>
      <c r="J655" t="s">
        <v>106</v>
      </c>
      <c r="K655">
        <v>10</v>
      </c>
    </row>
    <row r="656" spans="1:11">
      <c r="A656">
        <v>75</v>
      </c>
      <c r="B656">
        <v>0.89</v>
      </c>
      <c r="C656">
        <f t="shared" si="72"/>
        <v>0.78626675042870842</v>
      </c>
      <c r="D656">
        <f t="shared" si="73"/>
        <v>1.0760587066619868E-2</v>
      </c>
      <c r="J656" t="s">
        <v>107</v>
      </c>
      <c r="K656">
        <v>2</v>
      </c>
    </row>
    <row r="657" spans="1:11">
      <c r="A657">
        <v>95</v>
      </c>
      <c r="B657">
        <v>0.9</v>
      </c>
      <c r="C657">
        <f t="shared" si="72"/>
        <v>1.1437765067809798</v>
      </c>
      <c r="D657">
        <f t="shared" si="73"/>
        <v>5.9426985258337055E-2</v>
      </c>
    </row>
    <row r="658" spans="1:11">
      <c r="D658">
        <f>SUM(D648:D657)</f>
        <v>0.3604907119894879</v>
      </c>
    </row>
    <row r="663" spans="1:11" ht="16.8">
      <c r="A663" s="1" t="s">
        <v>184</v>
      </c>
    </row>
    <row r="664" spans="1:11">
      <c r="B664" t="s">
        <v>66</v>
      </c>
    </row>
    <row r="665" spans="1:11">
      <c r="A665" t="s">
        <v>29</v>
      </c>
      <c r="B665" t="s">
        <v>43</v>
      </c>
      <c r="C665" t="s">
        <v>99</v>
      </c>
      <c r="D665" t="s">
        <v>120</v>
      </c>
      <c r="E665" t="s">
        <v>137</v>
      </c>
    </row>
    <row r="666" spans="1:11">
      <c r="A666">
        <v>0</v>
      </c>
      <c r="B666">
        <v>0</v>
      </c>
      <c r="C666">
        <f>EXP((($K$666*$K$671*A666)/($K$667))-(($K$666*$K$670)/($K$672)))</f>
        <v>0.22593491605511126</v>
      </c>
      <c r="D666">
        <f>(B666-C666)^2</f>
        <v>5.1046586292830175E-2</v>
      </c>
      <c r="E666">
        <f>ABS(B666-C666)</f>
        <v>0.22593491605511126</v>
      </c>
      <c r="J666" s="6" t="s">
        <v>207</v>
      </c>
      <c r="K666" s="6">
        <v>0.10736091178646801</v>
      </c>
    </row>
    <row r="667" spans="1:11">
      <c r="A667">
        <v>10</v>
      </c>
      <c r="B667">
        <v>0</v>
      </c>
      <c r="C667">
        <f t="shared" ref="C667:C675" si="74">EXP((($K$666*$K$671*A667)/($K$667))-(($K$666*$K$670)/($K$672)))</f>
        <v>0.27125072451100657</v>
      </c>
      <c r="D667">
        <f t="shared" ref="D667:D675" si="75">(B667-C667)^2</f>
        <v>7.3576955547745973E-2</v>
      </c>
      <c r="E667">
        <f t="shared" ref="E667:E675" si="76">ABS(B667-C667)</f>
        <v>0.27125072451100657</v>
      </c>
      <c r="J667" s="6" t="s">
        <v>208</v>
      </c>
      <c r="K667" s="6">
        <v>880.98666810487305</v>
      </c>
    </row>
    <row r="668" spans="1:11">
      <c r="A668">
        <v>15</v>
      </c>
      <c r="B668">
        <v>0.01</v>
      </c>
      <c r="C668">
        <f t="shared" si="74"/>
        <v>0.29721086674463798</v>
      </c>
      <c r="D668">
        <f t="shared" si="75"/>
        <v>8.2490081976206192E-2</v>
      </c>
      <c r="E668">
        <f t="shared" si="76"/>
        <v>0.28721086674463797</v>
      </c>
    </row>
    <row r="669" spans="1:11">
      <c r="A669">
        <v>25</v>
      </c>
      <c r="B669">
        <v>0.2</v>
      </c>
      <c r="C669">
        <f t="shared" si="74"/>
        <v>0.35682250598823928</v>
      </c>
      <c r="D669">
        <f t="shared" si="75"/>
        <v>2.459329838443134E-2</v>
      </c>
      <c r="E669">
        <f t="shared" si="76"/>
        <v>0.15682250598823927</v>
      </c>
      <c r="G669" s="6" t="s">
        <v>132</v>
      </c>
      <c r="H669" s="6">
        <f>(E676)</f>
        <v>1.6822863693042911</v>
      </c>
    </row>
    <row r="670" spans="1:11">
      <c r="A670">
        <v>40</v>
      </c>
      <c r="B670">
        <v>0.48</v>
      </c>
      <c r="C670">
        <f t="shared" si="74"/>
        <v>0.46938971687266673</v>
      </c>
      <c r="D670">
        <f t="shared" si="75"/>
        <v>1.1257810804217272E-4</v>
      </c>
      <c r="E670">
        <f t="shared" si="76"/>
        <v>1.0610283127333253E-2</v>
      </c>
      <c r="J670" t="s">
        <v>209</v>
      </c>
      <c r="K670">
        <v>4</v>
      </c>
    </row>
    <row r="671" spans="1:11">
      <c r="A671">
        <v>50</v>
      </c>
      <c r="B671">
        <v>0.69</v>
      </c>
      <c r="C671">
        <f t="shared" si="74"/>
        <v>0.56353530035468236</v>
      </c>
      <c r="D671">
        <f t="shared" si="75"/>
        <v>1.5993320256380391E-2</v>
      </c>
      <c r="E671">
        <f t="shared" si="76"/>
        <v>0.12646469964531759</v>
      </c>
      <c r="J671" t="s">
        <v>12</v>
      </c>
      <c r="K671">
        <v>150</v>
      </c>
    </row>
    <row r="672" spans="1:11">
      <c r="A672">
        <v>60</v>
      </c>
      <c r="B672">
        <v>0.83</v>
      </c>
      <c r="C672">
        <f t="shared" si="74"/>
        <v>0.67656368115961774</v>
      </c>
      <c r="D672">
        <f t="shared" si="75"/>
        <v>2.3542703939287434E-2</v>
      </c>
      <c r="E672">
        <f t="shared" si="76"/>
        <v>0.15343631884038222</v>
      </c>
      <c r="J672" t="s">
        <v>210</v>
      </c>
      <c r="K672">
        <v>0.28870000000000001</v>
      </c>
    </row>
    <row r="673" spans="1:11">
      <c r="A673">
        <v>70</v>
      </c>
      <c r="B673">
        <v>0.88</v>
      </c>
      <c r="C673">
        <f t="shared" si="74"/>
        <v>0.81226218548537743</v>
      </c>
      <c r="D673">
        <f t="shared" si="75"/>
        <v>4.5884115152174127E-3</v>
      </c>
      <c r="E673">
        <f t="shared" si="76"/>
        <v>6.7737814514622574E-2</v>
      </c>
      <c r="J673" t="s">
        <v>106</v>
      </c>
      <c r="K673">
        <v>10</v>
      </c>
    </row>
    <row r="674" spans="1:11">
      <c r="A674">
        <v>75</v>
      </c>
      <c r="B674">
        <v>0.89</v>
      </c>
      <c r="C674">
        <f t="shared" si="74"/>
        <v>0.89000001237676729</v>
      </c>
      <c r="D674">
        <f t="shared" si="75"/>
        <v>1.5318436824688922E-16</v>
      </c>
      <c r="E674">
        <f t="shared" si="76"/>
        <v>1.2376767277721967E-8</v>
      </c>
      <c r="J674" t="s">
        <v>107</v>
      </c>
      <c r="K674">
        <v>2</v>
      </c>
    </row>
    <row r="675" spans="1:11">
      <c r="A675">
        <v>95</v>
      </c>
      <c r="B675">
        <v>0.9</v>
      </c>
      <c r="C675">
        <f t="shared" si="74"/>
        <v>1.2828182275008733</v>
      </c>
      <c r="D675">
        <f t="shared" si="75"/>
        <v>0.14654979530691034</v>
      </c>
      <c r="E675">
        <f t="shared" si="76"/>
        <v>0.38281822750087324</v>
      </c>
    </row>
    <row r="676" spans="1:11">
      <c r="D676">
        <f>SUM(D666:D675)</f>
        <v>0.42249373132705159</v>
      </c>
      <c r="E676">
        <f>SUM(E666:E675)</f>
        <v>1.6822863693042911</v>
      </c>
    </row>
    <row r="682" spans="1:11" ht="16.8">
      <c r="A682" s="10" t="s">
        <v>141</v>
      </c>
    </row>
    <row r="683" spans="1:11">
      <c r="B683" t="s">
        <v>66</v>
      </c>
    </row>
    <row r="684" spans="1:11">
      <c r="A684" t="s">
        <v>29</v>
      </c>
      <c r="B684" t="s">
        <v>43</v>
      </c>
      <c r="C684" t="s">
        <v>99</v>
      </c>
      <c r="D684" t="s">
        <v>120</v>
      </c>
      <c r="E684" t="s">
        <v>119</v>
      </c>
    </row>
    <row r="685" spans="1:11">
      <c r="A685">
        <v>0</v>
      </c>
      <c r="B685">
        <v>0</v>
      </c>
      <c r="C685">
        <f>EXP((($K$685*$K$690*A685)/($K$686))-(($K$685*$K$689)/($K$691)))</f>
        <v>5.6555333062491197E-3</v>
      </c>
      <c r="D685">
        <f>(B685-C685)^2</f>
        <v>3.1985056978093101E-5</v>
      </c>
      <c r="E685">
        <v>0</v>
      </c>
      <c r="J685" s="6" t="s">
        <v>207</v>
      </c>
      <c r="K685" s="6">
        <v>0.37351434856357502</v>
      </c>
    </row>
    <row r="686" spans="1:11">
      <c r="A686">
        <v>10</v>
      </c>
      <c r="B686">
        <v>0</v>
      </c>
      <c r="C686">
        <f t="shared" ref="C686:C694" si="77">EXP((($K$685*$K$690*A686)/($K$686))-(($K$685*$K$689)/($K$691)))</f>
        <v>9.9782893163167623E-3</v>
      </c>
      <c r="D686">
        <f t="shared" ref="D686:D694" si="78">(B686-C686)^2</f>
        <v>9.9566257680121234E-5</v>
      </c>
      <c r="E686">
        <v>0</v>
      </c>
      <c r="J686" s="6" t="s">
        <v>208</v>
      </c>
      <c r="K686" s="6">
        <v>986.78050342104598</v>
      </c>
    </row>
    <row r="687" spans="1:11">
      <c r="A687">
        <v>15</v>
      </c>
      <c r="B687">
        <v>0.01</v>
      </c>
      <c r="C687">
        <f t="shared" si="77"/>
        <v>1.3254011887767921E-2</v>
      </c>
      <c r="D687">
        <f t="shared" si="78"/>
        <v>1.0588593365734949E-5</v>
      </c>
      <c r="E687">
        <f>((B687-C687)/B687)^2</f>
        <v>0.10588593365734948</v>
      </c>
    </row>
    <row r="688" spans="1:11">
      <c r="A688">
        <v>25</v>
      </c>
      <c r="B688">
        <v>0.2</v>
      </c>
      <c r="C688">
        <f t="shared" si="77"/>
        <v>2.3384596651904958E-2</v>
      </c>
      <c r="D688">
        <f t="shared" si="78"/>
        <v>3.1193000699810305E-2</v>
      </c>
      <c r="E688">
        <f t="shared" ref="E688:E694" si="79">((B688-C688)/B688)^2</f>
        <v>0.77982501749525757</v>
      </c>
      <c r="G688" s="6" t="s">
        <v>121</v>
      </c>
      <c r="H688" s="6">
        <f>(100)*(1/8)^(0.5)*(E695)^(0.5)</f>
        <v>70.033748623017587</v>
      </c>
    </row>
    <row r="689" spans="1:11">
      <c r="A689">
        <v>40</v>
      </c>
      <c r="B689">
        <v>0.48</v>
      </c>
      <c r="C689">
        <f t="shared" si="77"/>
        <v>5.4802916936681503E-2</v>
      </c>
      <c r="D689">
        <f t="shared" si="78"/>
        <v>0.18079255944555456</v>
      </c>
      <c r="E689">
        <f t="shared" si="79"/>
        <v>0.78468992814910832</v>
      </c>
      <c r="J689" t="s">
        <v>209</v>
      </c>
      <c r="K689">
        <v>4</v>
      </c>
    </row>
    <row r="690" spans="1:11">
      <c r="A690">
        <v>50</v>
      </c>
      <c r="B690">
        <v>0.69</v>
      </c>
      <c r="C690">
        <f t="shared" si="77"/>
        <v>9.6691033534901188E-2</v>
      </c>
      <c r="D690">
        <f t="shared" si="78"/>
        <v>0.35201552968788369</v>
      </c>
      <c r="E690">
        <f t="shared" si="79"/>
        <v>0.73937309323227007</v>
      </c>
      <c r="J690" t="s">
        <v>12</v>
      </c>
      <c r="K690">
        <v>150</v>
      </c>
    </row>
    <row r="691" spans="1:11">
      <c r="A691">
        <v>60</v>
      </c>
      <c r="B691">
        <v>0.83</v>
      </c>
      <c r="C691">
        <f t="shared" si="77"/>
        <v>0.17059595526364521</v>
      </c>
      <c r="D691">
        <f t="shared" si="78"/>
        <v>0.43481369421466448</v>
      </c>
      <c r="E691">
        <f t="shared" si="79"/>
        <v>0.63117098884404788</v>
      </c>
      <c r="J691" t="s">
        <v>210</v>
      </c>
      <c r="K691">
        <v>0.28870000000000001</v>
      </c>
    </row>
    <row r="692" spans="1:11">
      <c r="A692">
        <v>70</v>
      </c>
      <c r="B692">
        <v>0.88</v>
      </c>
      <c r="C692">
        <f t="shared" si="77"/>
        <v>0.30098943912737008</v>
      </c>
      <c r="D692">
        <f t="shared" si="78"/>
        <v>0.33525322960203746</v>
      </c>
      <c r="E692">
        <f t="shared" si="79"/>
        <v>0.43291997624230044</v>
      </c>
      <c r="J692" t="s">
        <v>106</v>
      </c>
      <c r="K692">
        <v>10</v>
      </c>
    </row>
    <row r="693" spans="1:11">
      <c r="A693">
        <v>75</v>
      </c>
      <c r="B693">
        <v>0.89</v>
      </c>
      <c r="C693">
        <f t="shared" si="77"/>
        <v>0.39979975302613507</v>
      </c>
      <c r="D693">
        <f t="shared" si="78"/>
        <v>0.24029628213323817</v>
      </c>
      <c r="E693">
        <f t="shared" si="79"/>
        <v>0.30336609283327631</v>
      </c>
      <c r="J693" t="s">
        <v>107</v>
      </c>
      <c r="K693">
        <v>2</v>
      </c>
    </row>
    <row r="694" spans="1:11">
      <c r="A694">
        <v>95</v>
      </c>
      <c r="B694">
        <v>0.9</v>
      </c>
      <c r="C694">
        <f t="shared" si="77"/>
        <v>1.2445363238687657</v>
      </c>
      <c r="D694">
        <f t="shared" si="78"/>
        <v>0.11870527846500298</v>
      </c>
      <c r="E694">
        <f t="shared" si="79"/>
        <v>0.14654972650000367</v>
      </c>
    </row>
    <row r="695" spans="1:11">
      <c r="D695">
        <f>SUM(D685:D694)</f>
        <v>1.6932117141562155</v>
      </c>
      <c r="E695">
        <f>SUM(E685:E694)</f>
        <v>3.9237807569536134</v>
      </c>
    </row>
    <row r="703" spans="1:11" ht="16.8">
      <c r="A703" s="1" t="s">
        <v>133</v>
      </c>
    </row>
    <row r="704" spans="1:11">
      <c r="B704" t="s">
        <v>66</v>
      </c>
    </row>
    <row r="705" spans="1:11">
      <c r="A705" t="s">
        <v>29</v>
      </c>
      <c r="B705" t="s">
        <v>43</v>
      </c>
      <c r="C705" t="s">
        <v>99</v>
      </c>
      <c r="D705" t="s">
        <v>120</v>
      </c>
      <c r="E705" t="s">
        <v>119</v>
      </c>
    </row>
    <row r="706" spans="1:11">
      <c r="A706">
        <v>0</v>
      </c>
      <c r="B706">
        <v>0</v>
      </c>
      <c r="C706">
        <f>EXP((($K$706*$K$711*A706)/($K$707))-(($K$706*$K$710)/($K$712)))</f>
        <v>0.19797660753143781</v>
      </c>
      <c r="D706">
        <f>(B706-C706)^2</f>
        <v>3.9194737129656959E-2</v>
      </c>
      <c r="E706">
        <v>0</v>
      </c>
      <c r="J706" s="6" t="s">
        <v>207</v>
      </c>
      <c r="K706" s="6">
        <v>0.116895091851271</v>
      </c>
    </row>
    <row r="707" spans="1:11">
      <c r="A707">
        <v>10</v>
      </c>
      <c r="B707">
        <v>0</v>
      </c>
      <c r="C707">
        <f t="shared" ref="C707:C715" si="80">EXP((($K$706*$K$711*A707)/($K$707))-(($K$706*$K$710)/($K$712)))</f>
        <v>0.23830806492449555</v>
      </c>
      <c r="D707">
        <f t="shared" ref="D707:D715" si="81">(B707-C707)^2</f>
        <v>5.6790733808057589E-2</v>
      </c>
      <c r="E707">
        <v>0</v>
      </c>
      <c r="J707" s="6" t="s">
        <v>208</v>
      </c>
      <c r="K707" s="6">
        <v>945.67488855917895</v>
      </c>
    </row>
    <row r="708" spans="1:11">
      <c r="A708">
        <v>15</v>
      </c>
      <c r="B708">
        <v>0.01</v>
      </c>
      <c r="C708">
        <f t="shared" si="80"/>
        <v>0.26145754034314922</v>
      </c>
      <c r="D708">
        <f t="shared" si="81"/>
        <v>6.3230894595426509E-2</v>
      </c>
      <c r="E708">
        <f>(B708-C$166)^2/B708</f>
        <v>5.2526023474696517</v>
      </c>
    </row>
    <row r="709" spans="1:11">
      <c r="A709">
        <v>25</v>
      </c>
      <c r="B709">
        <v>0.2</v>
      </c>
      <c r="C709">
        <f t="shared" si="80"/>
        <v>0.31472122528011282</v>
      </c>
      <c r="D709">
        <f t="shared" si="81"/>
        <v>1.3160959529770392E-2</v>
      </c>
      <c r="E709">
        <f t="shared" ref="E709:E715" si="82">(B709-C$166)^2/B709</f>
        <v>7.6775427529454879E-3</v>
      </c>
      <c r="G709" s="6" t="s">
        <v>134</v>
      </c>
      <c r="H709" s="6">
        <f>(100/8)*(E716)</f>
        <v>94.049226702041594</v>
      </c>
    </row>
    <row r="710" spans="1:11">
      <c r="A710">
        <v>40</v>
      </c>
      <c r="B710">
        <v>0.48</v>
      </c>
      <c r="C710">
        <f t="shared" si="80"/>
        <v>0.41563616268378462</v>
      </c>
      <c r="D710">
        <f t="shared" si="81"/>
        <v>4.1427035540682377E-3</v>
      </c>
      <c r="E710">
        <f t="shared" si="82"/>
        <v>0.12081581629234485</v>
      </c>
      <c r="J710" t="s">
        <v>209</v>
      </c>
      <c r="K710">
        <v>4</v>
      </c>
    </row>
    <row r="711" spans="1:11">
      <c r="A711">
        <v>50</v>
      </c>
      <c r="B711">
        <v>0.69</v>
      </c>
      <c r="C711">
        <f t="shared" si="80"/>
        <v>0.50030885404522818</v>
      </c>
      <c r="D711">
        <f t="shared" si="81"/>
        <v>3.5982730853634529E-2</v>
      </c>
      <c r="E711">
        <f t="shared" si="82"/>
        <v>0.29454152793134469</v>
      </c>
      <c r="J711" t="s">
        <v>12</v>
      </c>
      <c r="K711">
        <v>150</v>
      </c>
    </row>
    <row r="712" spans="1:11">
      <c r="A712">
        <v>60</v>
      </c>
      <c r="B712">
        <v>0.83</v>
      </c>
      <c r="C712">
        <f t="shared" si="80"/>
        <v>0.60223092191928485</v>
      </c>
      <c r="D712">
        <f t="shared" si="81"/>
        <v>5.1878752929738897E-2</v>
      </c>
      <c r="E712">
        <f t="shared" si="82"/>
        <v>0.42055626012951336</v>
      </c>
      <c r="J712" t="s">
        <v>210</v>
      </c>
      <c r="K712">
        <v>0.28870000000000001</v>
      </c>
    </row>
    <row r="713" spans="1:11">
      <c r="A713">
        <v>70</v>
      </c>
      <c r="B713">
        <v>0.88</v>
      </c>
      <c r="C713">
        <f t="shared" si="80"/>
        <v>0.72491637991872337</v>
      </c>
      <c r="D713">
        <f t="shared" si="81"/>
        <v>2.4050929217513749E-2</v>
      </c>
      <c r="E713">
        <f t="shared" si="82"/>
        <v>0.46663993107786417</v>
      </c>
      <c r="J713" t="s">
        <v>106</v>
      </c>
      <c r="K713">
        <v>10</v>
      </c>
    </row>
    <row r="714" spans="1:11">
      <c r="A714">
        <v>75</v>
      </c>
      <c r="B714">
        <v>0.89</v>
      </c>
      <c r="C714">
        <f t="shared" si="80"/>
        <v>0.79533545668318295</v>
      </c>
      <c r="D714">
        <f t="shared" si="81"/>
        <v>8.9613757613815348E-3</v>
      </c>
      <c r="E714">
        <f t="shared" si="82"/>
        <v>0.47590946970418579</v>
      </c>
      <c r="J714" t="s">
        <v>107</v>
      </c>
      <c r="K714">
        <v>2</v>
      </c>
    </row>
    <row r="715" spans="1:11">
      <c r="A715">
        <v>95</v>
      </c>
      <c r="B715">
        <v>0.9</v>
      </c>
      <c r="C715">
        <f t="shared" si="80"/>
        <v>1.1523915585704525</v>
      </c>
      <c r="D715">
        <f t="shared" si="81"/>
        <v>6.3701498837622147E-2</v>
      </c>
      <c r="E715">
        <f t="shared" si="82"/>
        <v>0.48519524080547799</v>
      </c>
    </row>
    <row r="716" spans="1:11">
      <c r="D716" s="6">
        <f>SUM(D706:D715)</f>
        <v>0.36109531621687058</v>
      </c>
      <c r="E716">
        <f>SUM(E706:E715)</f>
        <v>7.523938136163328</v>
      </c>
    </row>
    <row r="721" spans="1:11" ht="15.6">
      <c r="A721" s="20" t="s">
        <v>221</v>
      </c>
    </row>
    <row r="724" spans="1:11" ht="16.8">
      <c r="A724" s="1" t="s">
        <v>109</v>
      </c>
    </row>
    <row r="725" spans="1:11">
      <c r="A725" t="s">
        <v>136</v>
      </c>
      <c r="B725" t="s">
        <v>111</v>
      </c>
    </row>
    <row r="726" spans="1:11">
      <c r="A726" t="s">
        <v>29</v>
      </c>
      <c r="B726" t="s">
        <v>43</v>
      </c>
      <c r="C726" t="s">
        <v>99</v>
      </c>
      <c r="D726" t="s">
        <v>120</v>
      </c>
    </row>
    <row r="727" spans="1:11">
      <c r="A727">
        <v>0</v>
      </c>
      <c r="B727">
        <v>0</v>
      </c>
      <c r="C727">
        <f>EXP((($K$727*$K$734*A727)/($K$728))-(($K$727*$K$733)/($K$732)))</f>
        <v>6.8759873546310024E-2</v>
      </c>
      <c r="D727">
        <f>(B727-C727)^2</f>
        <v>4.7279202101045449E-3</v>
      </c>
      <c r="J727" s="6" t="s">
        <v>207</v>
      </c>
      <c r="K727" s="6">
        <v>0.289933713734291</v>
      </c>
    </row>
    <row r="728" spans="1:11">
      <c r="A728">
        <v>20</v>
      </c>
      <c r="B728">
        <v>0</v>
      </c>
      <c r="C728">
        <f t="shared" ref="C728:C740" si="83">EXP((($K$727*$K$734*A728)/($K$728))-(($K$727*$K$733)/($K$732)))</f>
        <v>9.9127653208409355E-2</v>
      </c>
      <c r="D728">
        <f t="shared" ref="D728:D740" si="84">(B728-C728)^2</f>
        <v>9.8262916306066702E-3</v>
      </c>
      <c r="J728" s="6" t="s">
        <v>208</v>
      </c>
      <c r="K728" s="6">
        <v>1585.25501634127</v>
      </c>
    </row>
    <row r="729" spans="1:11">
      <c r="A729">
        <v>30</v>
      </c>
      <c r="B729">
        <v>0</v>
      </c>
      <c r="C729">
        <f t="shared" si="83"/>
        <v>0.11902130350050869</v>
      </c>
      <c r="D729">
        <f t="shared" si="84"/>
        <v>1.4166070686960202E-2</v>
      </c>
    </row>
    <row r="730" spans="1:11">
      <c r="A730">
        <v>40</v>
      </c>
      <c r="B730">
        <v>0</v>
      </c>
      <c r="C730">
        <f t="shared" si="83"/>
        <v>0.14290735459233539</v>
      </c>
      <c r="D730">
        <f t="shared" si="84"/>
        <v>2.0422511996579483E-2</v>
      </c>
      <c r="F730" s="6" t="s">
        <v>100</v>
      </c>
      <c r="G730" s="6">
        <f>(D741)</f>
        <v>0.1911500448589355</v>
      </c>
    </row>
    <row r="731" spans="1:11">
      <c r="A731">
        <v>50</v>
      </c>
      <c r="B731">
        <v>0.01</v>
      </c>
      <c r="C731">
        <f t="shared" si="83"/>
        <v>0.17158703018650934</v>
      </c>
      <c r="D731">
        <f t="shared" si="84"/>
        <v>2.6110368324495876E-2</v>
      </c>
    </row>
    <row r="732" spans="1:11">
      <c r="A732">
        <v>60</v>
      </c>
      <c r="B732">
        <v>0.11</v>
      </c>
      <c r="C732">
        <f t="shared" si="83"/>
        <v>0.2060223493200479</v>
      </c>
      <c r="D732">
        <f t="shared" si="84"/>
        <v>9.2202915689413023E-3</v>
      </c>
      <c r="J732" t="s">
        <v>210</v>
      </c>
      <c r="K732">
        <v>0.43319999999999997</v>
      </c>
    </row>
    <row r="733" spans="1:11">
      <c r="A733">
        <v>80</v>
      </c>
      <c r="B733">
        <v>0.32</v>
      </c>
      <c r="C733">
        <f t="shared" si="83"/>
        <v>0.29701206449754219</v>
      </c>
      <c r="D733">
        <f t="shared" si="84"/>
        <v>5.2844517866516036E-4</v>
      </c>
      <c r="J733" t="s">
        <v>209</v>
      </c>
      <c r="K733">
        <v>4</v>
      </c>
    </row>
    <row r="734" spans="1:11">
      <c r="A734">
        <v>96</v>
      </c>
      <c r="B734">
        <v>0.52</v>
      </c>
      <c r="C734">
        <f t="shared" si="83"/>
        <v>0.39798059297531985</v>
      </c>
      <c r="D734">
        <f t="shared" si="84"/>
        <v>1.4888735690654568E-2</v>
      </c>
      <c r="J734" t="s">
        <v>12</v>
      </c>
      <c r="K734">
        <v>100</v>
      </c>
    </row>
    <row r="735" spans="1:11">
      <c r="A735">
        <v>105</v>
      </c>
      <c r="B735">
        <v>0.62</v>
      </c>
      <c r="C735">
        <f t="shared" si="83"/>
        <v>0.46919004037011253</v>
      </c>
      <c r="D735">
        <f t="shared" si="84"/>
        <v>2.2743643923568289E-2</v>
      </c>
      <c r="J735" t="s">
        <v>106</v>
      </c>
      <c r="K735">
        <v>14</v>
      </c>
    </row>
    <row r="736" spans="1:11">
      <c r="A736">
        <v>122</v>
      </c>
      <c r="B736">
        <v>0.81</v>
      </c>
      <c r="C736">
        <f t="shared" si="83"/>
        <v>0.64029421297150335</v>
      </c>
      <c r="D736">
        <f t="shared" si="84"/>
        <v>2.8800054150961478E-2</v>
      </c>
      <c r="J736" t="s">
        <v>107</v>
      </c>
      <c r="K736">
        <v>2</v>
      </c>
    </row>
    <row r="737" spans="1:11">
      <c r="A737">
        <v>132</v>
      </c>
      <c r="B737">
        <v>0.86</v>
      </c>
      <c r="C737">
        <f t="shared" si="83"/>
        <v>0.76879306011085502</v>
      </c>
      <c r="D737">
        <f t="shared" si="84"/>
        <v>8.3187058839421027E-3</v>
      </c>
      <c r="J737" t="s">
        <v>8</v>
      </c>
      <c r="K737">
        <v>12</v>
      </c>
    </row>
    <row r="738" spans="1:11">
      <c r="A738">
        <v>138</v>
      </c>
      <c r="B738">
        <v>0.88</v>
      </c>
      <c r="C738">
        <f t="shared" si="83"/>
        <v>0.85796067236579654</v>
      </c>
      <c r="D738">
        <f t="shared" si="84"/>
        <v>4.8573196256776452E-4</v>
      </c>
    </row>
    <row r="739" spans="1:11">
      <c r="A739">
        <v>143</v>
      </c>
      <c r="B739">
        <v>0.89</v>
      </c>
      <c r="C739">
        <f t="shared" si="83"/>
        <v>0.94011789549783986</v>
      </c>
      <c r="D739">
        <f t="shared" si="84"/>
        <v>2.5118034491323957E-3</v>
      </c>
    </row>
    <row r="740" spans="1:11">
      <c r="A740">
        <v>150</v>
      </c>
      <c r="B740">
        <v>0.9</v>
      </c>
      <c r="C740">
        <f t="shared" si="83"/>
        <v>1.068521423569099</v>
      </c>
      <c r="D740">
        <f t="shared" si="84"/>
        <v>2.8399470201755653E-2</v>
      </c>
    </row>
    <row r="741" spans="1:11">
      <c r="D741">
        <f>SUM(D727:D740)</f>
        <v>0.1911500448589355</v>
      </c>
    </row>
    <row r="747" spans="1:11" ht="16.8">
      <c r="A747" s="1" t="s">
        <v>144</v>
      </c>
    </row>
    <row r="749" spans="1:11">
      <c r="A749" t="s">
        <v>136</v>
      </c>
      <c r="B749" t="s">
        <v>111</v>
      </c>
    </row>
    <row r="750" spans="1:11">
      <c r="A750" t="s">
        <v>29</v>
      </c>
      <c r="B750" t="s">
        <v>43</v>
      </c>
      <c r="C750" t="s">
        <v>99</v>
      </c>
      <c r="D750" t="s">
        <v>120</v>
      </c>
      <c r="E750" t="s">
        <v>137</v>
      </c>
    </row>
    <row r="751" spans="1:11">
      <c r="A751">
        <v>0</v>
      </c>
      <c r="B751">
        <v>0</v>
      </c>
      <c r="C751">
        <f>EXP((($K$751*$K$758*A751)/($K$752))-(($K$751*$K$757)/($K$756)))</f>
        <v>7.5491146959760488E-2</v>
      </c>
      <c r="D751">
        <f>(B751-C751)^2</f>
        <v>5.698913269300155E-3</v>
      </c>
      <c r="E751">
        <f>ABS(B751-C751)</f>
        <v>7.5491146959760488E-2</v>
      </c>
      <c r="J751" s="6" t="s">
        <v>207</v>
      </c>
      <c r="K751" s="6">
        <v>0.27981902991519603</v>
      </c>
    </row>
    <row r="752" spans="1:11">
      <c r="A752">
        <v>20</v>
      </c>
      <c r="B752">
        <v>0</v>
      </c>
      <c r="C752">
        <f t="shared" ref="C752:C764" si="85">EXP((($K$751*$K$758*A752)/($K$752))-(($K$751*$K$757)/($K$756)))</f>
        <v>0.1077640237430884</v>
      </c>
      <c r="D752">
        <f t="shared" ref="D752:D764" si="86">(B752-C752)^2</f>
        <v>1.1613084813300919E-2</v>
      </c>
      <c r="E752">
        <f t="shared" ref="E752:E764" si="87">ABS(B752-C752)</f>
        <v>0.1077640237430884</v>
      </c>
      <c r="J752" s="6" t="s">
        <v>208</v>
      </c>
      <c r="K752" s="6">
        <v>1572.33289884128</v>
      </c>
    </row>
    <row r="753" spans="1:11">
      <c r="A753">
        <v>30</v>
      </c>
      <c r="B753">
        <v>0</v>
      </c>
      <c r="C753">
        <f t="shared" si="85"/>
        <v>0.12875457998498974</v>
      </c>
      <c r="D753">
        <f t="shared" si="86"/>
        <v>1.6577741867111119E-2</v>
      </c>
      <c r="E753">
        <f t="shared" si="87"/>
        <v>0.12875457998498974</v>
      </c>
    </row>
    <row r="754" spans="1:11">
      <c r="A754">
        <v>40</v>
      </c>
      <c r="B754">
        <v>0</v>
      </c>
      <c r="C754">
        <f t="shared" si="85"/>
        <v>0.15383373125183958</v>
      </c>
      <c r="D754">
        <f t="shared" si="86"/>
        <v>2.3664816870863206E-2</v>
      </c>
      <c r="E754">
        <f t="shared" si="87"/>
        <v>0.15383373125183958</v>
      </c>
      <c r="G754" s="6" t="s">
        <v>132</v>
      </c>
      <c r="H754" s="6">
        <f>(E765)</f>
        <v>1.4684606795412849</v>
      </c>
    </row>
    <row r="755" spans="1:11">
      <c r="A755">
        <v>50</v>
      </c>
      <c r="B755">
        <v>0.01</v>
      </c>
      <c r="C755">
        <f t="shared" si="85"/>
        <v>0.18379786469438258</v>
      </c>
      <c r="D755">
        <f t="shared" si="86"/>
        <v>3.0205697772326914E-2</v>
      </c>
      <c r="E755">
        <f t="shared" si="87"/>
        <v>0.17379786469438258</v>
      </c>
    </row>
    <row r="756" spans="1:11">
      <c r="A756">
        <v>60</v>
      </c>
      <c r="B756">
        <v>0.11</v>
      </c>
      <c r="C756">
        <f t="shared" si="85"/>
        <v>0.21959848981957655</v>
      </c>
      <c r="D756">
        <f t="shared" si="86"/>
        <v>1.2011828970731825E-2</v>
      </c>
      <c r="E756">
        <f t="shared" si="87"/>
        <v>0.10959848981957655</v>
      </c>
      <c r="J756" t="s">
        <v>210</v>
      </c>
      <c r="K756">
        <v>0.43319999999999997</v>
      </c>
    </row>
    <row r="757" spans="1:11">
      <c r="A757">
        <v>80</v>
      </c>
      <c r="B757">
        <v>0.32</v>
      </c>
      <c r="C757">
        <f t="shared" si="85"/>
        <v>0.31347804112020466</v>
      </c>
      <c r="D757">
        <f t="shared" si="86"/>
        <v>4.2535947629741311E-5</v>
      </c>
      <c r="E757">
        <f t="shared" si="87"/>
        <v>6.5219588797953421E-3</v>
      </c>
      <c r="J757" t="s">
        <v>209</v>
      </c>
      <c r="K757">
        <v>4</v>
      </c>
    </row>
    <row r="758" spans="1:11">
      <c r="A758">
        <v>96</v>
      </c>
      <c r="B758">
        <v>0.52</v>
      </c>
      <c r="C758">
        <f t="shared" si="85"/>
        <v>0.41674398895416709</v>
      </c>
      <c r="D758">
        <f t="shared" si="86"/>
        <v>1.0661803817097172E-2</v>
      </c>
      <c r="E758">
        <f t="shared" si="87"/>
        <v>0.10325601104583293</v>
      </c>
      <c r="J758" t="s">
        <v>12</v>
      </c>
      <c r="K758">
        <v>100</v>
      </c>
    </row>
    <row r="759" spans="1:11">
      <c r="A759">
        <v>105</v>
      </c>
      <c r="B759">
        <v>0.62</v>
      </c>
      <c r="C759">
        <f t="shared" si="85"/>
        <v>0.48913567951703285</v>
      </c>
      <c r="D759">
        <f t="shared" si="86"/>
        <v>1.7125470375468733E-2</v>
      </c>
      <c r="E759">
        <f t="shared" si="87"/>
        <v>0.13086432048296714</v>
      </c>
      <c r="J759" t="s">
        <v>106</v>
      </c>
      <c r="K759">
        <v>14</v>
      </c>
    </row>
    <row r="760" spans="1:11">
      <c r="A760">
        <v>122</v>
      </c>
      <c r="B760">
        <v>0.81</v>
      </c>
      <c r="C760">
        <f t="shared" si="85"/>
        <v>0.66194278373888815</v>
      </c>
      <c r="D760">
        <f t="shared" si="86"/>
        <v>2.1920939286989658E-2</v>
      </c>
      <c r="E760">
        <f t="shared" si="87"/>
        <v>0.1480572162611119</v>
      </c>
      <c r="J760" t="s">
        <v>107</v>
      </c>
      <c r="K760">
        <v>2</v>
      </c>
    </row>
    <row r="761" spans="1:11">
      <c r="A761">
        <v>132</v>
      </c>
      <c r="B761">
        <v>0.86</v>
      </c>
      <c r="C761">
        <f t="shared" si="85"/>
        <v>0.79087771720162481</v>
      </c>
      <c r="D761">
        <f t="shared" si="86"/>
        <v>4.7778899792585532E-3</v>
      </c>
      <c r="E761">
        <f t="shared" si="87"/>
        <v>6.9122282798375179E-2</v>
      </c>
      <c r="J761" t="s">
        <v>8</v>
      </c>
      <c r="K761">
        <v>12</v>
      </c>
    </row>
    <row r="762" spans="1:11">
      <c r="A762">
        <v>138</v>
      </c>
      <c r="B762">
        <v>0.88</v>
      </c>
      <c r="C762">
        <f t="shared" si="85"/>
        <v>0.87999999990107669</v>
      </c>
      <c r="D762">
        <f t="shared" si="86"/>
        <v>9.7858220497265474E-21</v>
      </c>
      <c r="E762">
        <f t="shared" si="87"/>
        <v>9.8923313984755623E-11</v>
      </c>
    </row>
    <row r="763" spans="1:11">
      <c r="A763">
        <v>143</v>
      </c>
      <c r="B763">
        <v>0.89</v>
      </c>
      <c r="C763">
        <f t="shared" si="85"/>
        <v>0.9618937788115044</v>
      </c>
      <c r="D763">
        <f t="shared" si="86"/>
        <v>5.168715431797517E-3</v>
      </c>
      <c r="E763">
        <f t="shared" si="87"/>
        <v>7.1893778811504383E-2</v>
      </c>
    </row>
    <row r="764" spans="1:11">
      <c r="A764">
        <v>150</v>
      </c>
      <c r="B764">
        <v>0.9</v>
      </c>
      <c r="C764">
        <f t="shared" si="85"/>
        <v>1.0895052747091374</v>
      </c>
      <c r="D764">
        <f t="shared" si="86"/>
        <v>3.5912249142585617E-2</v>
      </c>
      <c r="E764">
        <f t="shared" si="87"/>
        <v>0.18950527470913736</v>
      </c>
    </row>
    <row r="765" spans="1:11">
      <c r="D765" s="6">
        <f>SUM(D751:D764)</f>
        <v>0.19538168754446111</v>
      </c>
      <c r="E765">
        <f>SUM(E751:E764)</f>
        <v>1.4684606795412849</v>
      </c>
    </row>
    <row r="773" spans="1:11" ht="16.8">
      <c r="A773" s="10" t="s">
        <v>141</v>
      </c>
    </row>
    <row r="774" spans="1:11">
      <c r="A774" t="s">
        <v>136</v>
      </c>
      <c r="B774" t="s">
        <v>111</v>
      </c>
    </row>
    <row r="775" spans="1:11">
      <c r="A775" t="s">
        <v>29</v>
      </c>
      <c r="B775" t="s">
        <v>43</v>
      </c>
      <c r="C775" t="s">
        <v>99</v>
      </c>
      <c r="D775" t="s">
        <v>120</v>
      </c>
      <c r="E775" t="s">
        <v>119</v>
      </c>
    </row>
    <row r="776" spans="1:11">
      <c r="A776">
        <v>0</v>
      </c>
      <c r="B776">
        <v>0</v>
      </c>
      <c r="C776">
        <f>EXP((($K$776*$K$783*A776)/($K$777))-(($K$776*$K$782)/($K$781)))</f>
        <v>1.4353225726503735E-3</v>
      </c>
      <c r="D776">
        <f>(B776-C776)^2</f>
        <v>2.0601508875596868E-6</v>
      </c>
      <c r="E776">
        <v>0</v>
      </c>
      <c r="J776" s="6" t="s">
        <v>207</v>
      </c>
      <c r="K776" s="6">
        <v>0.708971401598395</v>
      </c>
    </row>
    <row r="777" spans="1:11">
      <c r="A777">
        <v>20</v>
      </c>
      <c r="B777">
        <v>0</v>
      </c>
      <c r="C777">
        <f t="shared" ref="C777:C789" si="88">EXP((($K$776*$K$783*A777)/($K$777))-(($K$776*$K$782)/($K$781)))</f>
        <v>3.5590184248544764E-3</v>
      </c>
      <c r="D777">
        <f t="shared" ref="D777:D789" si="89">(B777-C777)^2</f>
        <v>1.2666612148453638E-5</v>
      </c>
      <c r="E777">
        <v>0</v>
      </c>
      <c r="J777" s="6" t="s">
        <v>208</v>
      </c>
      <c r="K777" s="6">
        <v>1561.4473566995</v>
      </c>
    </row>
    <row r="778" spans="1:11">
      <c r="A778">
        <v>30</v>
      </c>
      <c r="B778">
        <v>0</v>
      </c>
      <c r="C778">
        <f t="shared" si="88"/>
        <v>5.6042899592070221E-3</v>
      </c>
      <c r="D778">
        <f t="shared" si="89"/>
        <v>3.1408065946868647E-5</v>
      </c>
      <c r="E778">
        <v>0</v>
      </c>
    </row>
    <row r="779" spans="1:11">
      <c r="A779">
        <v>40</v>
      </c>
      <c r="B779">
        <v>0</v>
      </c>
      <c r="C779">
        <f t="shared" si="88"/>
        <v>8.824923672080421E-3</v>
      </c>
      <c r="D779">
        <f t="shared" si="89"/>
        <v>7.7879277818045388E-5</v>
      </c>
      <c r="E779">
        <v>0</v>
      </c>
      <c r="G779" s="6" t="s">
        <v>121</v>
      </c>
      <c r="H779" s="6">
        <f>(100)*(1/10)^(0.5)*(E790)^(0.5)</f>
        <v>57.123703944946662</v>
      </c>
    </row>
    <row r="780" spans="1:11">
      <c r="A780">
        <v>50</v>
      </c>
      <c r="B780">
        <v>0.01</v>
      </c>
      <c r="C780">
        <f t="shared" si="88"/>
        <v>1.3896368386525245E-2</v>
      </c>
      <c r="D780">
        <f t="shared" si="89"/>
        <v>1.5181686603513341E-5</v>
      </c>
      <c r="E780">
        <f>((B780-C780)/B780)^2</f>
        <v>0.15181686603513339</v>
      </c>
    </row>
    <row r="781" spans="1:11">
      <c r="A781">
        <v>60</v>
      </c>
      <c r="B781">
        <v>0.11</v>
      </c>
      <c r="C781">
        <f t="shared" si="88"/>
        <v>2.1882235077563459E-2</v>
      </c>
      <c r="D781">
        <f t="shared" si="89"/>
        <v>7.7647404949257887E-3</v>
      </c>
      <c r="E781">
        <f t="shared" ref="E781:E789" si="90">((B781-C781)/B781)^2</f>
        <v>0.64171409048973449</v>
      </c>
      <c r="J781" t="s">
        <v>210</v>
      </c>
      <c r="K781">
        <v>0.43319999999999997</v>
      </c>
    </row>
    <row r="782" spans="1:11">
      <c r="A782">
        <v>80</v>
      </c>
      <c r="B782">
        <v>0.32</v>
      </c>
      <c r="C782">
        <f t="shared" si="88"/>
        <v>5.4259076880703194E-2</v>
      </c>
      <c r="D782">
        <f t="shared" si="89"/>
        <v>7.0618238220296017E-2</v>
      </c>
      <c r="E782">
        <f t="shared" si="90"/>
        <v>0.68963123262007842</v>
      </c>
      <c r="J782" t="s">
        <v>209</v>
      </c>
      <c r="K782">
        <v>4</v>
      </c>
    </row>
    <row r="783" spans="1:11">
      <c r="A783">
        <v>96</v>
      </c>
      <c r="B783">
        <v>0.52</v>
      </c>
      <c r="C783">
        <f t="shared" si="88"/>
        <v>0.11219589773988536</v>
      </c>
      <c r="D783">
        <f t="shared" si="89"/>
        <v>0.16630418582017806</v>
      </c>
      <c r="E783">
        <f t="shared" si="90"/>
        <v>0.61503027300361701</v>
      </c>
      <c r="J783" t="s">
        <v>12</v>
      </c>
      <c r="K783">
        <v>100</v>
      </c>
    </row>
    <row r="784" spans="1:11">
      <c r="A784">
        <v>105</v>
      </c>
      <c r="B784">
        <v>0.62</v>
      </c>
      <c r="C784">
        <f t="shared" si="88"/>
        <v>0.16882948768685788</v>
      </c>
      <c r="D784">
        <f t="shared" si="89"/>
        <v>0.20355483118090309</v>
      </c>
      <c r="E784">
        <f t="shared" si="90"/>
        <v>0.52953910296801021</v>
      </c>
      <c r="J784" t="s">
        <v>106</v>
      </c>
      <c r="K784">
        <v>14</v>
      </c>
    </row>
    <row r="785" spans="1:11">
      <c r="A785">
        <v>122</v>
      </c>
      <c r="B785">
        <v>0.81</v>
      </c>
      <c r="C785">
        <f t="shared" si="88"/>
        <v>0.36531871037539454</v>
      </c>
      <c r="D785">
        <f t="shared" si="89"/>
        <v>0.19774144934220228</v>
      </c>
      <c r="E785">
        <f t="shared" si="90"/>
        <v>0.30138919271788184</v>
      </c>
      <c r="J785" t="s">
        <v>107</v>
      </c>
      <c r="K785">
        <v>2</v>
      </c>
    </row>
    <row r="786" spans="1:11">
      <c r="A786">
        <v>132</v>
      </c>
      <c r="B786">
        <v>0.86</v>
      </c>
      <c r="C786">
        <f t="shared" si="88"/>
        <v>0.57525748284121214</v>
      </c>
      <c r="D786">
        <f t="shared" si="89"/>
        <v>8.107830107792259E-2</v>
      </c>
      <c r="E786">
        <f t="shared" si="90"/>
        <v>0.10962452822866767</v>
      </c>
      <c r="J786" t="s">
        <v>8</v>
      </c>
      <c r="K786">
        <v>12</v>
      </c>
    </row>
    <row r="787" spans="1:11">
      <c r="A787">
        <v>138</v>
      </c>
      <c r="B787">
        <v>0.88</v>
      </c>
      <c r="C787">
        <f t="shared" si="88"/>
        <v>0.75539915214299191</v>
      </c>
      <c r="D787">
        <f t="shared" si="89"/>
        <v>1.5525371286685278E-2</v>
      </c>
      <c r="E787">
        <f t="shared" si="90"/>
        <v>2.0048258376401444E-2</v>
      </c>
    </row>
    <row r="788" spans="1:11">
      <c r="A788">
        <v>143</v>
      </c>
      <c r="B788">
        <v>0.89</v>
      </c>
      <c r="C788">
        <f t="shared" si="88"/>
        <v>0.94791997149936957</v>
      </c>
      <c r="D788">
        <f t="shared" si="89"/>
        <v>3.3547230984877822E-3</v>
      </c>
      <c r="E788">
        <f t="shared" si="90"/>
        <v>4.2352267371389739E-3</v>
      </c>
    </row>
    <row r="789" spans="1:11">
      <c r="A789">
        <v>150</v>
      </c>
      <c r="B789">
        <v>0.9</v>
      </c>
      <c r="C789">
        <f t="shared" si="88"/>
        <v>1.3025815604107249</v>
      </c>
      <c r="D789">
        <f t="shared" si="89"/>
        <v>0.16207191278273414</v>
      </c>
      <c r="E789">
        <f t="shared" si="90"/>
        <v>0.20008878121325199</v>
      </c>
    </row>
    <row r="790" spans="1:11">
      <c r="D790" s="6">
        <f>SUM(D776:D789)</f>
        <v>0.90815294909773947</v>
      </c>
      <c r="E790">
        <f>SUM(E776:E789)</f>
        <v>3.263117552389915</v>
      </c>
    </row>
    <row r="796" spans="1:11" ht="16.8">
      <c r="A796" s="1" t="s">
        <v>133</v>
      </c>
    </row>
    <row r="798" spans="1:11">
      <c r="A798" t="s">
        <v>136</v>
      </c>
      <c r="B798" t="s">
        <v>111</v>
      </c>
    </row>
    <row r="799" spans="1:11">
      <c r="A799" t="s">
        <v>29</v>
      </c>
      <c r="B799" t="s">
        <v>43</v>
      </c>
      <c r="C799" t="s">
        <v>99</v>
      </c>
      <c r="D799" t="s">
        <v>120</v>
      </c>
      <c r="E799" t="s">
        <v>119</v>
      </c>
    </row>
    <row r="800" spans="1:11">
      <c r="A800">
        <v>0</v>
      </c>
      <c r="B800">
        <v>0</v>
      </c>
      <c r="C800">
        <f>EXP((($K$800*$K$807*A800)/($K$801))-(($K$800*$K$806)/($K$805)))</f>
        <v>1.3210385631470719E-2</v>
      </c>
      <c r="D800">
        <f>(B800-C800)^2</f>
        <v>1.7451428853216804E-4</v>
      </c>
      <c r="E800">
        <v>0</v>
      </c>
      <c r="J800" s="6" t="s">
        <v>207</v>
      </c>
      <c r="K800" s="6">
        <v>0.46858723818682602</v>
      </c>
    </row>
    <row r="801" spans="1:11">
      <c r="A801">
        <v>20</v>
      </c>
      <c r="B801">
        <v>0</v>
      </c>
      <c r="C801">
        <f t="shared" ref="C801:C813" si="91">EXP((($K$800*$K$807*A801)/($K$801))-(($K$800*$K$806)/($K$805)))</f>
        <v>2.4072099086559436E-2</v>
      </c>
      <c r="D801">
        <f t="shared" ref="D801:D813" si="92">(B801-C801)^2</f>
        <v>5.7946595443313564E-4</v>
      </c>
      <c r="E801">
        <v>0</v>
      </c>
      <c r="J801" s="6" t="s">
        <v>208</v>
      </c>
      <c r="K801" s="6">
        <v>1561.82693073115</v>
      </c>
    </row>
    <row r="802" spans="1:11">
      <c r="A802">
        <v>30</v>
      </c>
      <c r="B802">
        <v>0</v>
      </c>
      <c r="C802">
        <f t="shared" si="91"/>
        <v>3.2494749684517411E-2</v>
      </c>
      <c r="D802">
        <f t="shared" si="92"/>
        <v>1.0559087570594444E-3</v>
      </c>
      <c r="E802">
        <v>0</v>
      </c>
    </row>
    <row r="803" spans="1:11">
      <c r="A803">
        <v>40</v>
      </c>
      <c r="B803">
        <v>0</v>
      </c>
      <c r="C803">
        <f t="shared" si="91"/>
        <v>4.3864423840337487E-2</v>
      </c>
      <c r="D803">
        <f t="shared" si="92"/>
        <v>1.9240876788447676E-3</v>
      </c>
      <c r="E803">
        <v>0</v>
      </c>
      <c r="G803" s="6" t="s">
        <v>134</v>
      </c>
      <c r="H803" s="6">
        <f>(100/10)*(E814)</f>
        <v>9.0091314600658983</v>
      </c>
      <c r="J803" t="s">
        <v>104</v>
      </c>
      <c r="K803">
        <f>1-(D814/E814)</f>
        <v>0.53026828337816823</v>
      </c>
    </row>
    <row r="804" spans="1:11">
      <c r="A804">
        <v>50</v>
      </c>
      <c r="B804">
        <v>0.01</v>
      </c>
      <c r="C804">
        <f t="shared" si="91"/>
        <v>5.9212263443331789E-2</v>
      </c>
      <c r="D804">
        <f t="shared" si="92"/>
        <v>2.4218468732158903E-3</v>
      </c>
      <c r="E804">
        <f>(B804-C804)^2/B804</f>
        <v>0.24218468732158902</v>
      </c>
    </row>
    <row r="805" spans="1:11">
      <c r="A805">
        <v>60</v>
      </c>
      <c r="B805">
        <v>0.11</v>
      </c>
      <c r="C805">
        <f t="shared" si="91"/>
        <v>7.9930199353452913E-2</v>
      </c>
      <c r="D805">
        <f t="shared" si="92"/>
        <v>9.0419291092308366E-4</v>
      </c>
      <c r="E805">
        <f t="shared" ref="E805:E813" si="93">(B805-C805)^2/B805</f>
        <v>8.2199355538462148E-3</v>
      </c>
      <c r="J805" t="s">
        <v>210</v>
      </c>
      <c r="K805">
        <v>0.43319999999999997</v>
      </c>
    </row>
    <row r="806" spans="1:11">
      <c r="A806">
        <v>80</v>
      </c>
      <c r="B806">
        <v>0.32</v>
      </c>
      <c r="C806">
        <f t="shared" si="91"/>
        <v>0.14564962238960452</v>
      </c>
      <c r="D806">
        <f t="shared" si="92"/>
        <v>3.0398054172887497E-2</v>
      </c>
      <c r="E806">
        <f t="shared" si="93"/>
        <v>9.4993919290273426E-2</v>
      </c>
      <c r="J806" t="s">
        <v>209</v>
      </c>
      <c r="K806">
        <v>4</v>
      </c>
    </row>
    <row r="807" spans="1:11">
      <c r="A807">
        <v>96</v>
      </c>
      <c r="B807">
        <v>0.52</v>
      </c>
      <c r="C807">
        <f t="shared" si="91"/>
        <v>0.23539006916640468</v>
      </c>
      <c r="D807">
        <f t="shared" si="92"/>
        <v>8.100281272910391E-2</v>
      </c>
      <c r="E807">
        <f t="shared" si="93"/>
        <v>0.15577463986366136</v>
      </c>
      <c r="J807" t="s">
        <v>12</v>
      </c>
      <c r="K807">
        <v>100</v>
      </c>
    </row>
    <row r="808" spans="1:11">
      <c r="A808">
        <v>105</v>
      </c>
      <c r="B808">
        <v>0.62</v>
      </c>
      <c r="C808">
        <f t="shared" si="91"/>
        <v>0.30835958080712889</v>
      </c>
      <c r="D808">
        <f t="shared" si="92"/>
        <v>9.7119750874708421E-2</v>
      </c>
      <c r="E808">
        <f t="shared" si="93"/>
        <v>0.15664475947533615</v>
      </c>
      <c r="J808" t="s">
        <v>106</v>
      </c>
      <c r="K808">
        <v>14</v>
      </c>
    </row>
    <row r="809" spans="1:11">
      <c r="A809">
        <v>122</v>
      </c>
      <c r="B809">
        <v>0.81</v>
      </c>
      <c r="C809">
        <f t="shared" si="91"/>
        <v>0.51353038269725149</v>
      </c>
      <c r="D809">
        <f t="shared" si="92"/>
        <v>8.7894233983638187E-2</v>
      </c>
      <c r="E809">
        <f t="shared" si="93"/>
        <v>0.10851139997980022</v>
      </c>
      <c r="J809" t="s">
        <v>107</v>
      </c>
      <c r="K809">
        <v>2</v>
      </c>
    </row>
    <row r="810" spans="1:11">
      <c r="A810">
        <v>132</v>
      </c>
      <c r="B810">
        <v>0.86</v>
      </c>
      <c r="C810">
        <f t="shared" si="91"/>
        <v>0.69321089038133588</v>
      </c>
      <c r="D810">
        <f t="shared" si="92"/>
        <v>2.7818607087386753E-2</v>
      </c>
      <c r="E810">
        <f t="shared" si="93"/>
        <v>3.2347217543472966E-2</v>
      </c>
      <c r="J810" t="s">
        <v>8</v>
      </c>
      <c r="K810">
        <v>12</v>
      </c>
    </row>
    <row r="811" spans="1:11">
      <c r="A811">
        <v>138</v>
      </c>
      <c r="B811">
        <v>0.88</v>
      </c>
      <c r="C811">
        <f t="shared" si="91"/>
        <v>0.82993659934667852</v>
      </c>
      <c r="D811">
        <f t="shared" si="92"/>
        <v>2.5063440849749903E-3</v>
      </c>
      <c r="E811">
        <f t="shared" si="93"/>
        <v>2.8481182783806707E-3</v>
      </c>
    </row>
    <row r="812" spans="1:11">
      <c r="A812">
        <v>143</v>
      </c>
      <c r="B812">
        <v>0.89</v>
      </c>
      <c r="C812">
        <f t="shared" si="91"/>
        <v>0.96426084857279259</v>
      </c>
      <c r="D812">
        <f t="shared" si="92"/>
        <v>5.5146736307512302E-3</v>
      </c>
      <c r="E812">
        <f t="shared" si="93"/>
        <v>6.1962625064620564E-3</v>
      </c>
    </row>
    <row r="813" spans="1:11">
      <c r="A813">
        <v>150</v>
      </c>
      <c r="B813">
        <v>0.9</v>
      </c>
      <c r="C813">
        <f t="shared" si="91"/>
        <v>1.1896083313276589</v>
      </c>
      <c r="D813">
        <f t="shared" si="92"/>
        <v>8.3872985574391018E-2</v>
      </c>
      <c r="E813">
        <f t="shared" si="93"/>
        <v>9.3192206193767793E-2</v>
      </c>
    </row>
    <row r="814" spans="1:11">
      <c r="D814" s="6">
        <f>SUM(D800:D813)</f>
        <v>0.42318747860085049</v>
      </c>
      <c r="E814">
        <f>SUM(E800:E813)</f>
        <v>0.90091314600658989</v>
      </c>
    </row>
    <row r="819" spans="1:11" ht="16.8">
      <c r="A819" s="1" t="s">
        <v>177</v>
      </c>
    </row>
    <row r="820" spans="1:11">
      <c r="B820" s="6" t="s">
        <v>175</v>
      </c>
    </row>
    <row r="821" spans="1:11">
      <c r="A821" t="s">
        <v>29</v>
      </c>
      <c r="B821" t="s">
        <v>43</v>
      </c>
      <c r="C821" t="s">
        <v>99</v>
      </c>
      <c r="D821" t="s">
        <v>120</v>
      </c>
    </row>
    <row r="822" spans="1:11">
      <c r="A822">
        <v>0</v>
      </c>
      <c r="B822">
        <v>0</v>
      </c>
      <c r="C822">
        <f>EXP((($K$822*$K$832*A822)/($K$823))-(($K$822*$K$828)/($K$830)))</f>
        <v>2.1233265674726019E-2</v>
      </c>
      <c r="D822">
        <f>(B822-C822)^2</f>
        <v>4.5085157121349821E-4</v>
      </c>
      <c r="J822" s="6" t="s">
        <v>207</v>
      </c>
      <c r="K822" s="6">
        <v>0.41719176454062301</v>
      </c>
    </row>
    <row r="823" spans="1:11">
      <c r="A823">
        <v>20</v>
      </c>
      <c r="B823">
        <v>0</v>
      </c>
      <c r="C823">
        <f t="shared" ref="C823:C836" si="94">EXP((($K$822*$K$832*A823)/($K$823))-(($K$822*$K$828)/($K$830)))</f>
        <v>3.1878492215471253E-2</v>
      </c>
      <c r="D823">
        <f t="shared" ref="D823:D836" si="95">(B823-C823)^2</f>
        <v>1.0162382659318612E-3</v>
      </c>
      <c r="J823" s="6" t="s">
        <v>208</v>
      </c>
      <c r="K823" s="6">
        <v>2053.2986958235101</v>
      </c>
    </row>
    <row r="824" spans="1:11">
      <c r="A824">
        <v>40</v>
      </c>
      <c r="B824">
        <v>0</v>
      </c>
      <c r="C824">
        <f t="shared" si="94"/>
        <v>4.7860667383891477E-2</v>
      </c>
      <c r="D824">
        <f t="shared" si="95"/>
        <v>2.2906434824314934E-3</v>
      </c>
    </row>
    <row r="825" spans="1:11">
      <c r="A825">
        <v>50</v>
      </c>
      <c r="B825">
        <v>0</v>
      </c>
      <c r="C825">
        <f t="shared" si="94"/>
        <v>5.8643413191313706E-2</v>
      </c>
      <c r="D825">
        <f t="shared" si="95"/>
        <v>3.4390499107271465E-3</v>
      </c>
    </row>
    <row r="826" spans="1:11">
      <c r="A826">
        <v>60</v>
      </c>
      <c r="B826">
        <v>0</v>
      </c>
      <c r="C826">
        <f t="shared" si="94"/>
        <v>7.1855452477134388E-2</v>
      </c>
      <c r="D826">
        <f t="shared" si="95"/>
        <v>5.1632060506937184E-3</v>
      </c>
      <c r="F826" s="6" t="s">
        <v>100</v>
      </c>
      <c r="G826" s="6">
        <f>(D837)</f>
        <v>7.608317736246889E-2</v>
      </c>
    </row>
    <row r="827" spans="1:11">
      <c r="A827">
        <v>70</v>
      </c>
      <c r="B827">
        <v>0</v>
      </c>
      <c r="C827">
        <f t="shared" si="94"/>
        <v>8.8044091735412319E-2</v>
      </c>
      <c r="D827">
        <f t="shared" si="95"/>
        <v>7.7517620895137E-3</v>
      </c>
      <c r="J827" t="s">
        <v>8</v>
      </c>
      <c r="K827">
        <v>12</v>
      </c>
    </row>
    <row r="828" spans="1:11">
      <c r="A828">
        <v>80</v>
      </c>
      <c r="B828">
        <v>0.01</v>
      </c>
      <c r="C828">
        <f t="shared" si="94"/>
        <v>0.10787994261090271</v>
      </c>
      <c r="D828">
        <f t="shared" si="95"/>
        <v>9.5804831655136088E-3</v>
      </c>
      <c r="J828" t="s">
        <v>209</v>
      </c>
      <c r="K828">
        <v>4</v>
      </c>
    </row>
    <row r="829" spans="1:11">
      <c r="A829">
        <v>100</v>
      </c>
      <c r="B829">
        <v>0.09</v>
      </c>
      <c r="C829">
        <f t="shared" si="94"/>
        <v>0.16196519006591875</v>
      </c>
      <c r="D829">
        <f t="shared" si="95"/>
        <v>5.1789885812238111E-3</v>
      </c>
      <c r="J829" t="s">
        <v>106</v>
      </c>
    </row>
    <row r="830" spans="1:11">
      <c r="A830">
        <v>115</v>
      </c>
      <c r="B830">
        <v>0.21</v>
      </c>
      <c r="C830">
        <f t="shared" si="94"/>
        <v>0.2196759021862803</v>
      </c>
      <c r="D830">
        <f t="shared" si="95"/>
        <v>9.3623083118464092E-5</v>
      </c>
      <c r="J830" t="s">
        <v>210</v>
      </c>
      <c r="K830">
        <v>0.43319999999999997</v>
      </c>
    </row>
    <row r="831" spans="1:11">
      <c r="A831">
        <v>130</v>
      </c>
      <c r="B831">
        <v>0.36</v>
      </c>
      <c r="C831">
        <f t="shared" si="94"/>
        <v>0.29794983713300194</v>
      </c>
      <c r="D831">
        <f t="shared" si="95"/>
        <v>3.8502227118209836E-3</v>
      </c>
      <c r="J831" t="s">
        <v>107</v>
      </c>
      <c r="K831">
        <v>2</v>
      </c>
    </row>
    <row r="832" spans="1:11">
      <c r="A832">
        <v>140</v>
      </c>
      <c r="B832">
        <v>0.46</v>
      </c>
      <c r="C832">
        <f t="shared" si="94"/>
        <v>0.36507630094510785</v>
      </c>
      <c r="D832">
        <f t="shared" si="95"/>
        <v>9.0105086422637374E-3</v>
      </c>
      <c r="J832" t="s">
        <v>12</v>
      </c>
      <c r="K832">
        <v>100</v>
      </c>
    </row>
    <row r="833" spans="1:5">
      <c r="A833">
        <v>165</v>
      </c>
      <c r="B833">
        <v>0.72</v>
      </c>
      <c r="C833">
        <f t="shared" si="94"/>
        <v>0.60671518443904604</v>
      </c>
      <c r="D833">
        <f t="shared" si="95"/>
        <v>1.2833449436679351E-2</v>
      </c>
    </row>
    <row r="834" spans="1:5">
      <c r="A834">
        <v>180</v>
      </c>
      <c r="B834">
        <v>0.88</v>
      </c>
      <c r="C834">
        <f t="shared" si="94"/>
        <v>0.82289722536996091</v>
      </c>
      <c r="D834">
        <f t="shared" si="95"/>
        <v>3.2607268704490369E-3</v>
      </c>
    </row>
    <row r="835" spans="1:5">
      <c r="A835">
        <v>185</v>
      </c>
      <c r="B835">
        <v>0.89</v>
      </c>
      <c r="C835">
        <f t="shared" si="94"/>
        <v>0.91088980755184301</v>
      </c>
      <c r="D835">
        <f t="shared" si="95"/>
        <v>4.3638405955303677E-4</v>
      </c>
    </row>
    <row r="836" spans="1:5">
      <c r="A836">
        <v>190</v>
      </c>
      <c r="B836">
        <v>0.9</v>
      </c>
      <c r="C836">
        <f t="shared" si="94"/>
        <v>1.0082914559941616</v>
      </c>
      <c r="D836">
        <f t="shared" si="95"/>
        <v>1.1727039441335432E-2</v>
      </c>
    </row>
    <row r="837" spans="1:5">
      <c r="D837">
        <f>SUM(D822:D836)</f>
        <v>7.608317736246889E-2</v>
      </c>
    </row>
    <row r="846" spans="1:5" ht="16.8">
      <c r="A846" s="1" t="s">
        <v>184</v>
      </c>
    </row>
    <row r="847" spans="1:5">
      <c r="B847" t="s">
        <v>175</v>
      </c>
    </row>
    <row r="848" spans="1:5">
      <c r="A848" t="s">
        <v>29</v>
      </c>
      <c r="B848" t="s">
        <v>43</v>
      </c>
      <c r="C848" t="s">
        <v>99</v>
      </c>
      <c r="D848" t="s">
        <v>120</v>
      </c>
      <c r="E848" t="s">
        <v>137</v>
      </c>
    </row>
    <row r="849" spans="1:11">
      <c r="A849">
        <v>0</v>
      </c>
      <c r="B849">
        <v>0</v>
      </c>
      <c r="C849">
        <f>EXP((($K$849*$K$859*A849)/($K$850))-(($K$849*$K$855)/($K$857)))</f>
        <v>1.8936225495429448E-2</v>
      </c>
      <c r="D849">
        <f>(B849-C849)^2</f>
        <v>3.5858063601375224E-4</v>
      </c>
      <c r="E849">
        <f>ABS(B849-C849)</f>
        <v>1.8936225495429448E-2</v>
      </c>
      <c r="J849" s="6" t="s">
        <v>207</v>
      </c>
      <c r="K849" s="6">
        <v>0.42959128139282599</v>
      </c>
    </row>
    <row r="850" spans="1:11">
      <c r="A850">
        <v>20</v>
      </c>
      <c r="B850">
        <v>0</v>
      </c>
      <c r="C850">
        <f t="shared" ref="C850:C863" si="96">EXP((($K$849*$K$859*A850)/($K$850))-(($K$849*$K$855)/($K$857)))</f>
        <v>2.8775286334226387E-2</v>
      </c>
      <c r="D850">
        <f t="shared" ref="D850:D863" si="97">(B850-C850)^2</f>
        <v>8.280171036167158E-4</v>
      </c>
      <c r="E850">
        <f t="shared" ref="E850:E863" si="98">ABS(B850-C850)</f>
        <v>2.8775286334226387E-2</v>
      </c>
      <c r="J850" s="6" t="s">
        <v>208</v>
      </c>
      <c r="K850" s="6">
        <v>2053.2986958235101</v>
      </c>
    </row>
    <row r="851" spans="1:11">
      <c r="A851">
        <v>40</v>
      </c>
      <c r="B851">
        <v>0</v>
      </c>
      <c r="C851">
        <f t="shared" si="96"/>
        <v>4.3726618264900312E-2</v>
      </c>
      <c r="D851">
        <f t="shared" si="97"/>
        <v>1.9120171448843135E-3</v>
      </c>
      <c r="E851">
        <f t="shared" si="98"/>
        <v>4.3726618264900312E-2</v>
      </c>
    </row>
    <row r="852" spans="1:11">
      <c r="A852">
        <v>50</v>
      </c>
      <c r="B852">
        <v>0</v>
      </c>
      <c r="C852">
        <f t="shared" si="96"/>
        <v>5.3902512597749003E-2</v>
      </c>
      <c r="D852">
        <f t="shared" si="97"/>
        <v>2.9054808643504898E-3</v>
      </c>
      <c r="E852">
        <f t="shared" si="98"/>
        <v>5.3902512597749003E-2</v>
      </c>
      <c r="G852" s="6" t="s">
        <v>132</v>
      </c>
      <c r="H852" s="6">
        <f>(E864)</f>
        <v>0.93737123160069225</v>
      </c>
    </row>
    <row r="853" spans="1:11">
      <c r="A853">
        <v>60</v>
      </c>
      <c r="B853">
        <v>0</v>
      </c>
      <c r="C853">
        <f t="shared" si="96"/>
        <v>6.644650283149707E-2</v>
      </c>
      <c r="D853">
        <f t="shared" si="97"/>
        <v>4.4151377385361484E-3</v>
      </c>
      <c r="E853">
        <f t="shared" si="98"/>
        <v>6.644650283149707E-2</v>
      </c>
    </row>
    <row r="854" spans="1:11">
      <c r="A854">
        <v>70</v>
      </c>
      <c r="B854">
        <v>0</v>
      </c>
      <c r="C854">
        <f t="shared" si="96"/>
        <v>8.1909683347869133E-2</v>
      </c>
      <c r="D854">
        <f t="shared" si="97"/>
        <v>6.7091962261481902E-3</v>
      </c>
      <c r="E854">
        <f t="shared" si="98"/>
        <v>8.1909683347869133E-2</v>
      </c>
      <c r="J854" t="s">
        <v>8</v>
      </c>
      <c r="K854">
        <v>12</v>
      </c>
    </row>
    <row r="855" spans="1:11">
      <c r="A855">
        <v>80</v>
      </c>
      <c r="B855">
        <v>0.01</v>
      </c>
      <c r="C855">
        <f t="shared" si="96"/>
        <v>0.10097139714278368</v>
      </c>
      <c r="D855">
        <f t="shared" si="97"/>
        <v>8.2757950981100711E-3</v>
      </c>
      <c r="E855">
        <f t="shared" si="98"/>
        <v>9.0971397142783683E-2</v>
      </c>
      <c r="J855" t="s">
        <v>209</v>
      </c>
      <c r="K855">
        <v>4</v>
      </c>
    </row>
    <row r="856" spans="1:11">
      <c r="A856">
        <v>100</v>
      </c>
      <c r="B856">
        <v>0.09</v>
      </c>
      <c r="C856">
        <f t="shared" si="96"/>
        <v>0.15343505837801585</v>
      </c>
      <c r="D856">
        <f t="shared" si="97"/>
        <v>4.02400663142228E-3</v>
      </c>
      <c r="E856">
        <f t="shared" si="98"/>
        <v>6.3435058378015857E-2</v>
      </c>
      <c r="J856" t="s">
        <v>106</v>
      </c>
    </row>
    <row r="857" spans="1:11">
      <c r="A857">
        <v>115</v>
      </c>
      <c r="B857">
        <v>0.21</v>
      </c>
      <c r="C857">
        <f t="shared" si="96"/>
        <v>0.20999999328547786</v>
      </c>
      <c r="D857">
        <f t="shared" si="97"/>
        <v>4.5084807471118497E-17</v>
      </c>
      <c r="E857">
        <f t="shared" si="98"/>
        <v>6.7145221327447047E-9</v>
      </c>
      <c r="J857" t="s">
        <v>210</v>
      </c>
      <c r="K857">
        <v>0.43319999999999997</v>
      </c>
    </row>
    <row r="858" spans="1:11">
      <c r="A858">
        <v>130</v>
      </c>
      <c r="B858">
        <v>0.36</v>
      </c>
      <c r="C858">
        <f t="shared" si="96"/>
        <v>0.2874179972040824</v>
      </c>
      <c r="D858">
        <f t="shared" si="97"/>
        <v>5.2681471298665888E-3</v>
      </c>
      <c r="E858">
        <f t="shared" si="98"/>
        <v>7.2582002795917588E-2</v>
      </c>
      <c r="J858" t="s">
        <v>107</v>
      </c>
      <c r="K858">
        <v>2</v>
      </c>
    </row>
    <row r="859" spans="1:11">
      <c r="A859">
        <v>140</v>
      </c>
      <c r="B859">
        <v>0.46</v>
      </c>
      <c r="C859">
        <f t="shared" si="96"/>
        <v>0.35430483375726363</v>
      </c>
      <c r="D859">
        <f t="shared" si="97"/>
        <v>1.1171468167079682E-2</v>
      </c>
      <c r="E859">
        <f t="shared" si="98"/>
        <v>0.10569516624273639</v>
      </c>
      <c r="J859" t="s">
        <v>12</v>
      </c>
      <c r="K859">
        <v>100</v>
      </c>
    </row>
    <row r="860" spans="1:11">
      <c r="A860">
        <v>165</v>
      </c>
      <c r="B860">
        <v>0.72</v>
      </c>
      <c r="C860">
        <f t="shared" si="96"/>
        <v>0.59777104398813896</v>
      </c>
      <c r="D860">
        <f t="shared" si="97"/>
        <v>1.4939917687749453E-2</v>
      </c>
      <c r="E860">
        <f t="shared" si="98"/>
        <v>0.12222895601186101</v>
      </c>
    </row>
    <row r="861" spans="1:11">
      <c r="A861">
        <v>180</v>
      </c>
      <c r="B861">
        <v>0.88</v>
      </c>
      <c r="C861">
        <f t="shared" si="96"/>
        <v>0.81814362734813229</v>
      </c>
      <c r="D861">
        <f t="shared" si="97"/>
        <v>3.8262108376467289E-3</v>
      </c>
      <c r="E861">
        <f t="shared" si="98"/>
        <v>6.1856372651867719E-2</v>
      </c>
    </row>
    <row r="862" spans="1:11">
      <c r="A862">
        <v>185</v>
      </c>
      <c r="B862">
        <v>0.89</v>
      </c>
      <c r="C862">
        <f t="shared" si="96"/>
        <v>0.90836650404379016</v>
      </c>
      <c r="D862">
        <f t="shared" si="97"/>
        <v>3.3732847079055971E-4</v>
      </c>
      <c r="E862">
        <f t="shared" si="98"/>
        <v>1.8366504043790144E-2</v>
      </c>
    </row>
    <row r="863" spans="1:11">
      <c r="A863">
        <v>190</v>
      </c>
      <c r="B863">
        <v>0.9</v>
      </c>
      <c r="C863">
        <f t="shared" si="96"/>
        <v>1.0085389387475263</v>
      </c>
      <c r="D863">
        <f t="shared" si="97"/>
        <v>1.1780701224439265E-2</v>
      </c>
      <c r="E863">
        <f t="shared" si="98"/>
        <v>0.10853893874752629</v>
      </c>
    </row>
    <row r="864" spans="1:11">
      <c r="D864" s="6">
        <f>SUM(D849:D863)</f>
        <v>7.6752004960654277E-2</v>
      </c>
      <c r="E864">
        <f>SUM(E849:E863)</f>
        <v>0.93737123160069225</v>
      </c>
    </row>
    <row r="871" spans="1:11" ht="16.8">
      <c r="A871" s="10" t="s">
        <v>145</v>
      </c>
    </row>
    <row r="872" spans="1:11">
      <c r="B872" t="s">
        <v>175</v>
      </c>
    </row>
    <row r="873" spans="1:11">
      <c r="A873" t="s">
        <v>29</v>
      </c>
      <c r="B873" t="s">
        <v>43</v>
      </c>
      <c r="C873" t="s">
        <v>99</v>
      </c>
      <c r="D873" t="s">
        <v>120</v>
      </c>
      <c r="E873" t="s">
        <v>119</v>
      </c>
    </row>
    <row r="874" spans="1:11">
      <c r="A874">
        <v>0</v>
      </c>
      <c r="B874">
        <v>0</v>
      </c>
      <c r="C874">
        <f>EXP((($K$874*$K$884*A874)/($K$875))-(($K$874*$K$880)/($K$882)))</f>
        <v>5.6060344193004747E-4</v>
      </c>
      <c r="D874">
        <f>(B874-C874)^2</f>
        <v>3.1427621910381609E-7</v>
      </c>
      <c r="E874">
        <v>0</v>
      </c>
      <c r="J874" s="6" t="s">
        <v>207</v>
      </c>
      <c r="K874" s="6">
        <v>0.81078760122278004</v>
      </c>
    </row>
    <row r="875" spans="1:11">
      <c r="A875">
        <v>20</v>
      </c>
      <c r="B875">
        <v>0</v>
      </c>
      <c r="C875">
        <f t="shared" ref="C875:C888" si="99">EXP((($K$874*$K$884*A875)/($K$875))-(($K$874*$K$880)/($K$882)))</f>
        <v>1.2576801385007766E-3</v>
      </c>
      <c r="D875">
        <f t="shared" ref="D875:D888" si="100">(B875-C875)^2</f>
        <v>1.5817593307793325E-6</v>
      </c>
      <c r="E875">
        <v>0</v>
      </c>
      <c r="J875" s="6" t="s">
        <v>208</v>
      </c>
      <c r="K875" s="6">
        <v>2006.87425997117</v>
      </c>
    </row>
    <row r="876" spans="1:11">
      <c r="A876">
        <v>40</v>
      </c>
      <c r="B876">
        <v>0</v>
      </c>
      <c r="C876">
        <f t="shared" si="99"/>
        <v>2.8215298238869991E-3</v>
      </c>
      <c r="D876">
        <f t="shared" si="100"/>
        <v>7.9610305470838008E-6</v>
      </c>
      <c r="E876">
        <v>0</v>
      </c>
    </row>
    <row r="877" spans="1:11">
      <c r="A877">
        <v>50</v>
      </c>
      <c r="B877">
        <v>0</v>
      </c>
      <c r="C877">
        <f t="shared" si="99"/>
        <v>4.2261204075818111E-3</v>
      </c>
      <c r="D877">
        <f t="shared" si="100"/>
        <v>1.7860093699379454E-5</v>
      </c>
      <c r="E877">
        <v>0</v>
      </c>
      <c r="G877" s="6" t="s">
        <v>121</v>
      </c>
      <c r="H877" s="6">
        <f>(100)*(1/13)^(0.5)*(E889)^(0.5)</f>
        <v>42.249959033040412</v>
      </c>
    </row>
    <row r="878" spans="1:11">
      <c r="A878">
        <v>60</v>
      </c>
      <c r="B878">
        <v>0</v>
      </c>
      <c r="C878">
        <f t="shared" si="99"/>
        <v>6.3299326302264612E-3</v>
      </c>
      <c r="D878">
        <f t="shared" si="100"/>
        <v>4.0068047103205684E-5</v>
      </c>
      <c r="E878">
        <v>0</v>
      </c>
    </row>
    <row r="879" spans="1:11">
      <c r="A879">
        <v>70</v>
      </c>
      <c r="B879">
        <v>0</v>
      </c>
      <c r="C879">
        <f t="shared" si="99"/>
        <v>9.4810472108939944E-3</v>
      </c>
      <c r="D879">
        <f t="shared" si="100"/>
        <v>8.9890256215200784E-5</v>
      </c>
      <c r="E879">
        <v>0</v>
      </c>
      <c r="J879" t="s">
        <v>8</v>
      </c>
      <c r="K879">
        <v>12</v>
      </c>
    </row>
    <row r="880" spans="1:11">
      <c r="A880">
        <v>80</v>
      </c>
      <c r="B880">
        <v>0.01</v>
      </c>
      <c r="C880">
        <f t="shared" si="99"/>
        <v>1.4200823526297906E-2</v>
      </c>
      <c r="D880">
        <f t="shared" si="100"/>
        <v>1.764691829909797E-5</v>
      </c>
      <c r="E880">
        <f>((B880-C880)/B880)^2</f>
        <v>0.17646918299097969</v>
      </c>
      <c r="J880" t="s">
        <v>209</v>
      </c>
      <c r="K880">
        <v>4</v>
      </c>
    </row>
    <row r="881" spans="1:11">
      <c r="A881">
        <v>100</v>
      </c>
      <c r="B881">
        <v>0.09</v>
      </c>
      <c r="C881">
        <f t="shared" si="99"/>
        <v>3.1858694334609611E-2</v>
      </c>
      <c r="D881">
        <f t="shared" si="100"/>
        <v>3.3804114244763562E-3</v>
      </c>
      <c r="E881">
        <f t="shared" ref="E881:E888" si="101">((B881-C881)/B881)^2</f>
        <v>0.41733474376251312</v>
      </c>
      <c r="J881" t="s">
        <v>106</v>
      </c>
    </row>
    <row r="882" spans="1:11">
      <c r="A882">
        <v>115</v>
      </c>
      <c r="B882">
        <v>0.21</v>
      </c>
      <c r="C882">
        <f t="shared" si="99"/>
        <v>5.8400128824626391E-2</v>
      </c>
      <c r="D882">
        <f t="shared" si="100"/>
        <v>2.2982520940389873E-2</v>
      </c>
      <c r="E882">
        <f t="shared" si="101"/>
        <v>0.52114559955532602</v>
      </c>
      <c r="J882" t="s">
        <v>210</v>
      </c>
      <c r="K882">
        <v>0.43319999999999997</v>
      </c>
    </row>
    <row r="883" spans="1:11">
      <c r="A883">
        <v>130</v>
      </c>
      <c r="B883">
        <v>0.36</v>
      </c>
      <c r="C883">
        <f t="shared" si="99"/>
        <v>0.10705319593175831</v>
      </c>
      <c r="D883">
        <f t="shared" si="100"/>
        <v>6.3982085688337437E-2</v>
      </c>
      <c r="E883">
        <f t="shared" si="101"/>
        <v>0.49368893278038145</v>
      </c>
      <c r="J883" t="s">
        <v>107</v>
      </c>
      <c r="K883">
        <v>2</v>
      </c>
    </row>
    <row r="884" spans="1:11">
      <c r="A884">
        <v>140</v>
      </c>
      <c r="B884">
        <v>0.46</v>
      </c>
      <c r="C884">
        <f t="shared" si="99"/>
        <v>0.16034553035515839</v>
      </c>
      <c r="D884">
        <f t="shared" si="100"/>
        <v>8.9792801178131335E-2</v>
      </c>
      <c r="E884">
        <f t="shared" si="101"/>
        <v>0.42435161237302133</v>
      </c>
      <c r="J884" t="s">
        <v>12</v>
      </c>
      <c r="K884">
        <v>100</v>
      </c>
    </row>
    <row r="885" spans="1:11">
      <c r="A885">
        <v>165</v>
      </c>
      <c r="B885">
        <v>0.72</v>
      </c>
      <c r="C885">
        <f t="shared" si="99"/>
        <v>0.44025055461924362</v>
      </c>
      <c r="D885">
        <f t="shared" si="100"/>
        <v>7.8259752190840789E-2</v>
      </c>
      <c r="E885">
        <f t="shared" si="101"/>
        <v>0.150964028145912</v>
      </c>
    </row>
    <row r="886" spans="1:11">
      <c r="A886">
        <v>180</v>
      </c>
      <c r="B886">
        <v>0.88</v>
      </c>
      <c r="C886">
        <f t="shared" si="99"/>
        <v>0.80702268695758594</v>
      </c>
      <c r="D886">
        <f t="shared" si="100"/>
        <v>5.3256882188904972E-3</v>
      </c>
      <c r="E886">
        <f t="shared" si="101"/>
        <v>6.8771800347242991E-3</v>
      </c>
    </row>
    <row r="887" spans="1:11">
      <c r="A887">
        <v>185</v>
      </c>
      <c r="B887">
        <v>0.89</v>
      </c>
      <c r="C887">
        <f t="shared" si="99"/>
        <v>0.98767566713881205</v>
      </c>
      <c r="D887">
        <f t="shared" si="100"/>
        <v>9.5405359510120063E-3</v>
      </c>
      <c r="E887">
        <f t="shared" si="101"/>
        <v>1.2044610467127894E-2</v>
      </c>
    </row>
    <row r="888" spans="1:11">
      <c r="A888">
        <v>190</v>
      </c>
      <c r="B888">
        <v>0.9</v>
      </c>
      <c r="C888">
        <f t="shared" si="99"/>
        <v>1.2087680299740649</v>
      </c>
      <c r="D888">
        <f t="shared" si="100"/>
        <v>9.5337696334064997E-2</v>
      </c>
      <c r="E888">
        <f t="shared" si="101"/>
        <v>0.11770085967168516</v>
      </c>
    </row>
    <row r="889" spans="1:11">
      <c r="D889" s="6">
        <f>SUM(D874:D888)</f>
        <v>0.36877681430755715</v>
      </c>
      <c r="E889">
        <f>SUM(E874:E888)</f>
        <v>2.3205767497816709</v>
      </c>
    </row>
    <row r="898" spans="1:11" ht="16.8">
      <c r="A898" s="1" t="s">
        <v>125</v>
      </c>
    </row>
    <row r="899" spans="1:11">
      <c r="B899" t="s">
        <v>175</v>
      </c>
    </row>
    <row r="900" spans="1:11">
      <c r="A900" t="s">
        <v>29</v>
      </c>
      <c r="B900" t="s">
        <v>43</v>
      </c>
      <c r="C900" t="s">
        <v>99</v>
      </c>
      <c r="D900" t="s">
        <v>120</v>
      </c>
      <c r="E900" t="s">
        <v>119</v>
      </c>
    </row>
    <row r="901" spans="1:11">
      <c r="A901">
        <v>0</v>
      </c>
      <c r="B901">
        <v>0</v>
      </c>
      <c r="C901">
        <f>EXP((($K$901*$K$911*A901)/($K$902))-(($K$901*$K$907)/($K$909)))</f>
        <v>2.1233265674726019E-2</v>
      </c>
      <c r="D901">
        <f>(B901-C901)^2</f>
        <v>4.5085157121349821E-4</v>
      </c>
      <c r="E901">
        <v>0</v>
      </c>
      <c r="J901" t="s">
        <v>207</v>
      </c>
      <c r="K901" s="6">
        <v>0.41719176454062301</v>
      </c>
    </row>
    <row r="902" spans="1:11">
      <c r="A902">
        <v>20</v>
      </c>
      <c r="B902">
        <v>0</v>
      </c>
      <c r="C902">
        <f t="shared" ref="C902:C915" si="102">EXP((($K$901*$K$911*A902)/($K$902))-(($K$901*$K$907)/($K$909)))</f>
        <v>3.1878492215471253E-2</v>
      </c>
      <c r="D902">
        <f t="shared" ref="D902:D915" si="103">(B902-C902)^2</f>
        <v>1.0162382659318612E-3</v>
      </c>
      <c r="E902">
        <v>0</v>
      </c>
      <c r="J902" t="s">
        <v>208</v>
      </c>
      <c r="K902" s="6">
        <v>2053.2986958235101</v>
      </c>
    </row>
    <row r="903" spans="1:11">
      <c r="A903">
        <v>40</v>
      </c>
      <c r="B903">
        <v>0</v>
      </c>
      <c r="C903">
        <f t="shared" si="102"/>
        <v>4.7860667383891477E-2</v>
      </c>
      <c r="D903">
        <f t="shared" si="103"/>
        <v>2.2906434824314934E-3</v>
      </c>
      <c r="E903">
        <v>0</v>
      </c>
    </row>
    <row r="904" spans="1:11">
      <c r="A904">
        <v>50</v>
      </c>
      <c r="B904">
        <v>0</v>
      </c>
      <c r="C904">
        <f t="shared" si="102"/>
        <v>5.8643413191313706E-2</v>
      </c>
      <c r="D904">
        <f t="shared" si="103"/>
        <v>3.4390499107271465E-3</v>
      </c>
      <c r="E904">
        <v>0</v>
      </c>
      <c r="G904" s="6" t="s">
        <v>134</v>
      </c>
      <c r="H904" s="6">
        <f>(100/13)*(E916)</f>
        <v>33.659240978185622</v>
      </c>
    </row>
    <row r="905" spans="1:11">
      <c r="A905">
        <v>60</v>
      </c>
      <c r="B905">
        <v>0</v>
      </c>
      <c r="C905">
        <f t="shared" si="102"/>
        <v>7.1855452477134388E-2</v>
      </c>
      <c r="D905">
        <f t="shared" si="103"/>
        <v>5.1632060506937184E-3</v>
      </c>
      <c r="E905">
        <v>0</v>
      </c>
    </row>
    <row r="906" spans="1:11">
      <c r="A906">
        <v>70</v>
      </c>
      <c r="B906">
        <v>0</v>
      </c>
      <c r="C906">
        <f t="shared" si="102"/>
        <v>8.8044091735412319E-2</v>
      </c>
      <c r="D906">
        <f t="shared" si="103"/>
        <v>7.7517620895137E-3</v>
      </c>
      <c r="E906">
        <v>0</v>
      </c>
      <c r="J906" t="s">
        <v>8</v>
      </c>
      <c r="K906">
        <v>12</v>
      </c>
    </row>
    <row r="907" spans="1:11">
      <c r="A907">
        <v>80</v>
      </c>
      <c r="B907">
        <v>0.01</v>
      </c>
      <c r="C907">
        <f t="shared" si="102"/>
        <v>0.10787994261090271</v>
      </c>
      <c r="D907">
        <f t="shared" si="103"/>
        <v>9.5804831655136088E-3</v>
      </c>
      <c r="E907">
        <f>(B907-C$211)^2/B907</f>
        <v>2.180162972281523E-4</v>
      </c>
      <c r="J907" t="s">
        <v>209</v>
      </c>
      <c r="K907">
        <v>4</v>
      </c>
    </row>
    <row r="908" spans="1:11">
      <c r="A908">
        <v>100</v>
      </c>
      <c r="B908">
        <v>0.09</v>
      </c>
      <c r="C908">
        <f t="shared" si="102"/>
        <v>0.16196519006591875</v>
      </c>
      <c r="D908">
        <f t="shared" si="103"/>
        <v>5.1789885812238111E-3</v>
      </c>
      <c r="E908">
        <f t="shared" ref="E908:E915" si="104">(B908-C$211)^2/B908</f>
        <v>7.3760290689683788E-2</v>
      </c>
      <c r="J908" t="s">
        <v>106</v>
      </c>
    </row>
    <row r="909" spans="1:11">
      <c r="A909">
        <v>115</v>
      </c>
      <c r="B909">
        <v>0.21</v>
      </c>
      <c r="C909">
        <f t="shared" si="102"/>
        <v>0.2196759021862803</v>
      </c>
      <c r="D909">
        <f t="shared" si="103"/>
        <v>9.3623083118464092E-5</v>
      </c>
      <c r="E909">
        <f t="shared" si="104"/>
        <v>0.19329902457485917</v>
      </c>
      <c r="J909" t="s">
        <v>210</v>
      </c>
      <c r="K909">
        <v>0.43319999999999997</v>
      </c>
    </row>
    <row r="910" spans="1:11">
      <c r="A910">
        <v>130</v>
      </c>
      <c r="B910">
        <v>0.36</v>
      </c>
      <c r="C910">
        <f t="shared" si="102"/>
        <v>0.29794983713300194</v>
      </c>
      <c r="D910">
        <f t="shared" si="103"/>
        <v>3.8502227118209836E-3</v>
      </c>
      <c r="E910">
        <f t="shared" si="104"/>
        <v>0.3431548789139765</v>
      </c>
      <c r="J910" t="s">
        <v>107</v>
      </c>
      <c r="K910">
        <v>2</v>
      </c>
    </row>
    <row r="911" spans="1:11">
      <c r="A911">
        <v>140</v>
      </c>
      <c r="B911">
        <v>0.46</v>
      </c>
      <c r="C911">
        <f t="shared" si="102"/>
        <v>0.36507630094510785</v>
      </c>
      <c r="D911">
        <f t="shared" si="103"/>
        <v>9.0105086422637374E-3</v>
      </c>
      <c r="E911">
        <f t="shared" si="104"/>
        <v>0.44311100849544699</v>
      </c>
      <c r="J911" t="s">
        <v>12</v>
      </c>
      <c r="K911">
        <v>100</v>
      </c>
    </row>
    <row r="912" spans="1:11">
      <c r="A912">
        <v>165</v>
      </c>
      <c r="B912">
        <v>0.72</v>
      </c>
      <c r="C912">
        <f t="shared" si="102"/>
        <v>0.60671518443904604</v>
      </c>
      <c r="D912">
        <f t="shared" si="103"/>
        <v>1.2833449436679351E-2</v>
      </c>
      <c r="E912">
        <f t="shared" si="104"/>
        <v>0.70305397695135863</v>
      </c>
    </row>
    <row r="913" spans="1:8">
      <c r="A913">
        <v>180</v>
      </c>
      <c r="B913">
        <v>0.88</v>
      </c>
      <c r="C913">
        <f t="shared" si="102"/>
        <v>0.82289722536996091</v>
      </c>
      <c r="D913">
        <f t="shared" si="103"/>
        <v>3.2607268704490369E-3</v>
      </c>
      <c r="E913">
        <f t="shared" si="104"/>
        <v>0.86303563113997361</v>
      </c>
    </row>
    <row r="914" spans="1:8">
      <c r="A914">
        <v>185</v>
      </c>
      <c r="B914">
        <v>0.89</v>
      </c>
      <c r="C914">
        <f t="shared" si="102"/>
        <v>0.91088980755184301</v>
      </c>
      <c r="D914">
        <f t="shared" si="103"/>
        <v>4.3638405955303677E-4</v>
      </c>
      <c r="E914">
        <f t="shared" si="104"/>
        <v>0.87303470354276869</v>
      </c>
    </row>
    <row r="915" spans="1:8">
      <c r="A915">
        <v>190</v>
      </c>
      <c r="B915">
        <v>0.9</v>
      </c>
      <c r="C915">
        <f t="shared" si="102"/>
        <v>1.0082914559941616</v>
      </c>
      <c r="D915">
        <f t="shared" si="103"/>
        <v>1.1727039441335432E-2</v>
      </c>
      <c r="E915">
        <f t="shared" si="104"/>
        <v>0.88303379655883507</v>
      </c>
    </row>
    <row r="916" spans="1:8">
      <c r="D916" s="6">
        <f>SUM(D901:D915)</f>
        <v>7.608317736246889E-2</v>
      </c>
      <c r="E916">
        <f>SUM(E901:E915)</f>
        <v>4.3757013271641307</v>
      </c>
    </row>
    <row r="922" spans="1:8" ht="15.6">
      <c r="A922" s="4"/>
      <c r="B922" s="4"/>
      <c r="C922" s="4"/>
      <c r="D922" s="4"/>
      <c r="E922" s="4"/>
    </row>
    <row r="923" spans="1:8" ht="15.6">
      <c r="A923" s="4"/>
      <c r="B923" s="4"/>
      <c r="C923" s="4"/>
      <c r="D923" s="4"/>
      <c r="E923" s="4"/>
    </row>
    <row r="924" spans="1:8" ht="15.6">
      <c r="A924" s="21"/>
      <c r="B924" s="21"/>
      <c r="C924" s="21"/>
      <c r="D924" s="21"/>
    </row>
    <row r="925" spans="1:8" ht="15.6">
      <c r="A925" s="4"/>
      <c r="B925" s="4"/>
      <c r="C925" s="4"/>
      <c r="D925" s="4"/>
    </row>
    <row r="926" spans="1:8" ht="15.6">
      <c r="A926" s="4" t="s">
        <v>222</v>
      </c>
      <c r="B926" s="4"/>
      <c r="C926" s="4"/>
      <c r="D926" s="4"/>
      <c r="E926" s="4"/>
      <c r="F926" s="4"/>
      <c r="G926" s="4"/>
      <c r="H926" s="4"/>
    </row>
    <row r="927" spans="1:8" ht="15.6">
      <c r="A927" s="4" t="s">
        <v>223</v>
      </c>
      <c r="B927" s="4"/>
      <c r="C927" s="4"/>
      <c r="D927" s="4"/>
      <c r="E927" s="4"/>
      <c r="F927" s="4"/>
      <c r="G927" s="4"/>
      <c r="H927" s="4"/>
    </row>
    <row r="928" spans="1:8" ht="15.6">
      <c r="A928" s="4" t="s">
        <v>224</v>
      </c>
      <c r="B928" s="4" t="s">
        <v>225</v>
      </c>
      <c r="C928" s="4" t="s">
        <v>155</v>
      </c>
      <c r="D928" s="4" t="s">
        <v>156</v>
      </c>
      <c r="E928" s="4"/>
      <c r="F928" s="4"/>
      <c r="G928" s="4"/>
      <c r="H928" s="4"/>
    </row>
    <row r="929" spans="1:8" ht="15.6">
      <c r="A929" s="4" t="s">
        <v>100</v>
      </c>
      <c r="B929" s="4">
        <v>0.15537400000000001</v>
      </c>
      <c r="C929" s="4">
        <v>1402.7260000000001</v>
      </c>
      <c r="D929" s="4">
        <v>0.2661</v>
      </c>
      <c r="E929" s="4"/>
      <c r="F929" s="4"/>
      <c r="G929" s="4"/>
      <c r="H929" s="4"/>
    </row>
    <row r="930" spans="1:8" ht="15.6">
      <c r="A930" s="4" t="s">
        <v>157</v>
      </c>
      <c r="B930" s="4">
        <v>0.25389200000000001</v>
      </c>
      <c r="C930" s="4">
        <v>1385.848</v>
      </c>
      <c r="D930" s="4">
        <v>8.5190000000000001</v>
      </c>
      <c r="E930" s="4"/>
      <c r="F930" s="4"/>
      <c r="G930" s="4"/>
      <c r="H930" s="4"/>
    </row>
    <row r="931" spans="1:8" ht="15.6">
      <c r="A931" s="4" t="s">
        <v>121</v>
      </c>
      <c r="B931" s="4">
        <v>0.39481100000000002</v>
      </c>
      <c r="C931" s="4">
        <v>1389.972</v>
      </c>
      <c r="D931" s="4">
        <v>50.668059999999997</v>
      </c>
      <c r="E931" s="4"/>
      <c r="F931" s="4"/>
      <c r="G931" s="4"/>
      <c r="H931" s="4"/>
    </row>
    <row r="932" spans="1:8" ht="15.6">
      <c r="A932" s="4" t="s">
        <v>129</v>
      </c>
      <c r="B932" s="4">
        <v>0.25367000000000001</v>
      </c>
      <c r="C932" s="4">
        <v>1387.9780000000001</v>
      </c>
      <c r="D932" s="4">
        <v>2.0676000000000001</v>
      </c>
      <c r="E932" s="4"/>
      <c r="F932" s="4"/>
      <c r="G932" s="4"/>
      <c r="H932" s="4"/>
    </row>
    <row r="933" spans="1:8" ht="15.6">
      <c r="A933" s="4" t="s">
        <v>132</v>
      </c>
      <c r="B933" s="4">
        <v>0.158888</v>
      </c>
      <c r="C933" s="4">
        <v>1436.394</v>
      </c>
      <c r="D933" s="4">
        <v>1.7515000000000001</v>
      </c>
      <c r="E933" s="4"/>
      <c r="F933" s="4"/>
      <c r="G933" s="4"/>
      <c r="H933" s="4"/>
    </row>
    <row r="934" spans="1:8" ht="15.6">
      <c r="A934" s="4" t="s">
        <v>6</v>
      </c>
      <c r="B934" s="15">
        <v>0.15570000000000001</v>
      </c>
      <c r="C934" s="15">
        <v>1402.73</v>
      </c>
      <c r="D934" s="4">
        <v>0.86880000000000002</v>
      </c>
      <c r="E934" s="4"/>
      <c r="F934" s="4"/>
      <c r="G934" s="4"/>
      <c r="H934" s="4"/>
    </row>
    <row r="935" spans="1:8" ht="15.6">
      <c r="A935" s="4"/>
      <c r="D935" s="4"/>
      <c r="E935" s="4"/>
      <c r="F935" s="4"/>
      <c r="G935" s="4"/>
      <c r="H935" s="4"/>
    </row>
    <row r="936" spans="1:8" ht="15.6">
      <c r="A936" s="4"/>
      <c r="C936" s="4"/>
      <c r="D936" s="4"/>
      <c r="E936" s="4"/>
      <c r="F936" s="4"/>
      <c r="G936" s="4"/>
      <c r="H936" s="4"/>
    </row>
    <row r="937" spans="1:8" ht="15.6">
      <c r="A937" s="4" t="s">
        <v>226</v>
      </c>
      <c r="B937" s="4"/>
      <c r="C937" s="4"/>
      <c r="D937" s="4"/>
      <c r="E937" s="4"/>
      <c r="F937" s="4"/>
      <c r="G937" s="4"/>
      <c r="H937" s="4"/>
    </row>
    <row r="938" spans="1:8" ht="15.6">
      <c r="A938" s="4" t="s">
        <v>224</v>
      </c>
      <c r="B938" s="4" t="s">
        <v>225</v>
      </c>
      <c r="C938" s="4" t="s">
        <v>155</v>
      </c>
      <c r="D938" s="4" t="s">
        <v>156</v>
      </c>
      <c r="E938" s="4"/>
      <c r="F938" s="4"/>
      <c r="G938" s="4"/>
      <c r="H938" s="4"/>
    </row>
    <row r="939" spans="1:8" ht="15.6">
      <c r="A939" s="4" t="s">
        <v>100</v>
      </c>
      <c r="B939" s="4">
        <v>0.1062</v>
      </c>
      <c r="C939" s="4">
        <v>1054.9090000000001</v>
      </c>
      <c r="D939" s="4">
        <v>0.23469999999999999</v>
      </c>
      <c r="E939" s="4"/>
      <c r="F939" s="4"/>
      <c r="G939" s="4"/>
      <c r="H939" s="4"/>
    </row>
    <row r="940" spans="1:8" ht="15.6">
      <c r="A940" s="4" t="s">
        <v>157</v>
      </c>
      <c r="B940" s="4">
        <v>0.1681</v>
      </c>
      <c r="C940" s="4">
        <v>1042.019</v>
      </c>
      <c r="D940" s="4">
        <v>5.9267380000000003</v>
      </c>
      <c r="E940" s="4"/>
      <c r="F940" s="4"/>
      <c r="G940" s="4"/>
      <c r="H940" s="4"/>
    </row>
    <row r="941" spans="1:8" ht="15.6">
      <c r="A941" s="4" t="s">
        <v>121</v>
      </c>
      <c r="B941" s="4">
        <v>0.25369999999999998</v>
      </c>
      <c r="C941" s="4">
        <v>1042.0250000000001</v>
      </c>
      <c r="D941" s="4">
        <v>45.338360000000002</v>
      </c>
      <c r="E941" s="4"/>
      <c r="F941" s="4"/>
      <c r="G941" s="4"/>
      <c r="H941" s="4"/>
    </row>
    <row r="942" spans="1:8" ht="15.6">
      <c r="A942" s="4" t="s">
        <v>129</v>
      </c>
      <c r="B942" s="4">
        <v>0.1681</v>
      </c>
      <c r="C942" s="4">
        <v>1042.019</v>
      </c>
      <c r="D942" s="4">
        <v>2.7831999999999999</v>
      </c>
      <c r="E942" s="4"/>
      <c r="F942" s="4"/>
      <c r="G942" s="4"/>
      <c r="H942" s="4"/>
    </row>
    <row r="943" spans="1:8" ht="15.6">
      <c r="A943" s="4" t="s">
        <v>132</v>
      </c>
      <c r="B943" s="4">
        <v>0.1075</v>
      </c>
      <c r="C943" s="4">
        <v>1030.5740000000001</v>
      </c>
      <c r="D943" s="4">
        <v>1.8548</v>
      </c>
      <c r="E943" s="4"/>
      <c r="F943" s="4"/>
      <c r="G943" s="4"/>
      <c r="H943" s="4"/>
    </row>
    <row r="944" spans="1:8" ht="15.6">
      <c r="A944" s="4" t="s">
        <v>6</v>
      </c>
      <c r="B944" s="4">
        <v>0.106189253677025</v>
      </c>
      <c r="C944" s="4">
        <v>1054.90939987818</v>
      </c>
      <c r="D944" s="4">
        <v>0.90210000000000001</v>
      </c>
      <c r="E944" s="4"/>
      <c r="F944" s="4"/>
      <c r="G944" s="4"/>
      <c r="H944" s="4"/>
    </row>
    <row r="945" spans="1:8" ht="15.6">
      <c r="A945" s="4"/>
      <c r="C945" s="4"/>
      <c r="D945" s="4"/>
      <c r="E945" s="4"/>
      <c r="F945" s="4"/>
      <c r="G945" s="4"/>
      <c r="H945" s="4"/>
    </row>
    <row r="946" spans="1:8" ht="15.6">
      <c r="A946" s="4"/>
      <c r="B946" s="4"/>
      <c r="C946" s="4"/>
      <c r="D946" s="4"/>
      <c r="E946" s="4"/>
      <c r="F946" s="4"/>
      <c r="G946" s="4"/>
      <c r="H946" s="4"/>
    </row>
    <row r="947" spans="1:8" ht="15.6">
      <c r="A947" s="4" t="s">
        <v>227</v>
      </c>
      <c r="B947" s="4"/>
      <c r="C947" s="4"/>
      <c r="D947" s="4"/>
      <c r="E947" s="4"/>
      <c r="F947" s="4"/>
      <c r="G947" s="4"/>
      <c r="H947" s="4"/>
    </row>
    <row r="948" spans="1:8" ht="15.6">
      <c r="A948" s="4" t="s">
        <v>224</v>
      </c>
      <c r="B948" s="4" t="s">
        <v>225</v>
      </c>
      <c r="C948" s="4" t="s">
        <v>155</v>
      </c>
      <c r="D948" s="4" t="s">
        <v>156</v>
      </c>
      <c r="E948" s="4"/>
      <c r="F948" s="4"/>
      <c r="G948" s="4"/>
      <c r="H948" s="4"/>
    </row>
    <row r="949" spans="1:8" ht="15.6">
      <c r="A949" s="4" t="s">
        <v>100</v>
      </c>
      <c r="B949" s="4">
        <v>0.124474</v>
      </c>
      <c r="C949" s="4">
        <v>913.24339999999995</v>
      </c>
      <c r="D949" s="4">
        <v>7.7865000000000004E-2</v>
      </c>
      <c r="E949" s="4"/>
      <c r="F949" s="4"/>
      <c r="G949" s="4"/>
      <c r="H949" s="4"/>
    </row>
    <row r="950" spans="1:8" ht="15.6">
      <c r="A950" s="4" t="s">
        <v>157</v>
      </c>
      <c r="B950" s="4">
        <v>0.16630900000000001</v>
      </c>
      <c r="C950" s="4">
        <v>903.61659999999995</v>
      </c>
      <c r="D950" s="4">
        <v>1.749393</v>
      </c>
      <c r="E950" s="4"/>
      <c r="F950" s="4"/>
      <c r="G950" s="4"/>
      <c r="H950" s="4"/>
    </row>
    <row r="951" spans="1:8" ht="15.6">
      <c r="A951" s="4" t="s">
        <v>121</v>
      </c>
      <c r="B951" s="4">
        <v>0.12984799999999999</v>
      </c>
      <c r="C951" s="4">
        <v>894.70029999999997</v>
      </c>
      <c r="D951" s="4">
        <v>28.970369999999999</v>
      </c>
      <c r="E951" s="4"/>
      <c r="F951" s="4"/>
      <c r="G951" s="4"/>
      <c r="H951" s="4"/>
    </row>
    <row r="952" spans="1:8" ht="15.6">
      <c r="A952" s="4" t="s">
        <v>129</v>
      </c>
      <c r="B952" s="4">
        <v>0.12592999999999999</v>
      </c>
      <c r="C952" s="4">
        <v>913.40369999999996</v>
      </c>
      <c r="D952" s="4">
        <v>0.75919999999999999</v>
      </c>
      <c r="E952" s="4"/>
      <c r="F952" s="4"/>
      <c r="G952" s="4"/>
      <c r="H952" s="4"/>
    </row>
    <row r="953" spans="1:8" ht="15.6">
      <c r="A953" s="4" t="s">
        <v>132</v>
      </c>
      <c r="B953" s="4">
        <v>0.12643699999999999</v>
      </c>
      <c r="C953" s="4">
        <v>914.38840000000005</v>
      </c>
      <c r="D953" s="4">
        <v>0.967337</v>
      </c>
      <c r="E953" s="4"/>
      <c r="F953" s="4"/>
      <c r="G953" s="4"/>
      <c r="H953" s="4"/>
    </row>
    <row r="954" spans="1:8" ht="15.6">
      <c r="A954" s="4" t="s">
        <v>6</v>
      </c>
      <c r="B954" s="4">
        <v>0.12447367953039599</v>
      </c>
      <c r="C954" s="4">
        <v>913.24340121999705</v>
      </c>
      <c r="D954" s="4">
        <v>0.97209999999999996</v>
      </c>
      <c r="E954" s="4"/>
      <c r="F954" s="4"/>
      <c r="G954" s="4"/>
      <c r="H954" s="4"/>
    </row>
    <row r="955" spans="1:8" ht="15.6">
      <c r="A955" s="4"/>
      <c r="D955" s="4"/>
      <c r="E955" s="4"/>
      <c r="F955" s="4"/>
      <c r="G955" s="4"/>
      <c r="H955" s="4"/>
    </row>
    <row r="956" spans="1:8" ht="15.6">
      <c r="A956" s="4"/>
      <c r="B956" s="4"/>
      <c r="C956" s="4"/>
      <c r="D956" s="4"/>
      <c r="E956" s="4"/>
      <c r="F956" s="4"/>
      <c r="G956" s="4"/>
      <c r="H956" s="4"/>
    </row>
    <row r="957" spans="1:8" ht="15.6">
      <c r="A957" s="4"/>
      <c r="B957" s="4"/>
      <c r="C957" s="4"/>
      <c r="D957" s="4"/>
      <c r="E957" s="4"/>
      <c r="F957" s="4"/>
      <c r="G957" s="4"/>
      <c r="H957" s="4"/>
    </row>
    <row r="958" spans="1:8" ht="15.6">
      <c r="A958" s="4" t="s">
        <v>228</v>
      </c>
      <c r="B958" s="4"/>
      <c r="C958" s="4"/>
      <c r="D958" s="4"/>
      <c r="E958" s="4"/>
      <c r="F958" s="4"/>
      <c r="G958" s="4"/>
      <c r="H958" s="4"/>
    </row>
    <row r="959" spans="1:8" ht="15.6">
      <c r="A959" s="4" t="s">
        <v>224</v>
      </c>
      <c r="B959" s="4" t="s">
        <v>225</v>
      </c>
      <c r="C959" s="4" t="s">
        <v>155</v>
      </c>
      <c r="D959" s="4" t="s">
        <v>156</v>
      </c>
      <c r="E959" s="4"/>
      <c r="F959" s="4"/>
      <c r="G959" s="4"/>
      <c r="H959" s="4"/>
    </row>
    <row r="960" spans="1:8" ht="15.6">
      <c r="A960" s="4" t="s">
        <v>100</v>
      </c>
      <c r="B960" s="4">
        <v>0.10979999999999999</v>
      </c>
      <c r="C960" s="4">
        <v>1202.7429999999999</v>
      </c>
      <c r="D960" s="4">
        <v>0.154803</v>
      </c>
      <c r="E960" s="4"/>
      <c r="F960" s="4"/>
      <c r="G960" s="4"/>
      <c r="H960" s="4"/>
    </row>
    <row r="961" spans="1:8" ht="15.6">
      <c r="A961" s="4" t="s">
        <v>157</v>
      </c>
      <c r="B961" s="4">
        <v>0.16350000000000001</v>
      </c>
      <c r="C961" s="4">
        <v>1185.0239999999999</v>
      </c>
      <c r="D961" s="4">
        <v>4.1138000000000003</v>
      </c>
      <c r="E961" s="4"/>
      <c r="F961" s="4"/>
      <c r="G961" s="4"/>
      <c r="H961" s="4"/>
    </row>
    <row r="962" spans="1:8" ht="15.6">
      <c r="A962" s="4" t="s">
        <v>121</v>
      </c>
      <c r="B962" s="4">
        <v>0.23849999999999999</v>
      </c>
      <c r="C962" s="4">
        <v>1178.1769999999999</v>
      </c>
      <c r="D962" s="4">
        <v>83.348939999999999</v>
      </c>
      <c r="E962" s="4"/>
      <c r="F962" s="4"/>
      <c r="G962" s="4"/>
      <c r="H962" s="4"/>
    </row>
    <row r="963" spans="1:8" ht="15.6">
      <c r="A963" s="4" t="s">
        <v>129</v>
      </c>
      <c r="B963" s="4">
        <v>0.16350000000000001</v>
      </c>
      <c r="C963" s="4">
        <v>1178.1769999999999</v>
      </c>
      <c r="D963" s="4">
        <v>9.6103000000000005</v>
      </c>
      <c r="E963" s="4"/>
      <c r="F963" s="4"/>
      <c r="G963" s="4"/>
      <c r="H963" s="4"/>
    </row>
    <row r="964" spans="1:8" ht="15.6">
      <c r="A964" s="4" t="s">
        <v>132</v>
      </c>
      <c r="B964" s="4">
        <v>0.1211</v>
      </c>
      <c r="C964" s="4">
        <v>1199.702</v>
      </c>
      <c r="D964" s="4">
        <v>1.446</v>
      </c>
      <c r="E964" s="4"/>
      <c r="F964" s="4"/>
      <c r="G964" s="4"/>
      <c r="H964" s="4"/>
    </row>
    <row r="965" spans="1:8" ht="15.6">
      <c r="A965" s="4" t="s">
        <v>6</v>
      </c>
      <c r="B965" s="4">
        <v>0.109853362323711</v>
      </c>
      <c r="C965" s="4">
        <v>1202.74343960279</v>
      </c>
      <c r="D965" s="4">
        <v>0.94340000000000002</v>
      </c>
      <c r="E965" s="4"/>
      <c r="F965" s="4"/>
      <c r="G965" s="4"/>
      <c r="H965" s="4"/>
    </row>
    <row r="966" spans="1:8" ht="15.6">
      <c r="A966" s="4"/>
      <c r="D966" s="4"/>
      <c r="E966" s="4"/>
      <c r="F966" s="4"/>
      <c r="G966" s="4"/>
      <c r="H966" s="4"/>
    </row>
    <row r="967" spans="1:8" ht="15.6">
      <c r="A967" s="4"/>
      <c r="B967" s="4"/>
      <c r="C967" s="4"/>
      <c r="D967" s="4"/>
      <c r="E967" s="4"/>
      <c r="F967" s="4"/>
      <c r="G967" s="4"/>
      <c r="H967" s="4"/>
    </row>
    <row r="968" spans="1:8" ht="15.6">
      <c r="A968" s="4"/>
      <c r="B968" s="4"/>
      <c r="C968" s="4"/>
      <c r="D968" s="4"/>
      <c r="E968" s="4"/>
      <c r="F968" s="4"/>
      <c r="G968" s="4"/>
      <c r="H968" s="4"/>
    </row>
    <row r="969" spans="1:8" ht="15.6">
      <c r="A969" s="4" t="s">
        <v>229</v>
      </c>
      <c r="B969" s="4"/>
      <c r="C969" s="4"/>
      <c r="D969" s="4"/>
      <c r="E969" s="4"/>
      <c r="F969" s="4"/>
      <c r="G969" s="4"/>
      <c r="H969" s="4"/>
    </row>
    <row r="970" spans="1:8" ht="15.6">
      <c r="A970" s="4" t="s">
        <v>224</v>
      </c>
      <c r="B970" s="4" t="s">
        <v>225</v>
      </c>
      <c r="C970" s="4" t="s">
        <v>155</v>
      </c>
      <c r="D970" s="4" t="s">
        <v>156</v>
      </c>
      <c r="E970" s="4"/>
      <c r="F970" s="4"/>
      <c r="G970" s="4"/>
      <c r="H970" s="4"/>
    </row>
    <row r="971" spans="1:8" ht="15.6">
      <c r="A971" s="4" t="s">
        <v>100</v>
      </c>
      <c r="B971" s="4">
        <v>0.16214300000000001</v>
      </c>
      <c r="C971" s="4">
        <v>1224.539</v>
      </c>
      <c r="D971" s="4">
        <v>0.32950000000000002</v>
      </c>
      <c r="E971" s="4"/>
      <c r="F971" s="4"/>
      <c r="G971" s="4"/>
      <c r="H971" s="4"/>
    </row>
    <row r="972" spans="1:8" ht="15.6">
      <c r="A972" s="4" t="s">
        <v>157</v>
      </c>
      <c r="B972" s="4">
        <v>0.20510100000000001</v>
      </c>
      <c r="C972" s="4">
        <v>1220.0419999999999</v>
      </c>
      <c r="D972" s="4">
        <v>9.0312999999999999</v>
      </c>
      <c r="E972" s="4"/>
      <c r="F972" s="4"/>
      <c r="G972" s="4"/>
      <c r="H972" s="4"/>
    </row>
    <row r="973" spans="1:8" ht="15.6">
      <c r="A973" s="4" t="s">
        <v>121</v>
      </c>
      <c r="B973" s="4">
        <v>0.28440399999999999</v>
      </c>
      <c r="C973" s="4">
        <v>1215.28</v>
      </c>
      <c r="D973" s="4">
        <v>47.022399999999998</v>
      </c>
      <c r="E973" s="4"/>
      <c r="F973" s="4"/>
      <c r="G973" s="4"/>
      <c r="H973" s="4"/>
    </row>
    <row r="974" spans="1:8" ht="15.6">
      <c r="A974" s="4" t="s">
        <v>129</v>
      </c>
      <c r="B974" s="4">
        <v>0.2051</v>
      </c>
      <c r="C974" s="4">
        <v>1220.0419999999999</v>
      </c>
      <c r="D974" s="4">
        <v>3.3007</v>
      </c>
      <c r="E974" s="4"/>
      <c r="F974" s="4"/>
      <c r="G974" s="4"/>
      <c r="H974" s="4"/>
    </row>
    <row r="975" spans="1:8" ht="15.6">
      <c r="A975" s="4" t="s">
        <v>132</v>
      </c>
      <c r="B975" s="4">
        <v>0.16436700000000001</v>
      </c>
      <c r="C975" s="4">
        <v>1173.0719999999999</v>
      </c>
      <c r="D975" s="5">
        <v>1.5345</v>
      </c>
      <c r="E975" s="4"/>
      <c r="F975" s="4"/>
      <c r="G975" s="4"/>
      <c r="H975" s="4"/>
    </row>
    <row r="976" spans="1:8" ht="15.6">
      <c r="A976" s="4" t="s">
        <v>6</v>
      </c>
      <c r="B976" s="4">
        <v>0.162143041818258</v>
      </c>
      <c r="C976" s="4">
        <v>1224.5392794049601</v>
      </c>
      <c r="D976" s="4">
        <v>0.73199999999999998</v>
      </c>
      <c r="E976" s="4"/>
      <c r="F976" s="4"/>
      <c r="G976" s="4"/>
      <c r="H976" s="4"/>
    </row>
    <row r="977" spans="1:8" ht="15.6">
      <c r="A977" s="4"/>
      <c r="C977" s="4"/>
      <c r="D977" s="4"/>
      <c r="E977" s="4"/>
      <c r="F977" s="4"/>
      <c r="G977" s="4"/>
      <c r="H977" s="4"/>
    </row>
    <row r="978" spans="1:8" ht="15.6">
      <c r="A978" s="4"/>
      <c r="B978" s="4"/>
      <c r="C978" s="4"/>
      <c r="D978" s="4"/>
      <c r="E978" s="4"/>
      <c r="F978" s="4"/>
      <c r="G978" s="4"/>
      <c r="H978" s="4"/>
    </row>
    <row r="979" spans="1:8" ht="15.6">
      <c r="A979" s="4" t="s">
        <v>230</v>
      </c>
      <c r="B979" s="4"/>
      <c r="C979" s="4"/>
      <c r="D979" s="4"/>
      <c r="E979" s="4"/>
      <c r="F979" s="4"/>
      <c r="G979" s="4"/>
      <c r="H979" s="4"/>
    </row>
    <row r="980" spans="1:8" ht="15.6">
      <c r="A980" s="4" t="s">
        <v>224</v>
      </c>
      <c r="B980" s="4" t="s">
        <v>225</v>
      </c>
      <c r="C980" s="4" t="s">
        <v>155</v>
      </c>
      <c r="D980" s="4" t="s">
        <v>156</v>
      </c>
      <c r="E980" s="4"/>
      <c r="F980" s="4"/>
      <c r="G980" s="4"/>
      <c r="H980" s="4"/>
    </row>
    <row r="981" spans="1:8" ht="15.6">
      <c r="A981" s="4" t="s">
        <v>100</v>
      </c>
      <c r="B981" s="4">
        <v>0.17410100000000001</v>
      </c>
      <c r="C981" s="4">
        <v>1271.4349999999999</v>
      </c>
      <c r="D981" s="4">
        <v>0.29780000000000001</v>
      </c>
      <c r="E981" s="4"/>
      <c r="F981" s="4"/>
      <c r="G981" s="4"/>
      <c r="H981" s="4"/>
    </row>
    <row r="982" spans="1:8" ht="15.6">
      <c r="A982" s="4" t="s">
        <v>157</v>
      </c>
      <c r="B982" s="4">
        <v>0.26639699999999999</v>
      </c>
      <c r="C982" s="4">
        <v>1259.547</v>
      </c>
      <c r="D982" s="4">
        <v>0.70410499999999998</v>
      </c>
      <c r="E982" s="4"/>
      <c r="F982" s="4"/>
      <c r="G982" s="4"/>
      <c r="H982" s="4"/>
    </row>
    <row r="983" spans="1:8" ht="15.6">
      <c r="A983" s="4" t="s">
        <v>121</v>
      </c>
      <c r="B983" s="4">
        <v>0.39489999999999997</v>
      </c>
      <c r="C983" s="4">
        <v>1263.3779999999999</v>
      </c>
      <c r="D983" s="4">
        <v>46.780450000000002</v>
      </c>
      <c r="E983" s="4"/>
      <c r="F983" s="4"/>
      <c r="G983" s="4"/>
      <c r="H983" s="4"/>
    </row>
    <row r="984" spans="1:8" ht="15.6">
      <c r="A984" s="4" t="s">
        <v>129</v>
      </c>
      <c r="B984" s="4">
        <v>0.1789</v>
      </c>
      <c r="C984" s="4">
        <v>1259.547</v>
      </c>
      <c r="D984" s="4">
        <v>0.98740000000000006</v>
      </c>
      <c r="E984" s="4"/>
      <c r="F984" s="4"/>
      <c r="G984" s="4"/>
      <c r="H984" s="4"/>
    </row>
    <row r="985" spans="1:8" ht="15.6">
      <c r="A985" s="4" t="s">
        <v>132</v>
      </c>
      <c r="B985" s="4">
        <v>0.17829500000000001</v>
      </c>
      <c r="C985" s="4">
        <v>1229.8900000000001</v>
      </c>
      <c r="D985" s="5">
        <v>2.0247999999999999</v>
      </c>
      <c r="E985" s="4"/>
      <c r="F985" s="4"/>
      <c r="G985" s="4"/>
      <c r="H985" s="4"/>
    </row>
    <row r="986" spans="1:8" ht="15.6">
      <c r="A986" s="4" t="s">
        <v>6</v>
      </c>
      <c r="B986" s="4">
        <v>0.174100632198775</v>
      </c>
      <c r="C986" s="4">
        <v>1271.4349546839901</v>
      </c>
      <c r="D986" s="4">
        <v>0.88039999999999996</v>
      </c>
      <c r="E986" s="4"/>
      <c r="F986" s="4"/>
      <c r="G986" s="4"/>
      <c r="H986" s="4"/>
    </row>
    <row r="987" spans="1:8" ht="15.6">
      <c r="A987" s="4"/>
      <c r="D987" s="4"/>
      <c r="E987" s="4"/>
      <c r="F987" s="4"/>
      <c r="G987" s="4"/>
      <c r="H987" s="4"/>
    </row>
    <row r="988" spans="1:8" ht="15.6">
      <c r="A988" s="4"/>
      <c r="B988" s="4"/>
      <c r="C988" s="4"/>
      <c r="D988" s="4"/>
      <c r="E988" s="4"/>
      <c r="F988" s="4"/>
      <c r="G988" s="4"/>
      <c r="H988" s="4"/>
    </row>
    <row r="989" spans="1:8" ht="15.6">
      <c r="A989" s="4"/>
      <c r="B989" s="4"/>
      <c r="C989" s="4"/>
      <c r="D989" s="4"/>
      <c r="E989" s="4"/>
      <c r="F989" s="4"/>
      <c r="G989" s="4"/>
      <c r="H989" s="4"/>
    </row>
    <row r="990" spans="1:8" ht="15.6">
      <c r="A990" s="4" t="s">
        <v>231</v>
      </c>
      <c r="B990" s="4"/>
      <c r="C990" s="4"/>
      <c r="D990" s="4"/>
      <c r="E990" s="4"/>
      <c r="F990" s="4"/>
      <c r="G990" s="4"/>
      <c r="H990" s="4"/>
    </row>
    <row r="991" spans="1:8" ht="15.6">
      <c r="A991" s="4" t="s">
        <v>224</v>
      </c>
      <c r="B991" s="4" t="s">
        <v>225</v>
      </c>
      <c r="C991" s="4" t="s">
        <v>155</v>
      </c>
      <c r="D991" s="4" t="s">
        <v>156</v>
      </c>
      <c r="E991" s="4"/>
      <c r="F991" s="4"/>
      <c r="G991" s="4"/>
      <c r="H991" s="4"/>
    </row>
    <row r="992" spans="1:8" ht="15.6">
      <c r="A992" s="4" t="s">
        <v>100</v>
      </c>
      <c r="B992" s="4">
        <v>0.118796</v>
      </c>
      <c r="C992" s="4">
        <v>950.88589999999999</v>
      </c>
      <c r="D992" s="4">
        <v>0.3604</v>
      </c>
      <c r="E992" s="4"/>
      <c r="F992" s="4"/>
      <c r="G992" s="4"/>
      <c r="H992" s="4"/>
    </row>
    <row r="993" spans="1:8" ht="15.6">
      <c r="A993" s="4" t="s">
        <v>157</v>
      </c>
      <c r="B993" s="4">
        <v>0.116895</v>
      </c>
      <c r="C993" s="4">
        <v>945.67489999999998</v>
      </c>
      <c r="D993" s="4">
        <v>94.049229999999994</v>
      </c>
      <c r="E993" s="4"/>
      <c r="F993" s="4"/>
      <c r="G993" s="4"/>
      <c r="H993" s="4"/>
    </row>
    <row r="994" spans="1:8" ht="15.6">
      <c r="A994" s="4" t="s">
        <v>121</v>
      </c>
      <c r="B994" s="4">
        <v>0.37351400000000001</v>
      </c>
      <c r="C994" s="4">
        <v>986.78049999999996</v>
      </c>
      <c r="D994" s="4">
        <v>70.033749999999998</v>
      </c>
      <c r="E994" s="4"/>
      <c r="F994" s="4"/>
      <c r="G994" s="4"/>
      <c r="H994" s="4"/>
    </row>
    <row r="995" spans="1:8" ht="15.6">
      <c r="A995" s="4" t="s">
        <v>129</v>
      </c>
      <c r="B995" s="4">
        <v>0.1171</v>
      </c>
      <c r="C995" s="4">
        <v>945.67470000000003</v>
      </c>
      <c r="D995" s="4">
        <v>8.5612999999999992</v>
      </c>
      <c r="E995" s="4"/>
      <c r="F995" s="4"/>
      <c r="G995" s="4"/>
      <c r="H995" s="4"/>
    </row>
    <row r="996" spans="1:8" ht="15.6">
      <c r="A996" s="4" t="s">
        <v>132</v>
      </c>
      <c r="B996" s="4">
        <v>0.107361</v>
      </c>
      <c r="C996" s="4">
        <v>880.98670000000004</v>
      </c>
      <c r="D996" s="5">
        <v>1.6821999999999999</v>
      </c>
      <c r="E996" s="4"/>
      <c r="F996" s="4"/>
      <c r="G996" s="4"/>
      <c r="H996" s="4"/>
    </row>
    <row r="997" spans="1:8" ht="15.6">
      <c r="A997" s="4" t="s">
        <v>6</v>
      </c>
      <c r="B997" s="4">
        <v>0.116895091851271</v>
      </c>
      <c r="C997" s="4">
        <v>945.67488855917895</v>
      </c>
      <c r="D997" s="4">
        <v>0.74939999999999996</v>
      </c>
      <c r="E997" s="4"/>
      <c r="F997" s="4"/>
      <c r="G997" s="4"/>
      <c r="H997" s="4"/>
    </row>
    <row r="998" spans="1:8" ht="15.6">
      <c r="A998" s="4"/>
      <c r="C998" s="4"/>
      <c r="D998" s="4"/>
      <c r="E998" s="4"/>
      <c r="F998" s="4"/>
      <c r="G998" s="4"/>
      <c r="H998" s="4"/>
    </row>
    <row r="999" spans="1:8" ht="15.6">
      <c r="A999" s="4"/>
      <c r="B999" s="4"/>
      <c r="C999" s="4"/>
      <c r="D999" s="4"/>
      <c r="E999" s="4"/>
      <c r="F999" s="4"/>
      <c r="G999" s="4"/>
      <c r="H999" s="4"/>
    </row>
    <row r="1000" spans="1:8" ht="15.6">
      <c r="A1000" s="4" t="s">
        <v>232</v>
      </c>
      <c r="B1000" s="4"/>
      <c r="C1000" s="4"/>
      <c r="D1000" s="4"/>
      <c r="E1000" s="4"/>
      <c r="F1000" s="4"/>
      <c r="G1000" s="4"/>
      <c r="H1000" s="4"/>
    </row>
    <row r="1001" spans="1:8" ht="15.6">
      <c r="A1001" s="4" t="s">
        <v>233</v>
      </c>
      <c r="B1001" s="4"/>
      <c r="C1001" s="4"/>
      <c r="D1001" s="4"/>
      <c r="E1001" s="4"/>
      <c r="F1001" s="4"/>
      <c r="G1001" s="4"/>
      <c r="H1001" s="4"/>
    </row>
    <row r="1002" spans="1:8" ht="15.6">
      <c r="A1002" s="4" t="s">
        <v>224</v>
      </c>
      <c r="B1002" s="4" t="s">
        <v>225</v>
      </c>
      <c r="C1002" s="4" t="s">
        <v>155</v>
      </c>
      <c r="D1002" s="4" t="s">
        <v>156</v>
      </c>
      <c r="E1002" s="4"/>
      <c r="F1002" s="4"/>
      <c r="G1002" s="4"/>
      <c r="H1002" s="4"/>
    </row>
    <row r="1003" spans="1:8" ht="15.6">
      <c r="A1003" s="4" t="s">
        <v>100</v>
      </c>
      <c r="B1003" s="4">
        <v>0.28989999999999999</v>
      </c>
      <c r="C1003" s="4">
        <v>1585.2550000000001</v>
      </c>
      <c r="D1003" s="4">
        <v>0.19114999999999999</v>
      </c>
      <c r="E1003" s="4"/>
      <c r="F1003" s="4"/>
      <c r="G1003" s="4"/>
      <c r="H1003" s="4"/>
    </row>
    <row r="1004" spans="1:8" ht="15.6">
      <c r="A1004" s="4" t="s">
        <v>157</v>
      </c>
      <c r="B1004" s="4">
        <v>0.46850000000000003</v>
      </c>
      <c r="C1004" s="4">
        <v>1561.827</v>
      </c>
      <c r="D1004" s="4">
        <v>9.009131</v>
      </c>
      <c r="E1004" s="4"/>
      <c r="F1004" s="4"/>
      <c r="G1004" s="4"/>
      <c r="H1004" s="4"/>
    </row>
    <row r="1005" spans="1:8" ht="15.6">
      <c r="A1005" s="4" t="s">
        <v>121</v>
      </c>
      <c r="B1005" s="4">
        <v>0.70899999999999996</v>
      </c>
      <c r="C1005" s="4">
        <v>1561.4469999999999</v>
      </c>
      <c r="D1005" s="4">
        <v>57.123699999999999</v>
      </c>
      <c r="E1005" s="4"/>
      <c r="F1005" s="4"/>
      <c r="G1005" s="4"/>
      <c r="H1005" s="4"/>
    </row>
    <row r="1006" spans="1:8" ht="15.6">
      <c r="A1006" s="4" t="s">
        <v>129</v>
      </c>
      <c r="B1006" s="4">
        <v>0.70899999999999996</v>
      </c>
      <c r="C1006" s="4">
        <v>1561.4469999999999</v>
      </c>
      <c r="D1006" s="4">
        <v>7.0673000000000004</v>
      </c>
      <c r="E1006" s="4"/>
      <c r="F1006" s="4"/>
      <c r="G1006" s="4"/>
      <c r="H1006" s="4"/>
    </row>
    <row r="1007" spans="1:8" ht="15.6">
      <c r="A1007" s="4" t="s">
        <v>132</v>
      </c>
      <c r="B1007" s="4">
        <v>0.27979999999999999</v>
      </c>
      <c r="C1007" s="4">
        <v>1572.3330000000001</v>
      </c>
      <c r="D1007" s="5">
        <v>1.468461</v>
      </c>
      <c r="E1007" s="4"/>
      <c r="F1007" s="4"/>
      <c r="G1007" s="4"/>
      <c r="H1007" s="4"/>
    </row>
    <row r="1008" spans="1:8" ht="15.6">
      <c r="A1008" s="4" t="s">
        <v>6</v>
      </c>
      <c r="B1008" s="4">
        <v>0.28842965692038403</v>
      </c>
      <c r="C1008" s="4">
        <v>1583.8634752084199</v>
      </c>
      <c r="D1008" s="4">
        <v>0.90659999999999996</v>
      </c>
      <c r="E1008" s="4"/>
      <c r="F1008" s="4"/>
      <c r="G1008" s="4"/>
      <c r="H1008" s="4"/>
    </row>
    <row r="1009" spans="1:8" ht="15.6">
      <c r="A1009" s="4"/>
      <c r="C1009" s="4"/>
      <c r="D1009" s="4"/>
      <c r="E1009" s="4"/>
      <c r="F1009" s="4"/>
      <c r="G1009" s="4"/>
      <c r="H1009" s="4"/>
    </row>
    <row r="1010" spans="1:8" ht="15.6">
      <c r="A1010" s="4" t="s">
        <v>234</v>
      </c>
      <c r="B1010" s="4"/>
      <c r="C1010" s="4"/>
      <c r="D1010" s="4"/>
      <c r="E1010" s="4"/>
      <c r="F1010" s="4"/>
      <c r="G1010" s="4"/>
      <c r="H1010" s="4"/>
    </row>
    <row r="1011" spans="1:8" ht="15.6">
      <c r="A1011" s="4" t="s">
        <v>233</v>
      </c>
      <c r="B1011" s="4"/>
      <c r="C1011" s="4"/>
      <c r="D1011" s="4"/>
      <c r="E1011" s="4"/>
      <c r="F1011" s="4"/>
      <c r="G1011" s="4"/>
      <c r="H1011" s="4"/>
    </row>
    <row r="1012" spans="1:8" ht="15.6">
      <c r="A1012" s="4" t="s">
        <v>224</v>
      </c>
      <c r="B1012" s="4" t="s">
        <v>225</v>
      </c>
      <c r="C1012" s="4" t="s">
        <v>155</v>
      </c>
      <c r="D1012" s="4" t="s">
        <v>156</v>
      </c>
      <c r="E1012" s="4"/>
      <c r="F1012" s="4"/>
      <c r="G1012" s="4"/>
      <c r="H1012" s="4"/>
    </row>
    <row r="1013" spans="1:8" ht="15.6">
      <c r="A1013" s="4" t="s">
        <v>100</v>
      </c>
      <c r="B1013" s="4">
        <v>0.41719200000000001</v>
      </c>
      <c r="C1013" s="4">
        <v>2053.299</v>
      </c>
      <c r="D1013" s="4">
        <v>7.6082999999999998E-2</v>
      </c>
      <c r="E1013" s="4"/>
      <c r="F1013" s="4"/>
      <c r="G1013" s="4"/>
      <c r="H1013" s="4"/>
    </row>
    <row r="1014" spans="1:8" ht="15.6">
      <c r="A1014" s="4" t="s">
        <v>157</v>
      </c>
      <c r="B1014" s="4">
        <v>0.41719200000000001</v>
      </c>
      <c r="C1014" s="4">
        <v>2053.299</v>
      </c>
      <c r="D1014" s="4">
        <v>33.659239999999997</v>
      </c>
      <c r="E1014" s="4"/>
      <c r="F1014" s="4"/>
      <c r="G1014" s="4"/>
      <c r="H1014" s="4"/>
    </row>
    <row r="1015" spans="1:8" ht="15.6">
      <c r="A1015" s="4" t="s">
        <v>121</v>
      </c>
      <c r="B1015" s="4">
        <v>0.81079000000000001</v>
      </c>
      <c r="C1015" s="4">
        <v>2006.874</v>
      </c>
      <c r="D1015" s="4">
        <v>42.249960000000002</v>
      </c>
      <c r="E1015" s="4"/>
      <c r="F1015" s="4"/>
      <c r="G1015" s="4"/>
      <c r="H1015" s="4"/>
    </row>
    <row r="1016" spans="1:8" ht="15.6">
      <c r="A1016" s="4" t="s">
        <v>129</v>
      </c>
      <c r="B1016" s="4">
        <v>0.41719000000000001</v>
      </c>
      <c r="C1016" s="4">
        <v>2006.874</v>
      </c>
      <c r="D1016" s="4">
        <v>0.79569999999999996</v>
      </c>
      <c r="E1016" s="4"/>
      <c r="F1016" s="4"/>
      <c r="G1016" s="4"/>
      <c r="H1016" s="4"/>
    </row>
    <row r="1017" spans="1:8" ht="15.6">
      <c r="A1017" s="4" t="s">
        <v>132</v>
      </c>
      <c r="B1017" s="4">
        <v>0.429591</v>
      </c>
      <c r="C1017" s="4">
        <v>2053.299</v>
      </c>
      <c r="D1017" s="5">
        <v>0.93737099999999995</v>
      </c>
      <c r="E1017" s="4"/>
      <c r="F1017" s="4"/>
      <c r="G1017" s="4"/>
      <c r="H1017" s="4"/>
    </row>
    <row r="1018" spans="1:8" ht="15.6">
      <c r="A1018" s="4" t="s">
        <v>6</v>
      </c>
      <c r="B1018" s="4">
        <v>0.41719176454062301</v>
      </c>
      <c r="C1018" s="4">
        <v>2053.2986958235101</v>
      </c>
      <c r="D1018" s="4">
        <v>0.96060000000000001</v>
      </c>
      <c r="E1018" s="4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8"/>
  <sheetViews>
    <sheetView topLeftCell="B1" workbookViewId="0">
      <selection activeCell="J21" sqref="J21"/>
    </sheetView>
  </sheetViews>
  <sheetFormatPr defaultColWidth="9" defaultRowHeight="14.4"/>
  <cols>
    <col min="3" max="5" width="12" customWidth="1"/>
    <col min="11" max="11" width="14" customWidth="1"/>
  </cols>
  <sheetData>
    <row r="3" spans="1:11">
      <c r="A3" t="s">
        <v>235</v>
      </c>
    </row>
    <row r="5" spans="1:11">
      <c r="B5" t="s">
        <v>63</v>
      </c>
    </row>
    <row r="6" spans="1:11">
      <c r="A6" t="s">
        <v>29</v>
      </c>
      <c r="B6" t="s">
        <v>43</v>
      </c>
      <c r="C6" t="s">
        <v>99</v>
      </c>
      <c r="D6" t="s">
        <v>100</v>
      </c>
      <c r="E6" t="s">
        <v>101</v>
      </c>
    </row>
    <row r="7" spans="1:11">
      <c r="A7">
        <v>0</v>
      </c>
      <c r="B7">
        <v>0</v>
      </c>
      <c r="C7">
        <f>EXP(($K$7*$K$12*A7)-(($K$7*$K$8*$K$13)/($K$14)))</f>
        <v>0.1161667796992694</v>
      </c>
      <c r="D7">
        <f>(B7-C7)^2</f>
        <v>1.349472070569859E-2</v>
      </c>
      <c r="E7">
        <f>(B7-C$21)^2</f>
        <v>0.17601315613581503</v>
      </c>
      <c r="J7" t="s">
        <v>236</v>
      </c>
      <c r="K7">
        <v>1.1076522434231E-4</v>
      </c>
    </row>
    <row r="8" spans="1:11">
      <c r="A8">
        <v>10</v>
      </c>
      <c r="B8">
        <v>0</v>
      </c>
      <c r="C8">
        <f t="shared" ref="C8:C20" si="0">EXP(($K$7*$K$12*A8)-(($K$7*$K$8*$K$13)/($K$14)))</f>
        <v>0.12977369669983627</v>
      </c>
      <c r="D8">
        <f t="shared" ref="D8:D20" si="1">(B8-C8)^2</f>
        <v>1.6841212355141095E-2</v>
      </c>
      <c r="E8">
        <f t="shared" ref="E8:E20" si="2">(B8-C$21)^2</f>
        <v>0.17601315613581503</v>
      </c>
      <c r="J8" t="s">
        <v>208</v>
      </c>
      <c r="K8">
        <v>701.11965382548306</v>
      </c>
    </row>
    <row r="9" spans="1:11">
      <c r="A9">
        <v>15</v>
      </c>
      <c r="B9">
        <v>0</v>
      </c>
      <c r="C9">
        <f t="shared" si="0"/>
        <v>0.1371636517239905</v>
      </c>
      <c r="D9">
        <f t="shared" si="1"/>
        <v>1.8813867354260164E-2</v>
      </c>
      <c r="E9">
        <f t="shared" si="2"/>
        <v>0.17601315613581503</v>
      </c>
    </row>
    <row r="10" spans="1:11">
      <c r="A10">
        <v>20</v>
      </c>
      <c r="B10">
        <v>0</v>
      </c>
      <c r="C10">
        <f t="shared" si="0"/>
        <v>0.14497442727378126</v>
      </c>
      <c r="D10">
        <f t="shared" si="1"/>
        <v>2.1017584563360892E-2</v>
      </c>
      <c r="E10">
        <f t="shared" si="2"/>
        <v>0.17601315613581503</v>
      </c>
      <c r="J10" s="6" t="s">
        <v>104</v>
      </c>
      <c r="K10" s="6">
        <f>1-(D21/E21)</f>
        <v>0.86877940251944619</v>
      </c>
    </row>
    <row r="11" spans="1:11">
      <c r="A11">
        <v>25</v>
      </c>
      <c r="B11">
        <v>0</v>
      </c>
      <c r="C11">
        <f t="shared" si="0"/>
        <v>0.15322998694766324</v>
      </c>
      <c r="D11">
        <f t="shared" si="1"/>
        <v>2.3479428899981045E-2</v>
      </c>
      <c r="E11">
        <f t="shared" si="2"/>
        <v>0.17601315613581503</v>
      </c>
    </row>
    <row r="12" spans="1:11">
      <c r="A12">
        <v>40</v>
      </c>
      <c r="B12">
        <v>0.01</v>
      </c>
      <c r="C12">
        <f t="shared" si="0"/>
        <v>0.18092594645191043</v>
      </c>
      <c r="D12">
        <f t="shared" si="1"/>
        <v>2.9215679170481349E-2</v>
      </c>
      <c r="E12">
        <f t="shared" si="2"/>
        <v>0.16772237175923102</v>
      </c>
      <c r="J12" s="8" t="s">
        <v>12</v>
      </c>
      <c r="K12" s="8">
        <v>100</v>
      </c>
    </row>
    <row r="13" spans="1:11">
      <c r="A13">
        <v>70</v>
      </c>
      <c r="B13">
        <v>0.24</v>
      </c>
      <c r="C13">
        <f t="shared" si="0"/>
        <v>0.25224062296100758</v>
      </c>
      <c r="D13">
        <f t="shared" si="1"/>
        <v>1.4983285047354611E-4</v>
      </c>
      <c r="E13">
        <f t="shared" si="2"/>
        <v>3.2234331097799218E-2</v>
      </c>
      <c r="J13" s="8" t="s">
        <v>209</v>
      </c>
      <c r="K13" s="8">
        <v>4</v>
      </c>
    </row>
    <row r="14" spans="1:11">
      <c r="A14">
        <v>92</v>
      </c>
      <c r="B14">
        <v>0.43</v>
      </c>
      <c r="C14">
        <f t="shared" si="0"/>
        <v>0.32184400720994949</v>
      </c>
      <c r="D14">
        <f t="shared" si="1"/>
        <v>1.1697718776401456E-2</v>
      </c>
      <c r="E14">
        <f t="shared" si="2"/>
        <v>1.0942794270337227E-4</v>
      </c>
      <c r="J14" s="16" t="s">
        <v>210</v>
      </c>
      <c r="K14" s="8">
        <v>0.14430000000000001</v>
      </c>
    </row>
    <row r="15" spans="1:11">
      <c r="A15">
        <v>110</v>
      </c>
      <c r="B15">
        <v>0.56000000000000005</v>
      </c>
      <c r="C15">
        <f t="shared" si="0"/>
        <v>0.39285649099496212</v>
      </c>
      <c r="D15">
        <f t="shared" si="1"/>
        <v>2.7936952602517197E-2</v>
      </c>
      <c r="E15">
        <f t="shared" si="2"/>
        <v>1.9729231047111495E-2</v>
      </c>
      <c r="J15" s="16" t="s">
        <v>106</v>
      </c>
      <c r="K15" s="8">
        <v>14</v>
      </c>
    </row>
    <row r="16" spans="1:11">
      <c r="A16">
        <v>130</v>
      </c>
      <c r="B16">
        <v>0.7</v>
      </c>
      <c r="C16">
        <f t="shared" si="0"/>
        <v>0.49027910500940075</v>
      </c>
      <c r="D16">
        <f t="shared" si="1"/>
        <v>4.3982853795657938E-2</v>
      </c>
      <c r="E16">
        <f t="shared" si="2"/>
        <v>7.8658249774935574E-2</v>
      </c>
      <c r="J16" s="16" t="s">
        <v>107</v>
      </c>
      <c r="K16" s="8">
        <v>2</v>
      </c>
    </row>
    <row r="17" spans="1:11">
      <c r="A17">
        <v>160</v>
      </c>
      <c r="B17">
        <v>0.85</v>
      </c>
      <c r="C17">
        <f t="shared" si="0"/>
        <v>0.68352997067342791</v>
      </c>
      <c r="D17">
        <f t="shared" si="1"/>
        <v>2.7712270663989763E-2</v>
      </c>
      <c r="E17">
        <f t="shared" si="2"/>
        <v>0.18529648412617569</v>
      </c>
    </row>
    <row r="18" spans="1:11">
      <c r="A18">
        <v>180</v>
      </c>
      <c r="B18">
        <v>0.88</v>
      </c>
      <c r="C18">
        <f t="shared" si="0"/>
        <v>0.85303531938630395</v>
      </c>
      <c r="D18">
        <f t="shared" si="1"/>
        <v>7.2709400059863601E-4</v>
      </c>
      <c r="E18">
        <f t="shared" si="2"/>
        <v>0.21202413099642375</v>
      </c>
    </row>
    <row r="19" spans="1:11">
      <c r="A19">
        <v>190</v>
      </c>
      <c r="B19">
        <v>0.89</v>
      </c>
      <c r="C19">
        <f t="shared" si="0"/>
        <v>0.9529535646840559</v>
      </c>
      <c r="D19">
        <f t="shared" si="1"/>
        <v>3.9631513064296081E-3</v>
      </c>
      <c r="E19">
        <f t="shared" si="2"/>
        <v>0.22133334661983975</v>
      </c>
    </row>
    <row r="20" spans="1:11">
      <c r="A20">
        <v>200</v>
      </c>
      <c r="B20">
        <v>0.9</v>
      </c>
      <c r="C20">
        <f t="shared" si="0"/>
        <v>1.0645754938932361</v>
      </c>
      <c r="D20">
        <f t="shared" si="1"/>
        <v>2.7085093190202598E-2</v>
      </c>
      <c r="E20">
        <f t="shared" si="2"/>
        <v>0.23084256224325578</v>
      </c>
    </row>
    <row r="21" spans="1:11">
      <c r="C21">
        <f>AVERAGE(C7:C20)</f>
        <v>0.41953921882919959</v>
      </c>
      <c r="D21">
        <f>SUM(D7:D20)</f>
        <v>0.26611746023519389</v>
      </c>
      <c r="E21">
        <f>SUM(E7:E20)</f>
        <v>2.028015916286551</v>
      </c>
    </row>
    <row r="26" spans="1:11">
      <c r="B26" t="s">
        <v>130</v>
      </c>
    </row>
    <row r="27" spans="1:11">
      <c r="A27" t="s">
        <v>29</v>
      </c>
      <c r="B27" t="s">
        <v>43</v>
      </c>
      <c r="C27" t="s">
        <v>99</v>
      </c>
      <c r="D27" t="s">
        <v>100</v>
      </c>
      <c r="E27" t="s">
        <v>101</v>
      </c>
    </row>
    <row r="28" spans="1:11">
      <c r="A28">
        <v>0</v>
      </c>
      <c r="B28">
        <v>0</v>
      </c>
      <c r="C28">
        <f>EXP(($K$28*$K$33*A28)-(($K$28*$K$29*$K$34)/($K$35)))</f>
        <v>5.2730954590587707E-2</v>
      </c>
      <c r="D28">
        <f>(B28-C28)^2</f>
        <v>2.7805535720346226E-3</v>
      </c>
      <c r="E28">
        <f>(B28-C$46)^2</f>
        <v>0.11706474764907496</v>
      </c>
      <c r="J28" t="s">
        <v>236</v>
      </c>
      <c r="K28">
        <v>1.0066208890141601E-4</v>
      </c>
    </row>
    <row r="29" spans="1:11">
      <c r="A29">
        <v>20</v>
      </c>
      <c r="B29">
        <v>0</v>
      </c>
      <c r="C29">
        <f t="shared" ref="C29:C45" si="3">EXP(($K$28*$K$33*A29)-(($K$28*$K$29*$K$34)/($K$35)))</f>
        <v>6.4491074510823129E-2</v>
      </c>
      <c r="D29">
        <f t="shared" ref="D29:D45" si="4">(B29-C29)^2</f>
        <v>4.1590986915605406E-3</v>
      </c>
      <c r="E29">
        <f t="shared" ref="E29:E45" si="5">(B29-C$46)^2</f>
        <v>0.11706474764907496</v>
      </c>
      <c r="J29" t="s">
        <v>208</v>
      </c>
      <c r="K29">
        <v>1054.9092405476499</v>
      </c>
    </row>
    <row r="30" spans="1:11">
      <c r="A30">
        <v>30</v>
      </c>
      <c r="B30">
        <v>0</v>
      </c>
      <c r="C30">
        <f t="shared" si="3"/>
        <v>7.1320865149347212E-2</v>
      </c>
      <c r="D30">
        <f t="shared" si="4"/>
        <v>5.08666580565137E-3</v>
      </c>
      <c r="E30">
        <f t="shared" si="5"/>
        <v>0.11706474764907496</v>
      </c>
    </row>
    <row r="31" spans="1:11">
      <c r="A31">
        <v>40</v>
      </c>
      <c r="B31">
        <v>0</v>
      </c>
      <c r="C31">
        <f t="shared" si="3"/>
        <v>7.8873950298311582E-2</v>
      </c>
      <c r="D31">
        <f t="shared" si="4"/>
        <v>6.221100035660526E-3</v>
      </c>
      <c r="E31">
        <f t="shared" si="5"/>
        <v>0.11706474764907496</v>
      </c>
      <c r="J31" t="s">
        <v>104</v>
      </c>
      <c r="K31">
        <f>1-(D46/E46)</f>
        <v>0.90207157636022728</v>
      </c>
    </row>
    <row r="32" spans="1:11">
      <c r="A32">
        <v>50</v>
      </c>
      <c r="B32">
        <v>0</v>
      </c>
      <c r="C32">
        <f t="shared" si="3"/>
        <v>8.7226928930733305E-2</v>
      </c>
      <c r="D32">
        <f t="shared" si="4"/>
        <v>7.6085371306871992E-3</v>
      </c>
      <c r="E32">
        <f t="shared" si="5"/>
        <v>0.11706474764907496</v>
      </c>
    </row>
    <row r="33" spans="1:11">
      <c r="A33">
        <v>60</v>
      </c>
      <c r="B33">
        <v>0</v>
      </c>
      <c r="C33">
        <f t="shared" si="3"/>
        <v>9.6464512071611996E-2</v>
      </c>
      <c r="D33">
        <f t="shared" si="4"/>
        <v>9.3054020892141768E-3</v>
      </c>
      <c r="E33">
        <f t="shared" si="5"/>
        <v>0.11706474764907496</v>
      </c>
      <c r="J33" s="8" t="s">
        <v>12</v>
      </c>
      <c r="K33" s="8">
        <v>100</v>
      </c>
    </row>
    <row r="34" spans="1:11">
      <c r="A34">
        <v>70</v>
      </c>
      <c r="B34">
        <v>0</v>
      </c>
      <c r="C34">
        <f t="shared" si="3"/>
        <v>0.10668038188761145</v>
      </c>
      <c r="D34">
        <f t="shared" si="4"/>
        <v>1.1380703879686616E-2</v>
      </c>
      <c r="E34">
        <f t="shared" si="5"/>
        <v>0.11706474764907496</v>
      </c>
      <c r="J34" s="8" t="s">
        <v>209</v>
      </c>
      <c r="K34" s="8">
        <v>8</v>
      </c>
    </row>
    <row r="35" spans="1:11">
      <c r="A35">
        <v>80</v>
      </c>
      <c r="B35">
        <v>0</v>
      </c>
      <c r="C35">
        <f t="shared" si="3"/>
        <v>0.11797814175681486</v>
      </c>
      <c r="D35">
        <f t="shared" si="4"/>
        <v>1.3918841932391101E-2</v>
      </c>
      <c r="E35">
        <f t="shared" si="5"/>
        <v>0.11706474764907496</v>
      </c>
      <c r="J35" s="8" t="s">
        <v>210</v>
      </c>
      <c r="K35" s="8">
        <v>0.28870000000000001</v>
      </c>
    </row>
    <row r="36" spans="1:11">
      <c r="A36">
        <v>115</v>
      </c>
      <c r="B36">
        <v>0.01</v>
      </c>
      <c r="C36">
        <f t="shared" si="3"/>
        <v>0.16780736407793576</v>
      </c>
      <c r="D36">
        <f t="shared" si="4"/>
        <v>2.4903164157226165E-2</v>
      </c>
      <c r="E36">
        <f t="shared" si="5"/>
        <v>0.11032180244546343</v>
      </c>
      <c r="J36" s="8" t="s">
        <v>106</v>
      </c>
      <c r="K36" s="8">
        <v>18</v>
      </c>
    </row>
    <row r="37" spans="1:11">
      <c r="A37">
        <v>140</v>
      </c>
      <c r="B37">
        <v>0.08</v>
      </c>
      <c r="C37">
        <f t="shared" si="3"/>
        <v>0.21582586486530311</v>
      </c>
      <c r="D37">
        <f t="shared" si="4"/>
        <v>1.8448665566407587E-2</v>
      </c>
      <c r="E37">
        <f t="shared" si="5"/>
        <v>6.8721186020182748E-2</v>
      </c>
      <c r="J37" s="8" t="s">
        <v>107</v>
      </c>
      <c r="K37" s="8">
        <v>2</v>
      </c>
    </row>
    <row r="38" spans="1:11">
      <c r="A38">
        <v>170</v>
      </c>
      <c r="B38">
        <v>0.3</v>
      </c>
      <c r="C38">
        <f t="shared" si="3"/>
        <v>0.29191368757331576</v>
      </c>
      <c r="D38">
        <f t="shared" si="4"/>
        <v>6.5388448661947768E-5</v>
      </c>
      <c r="E38">
        <f t="shared" si="5"/>
        <v>1.7763915407291923E-3</v>
      </c>
    </row>
    <row r="39" spans="1:11">
      <c r="A39">
        <v>195</v>
      </c>
      <c r="B39">
        <v>0.49</v>
      </c>
      <c r="C39">
        <f t="shared" si="3"/>
        <v>0.37544552608114462</v>
      </c>
      <c r="D39">
        <f t="shared" si="4"/>
        <v>1.3122727494825716E-2</v>
      </c>
      <c r="E39">
        <f t="shared" si="5"/>
        <v>2.18604326721102E-2</v>
      </c>
    </row>
    <row r="40" spans="1:11">
      <c r="A40">
        <v>210</v>
      </c>
      <c r="B40">
        <v>0.6</v>
      </c>
      <c r="C40">
        <f t="shared" si="3"/>
        <v>0.43663889386831489</v>
      </c>
      <c r="D40">
        <f t="shared" si="4"/>
        <v>2.6686850996567677E-2</v>
      </c>
      <c r="E40">
        <f t="shared" si="5"/>
        <v>6.6488035432383408E-2</v>
      </c>
    </row>
    <row r="41" spans="1:11">
      <c r="A41">
        <v>230</v>
      </c>
      <c r="B41">
        <v>0.71</v>
      </c>
      <c r="C41">
        <f t="shared" si="3"/>
        <v>0.53401861690953012</v>
      </c>
      <c r="D41">
        <f t="shared" si="4"/>
        <v>3.0969447194434705E-2</v>
      </c>
      <c r="E41">
        <f t="shared" si="5"/>
        <v>0.1353156381926566</v>
      </c>
    </row>
    <row r="42" spans="1:11">
      <c r="A42">
        <v>250</v>
      </c>
      <c r="B42">
        <v>0.8</v>
      </c>
      <c r="C42">
        <f t="shared" si="3"/>
        <v>0.65311608106989472</v>
      </c>
      <c r="D42">
        <f t="shared" si="4"/>
        <v>2.1574885640265756E-2</v>
      </c>
      <c r="E42">
        <f t="shared" si="5"/>
        <v>0.20962913136015296</v>
      </c>
    </row>
    <row r="43" spans="1:11">
      <c r="A43">
        <v>270</v>
      </c>
      <c r="B43">
        <v>0.85</v>
      </c>
      <c r="C43">
        <f t="shared" si="3"/>
        <v>0.79877480268513246</v>
      </c>
      <c r="D43">
        <f t="shared" si="4"/>
        <v>2.6240208399471105E-3</v>
      </c>
      <c r="E43">
        <f t="shared" si="5"/>
        <v>0.25791440534209525</v>
      </c>
    </row>
    <row r="44" spans="1:11">
      <c r="A44">
        <v>285</v>
      </c>
      <c r="B44">
        <v>0.87</v>
      </c>
      <c r="C44">
        <f t="shared" si="3"/>
        <v>0.92896604717813902</v>
      </c>
      <c r="D44">
        <f t="shared" si="4"/>
        <v>3.4769947198145172E-3</v>
      </c>
      <c r="E44">
        <f t="shared" si="5"/>
        <v>0.27862851493487223</v>
      </c>
    </row>
    <row r="45" spans="1:11">
      <c r="A45">
        <v>300</v>
      </c>
      <c r="B45">
        <v>0.9</v>
      </c>
      <c r="C45">
        <f t="shared" si="3"/>
        <v>1.0803769897458215</v>
      </c>
      <c r="D45">
        <f t="shared" si="4"/>
        <v>3.2535858429764197E-2</v>
      </c>
      <c r="E45">
        <f t="shared" si="5"/>
        <v>0.31119967932403769</v>
      </c>
    </row>
    <row r="46" spans="1:11">
      <c r="C46">
        <f>AVERAGE(C28:C45)</f>
        <v>0.34214726018057628</v>
      </c>
      <c r="D46">
        <f>SUM(D28:D45)</f>
        <v>0.23486890662480153</v>
      </c>
      <c r="E46">
        <f>SUM(E28:E45)</f>
        <v>2.3983731984572834</v>
      </c>
    </row>
    <row r="51" spans="1:14">
      <c r="B51" t="s">
        <v>171</v>
      </c>
    </row>
    <row r="52" spans="1:14">
      <c r="A52" t="s">
        <v>29</v>
      </c>
      <c r="B52" t="s">
        <v>43</v>
      </c>
      <c r="C52" t="s">
        <v>99</v>
      </c>
      <c r="D52" t="s">
        <v>100</v>
      </c>
      <c r="E52" t="s">
        <v>101</v>
      </c>
    </row>
    <row r="53" spans="1:14">
      <c r="A53">
        <v>0</v>
      </c>
      <c r="B53">
        <v>0</v>
      </c>
      <c r="C53">
        <f t="shared" ref="C53:C74" si="6">EXP(($N$53*$N$58*A53)-(($N$53*$N$54*$N$59)/($N$60)))</f>
        <v>5.6627528494944757E-3</v>
      </c>
      <c r="D53">
        <f>(B53-C53)^2</f>
        <v>3.2066769834457806E-5</v>
      </c>
      <c r="E53">
        <f>(B53-C$75)^2</f>
        <v>9.2822356898751679E-2</v>
      </c>
      <c r="M53" t="s">
        <v>236</v>
      </c>
      <c r="N53">
        <v>1.3629893789870399E-4</v>
      </c>
    </row>
    <row r="54" spans="1:14">
      <c r="A54">
        <v>20</v>
      </c>
      <c r="B54">
        <v>0</v>
      </c>
      <c r="C54">
        <f t="shared" si="6"/>
        <v>7.4373010351837668E-3</v>
      </c>
      <c r="D54">
        <f t="shared" ref="D54:D74" si="7">(B54-C54)^2</f>
        <v>5.5313446687945527E-5</v>
      </c>
      <c r="E54">
        <f t="shared" ref="E54:E74" si="8">(B54-C$75)^2</f>
        <v>9.2822356898751679E-2</v>
      </c>
      <c r="M54" t="s">
        <v>208</v>
      </c>
      <c r="N54">
        <v>913.24329310279097</v>
      </c>
    </row>
    <row r="55" spans="1:14">
      <c r="A55">
        <v>30</v>
      </c>
      <c r="B55">
        <v>0</v>
      </c>
      <c r="C55">
        <f t="shared" si="6"/>
        <v>8.5233286983945611E-3</v>
      </c>
      <c r="D55">
        <f t="shared" si="7"/>
        <v>7.2647132100876324E-5</v>
      </c>
      <c r="E55">
        <f t="shared" si="8"/>
        <v>9.2822356898751679E-2</v>
      </c>
    </row>
    <row r="56" spans="1:14">
      <c r="A56">
        <v>40</v>
      </c>
      <c r="B56">
        <v>0</v>
      </c>
      <c r="C56">
        <f t="shared" si="6"/>
        <v>9.7679429348366247E-3</v>
      </c>
      <c r="D56">
        <f t="shared" si="7"/>
        <v>9.5412709178224731E-5</v>
      </c>
      <c r="E56">
        <f t="shared" si="8"/>
        <v>9.2822356898751679E-2</v>
      </c>
      <c r="M56" t="s">
        <v>104</v>
      </c>
      <c r="N56">
        <f>1-(D75/E75)</f>
        <v>0.97213683636125758</v>
      </c>
    </row>
    <row r="57" spans="1:14">
      <c r="A57">
        <v>50</v>
      </c>
      <c r="B57">
        <v>0</v>
      </c>
      <c r="C57">
        <f t="shared" si="6"/>
        <v>1.1194301258872771E-2</v>
      </c>
      <c r="D57">
        <f t="shared" si="7"/>
        <v>1.2531238067440049E-4</v>
      </c>
      <c r="E57">
        <f t="shared" si="8"/>
        <v>9.2822356898751679E-2</v>
      </c>
    </row>
    <row r="58" spans="1:14">
      <c r="A58">
        <v>60</v>
      </c>
      <c r="B58">
        <v>0</v>
      </c>
      <c r="C58">
        <f t="shared" si="6"/>
        <v>1.2828942747759463E-2</v>
      </c>
      <c r="D58">
        <f t="shared" si="7"/>
        <v>1.6458177202529012E-4</v>
      </c>
      <c r="E58">
        <f t="shared" si="8"/>
        <v>9.2822356898751679E-2</v>
      </c>
      <c r="M58" s="8" t="s">
        <v>12</v>
      </c>
      <c r="N58" s="8">
        <v>100</v>
      </c>
    </row>
    <row r="59" spans="1:14">
      <c r="A59">
        <v>80</v>
      </c>
      <c r="B59">
        <v>0</v>
      </c>
      <c r="C59">
        <f t="shared" si="6"/>
        <v>1.6849174193915652E-2</v>
      </c>
      <c r="D59">
        <f t="shared" si="7"/>
        <v>2.8389467101691318E-4</v>
      </c>
      <c r="E59">
        <f t="shared" si="8"/>
        <v>9.2822356898751679E-2</v>
      </c>
      <c r="M59" s="8" t="s">
        <v>209</v>
      </c>
      <c r="N59" s="8">
        <v>12</v>
      </c>
    </row>
    <row r="60" spans="1:14">
      <c r="A60">
        <v>100</v>
      </c>
      <c r="B60">
        <v>0</v>
      </c>
      <c r="C60">
        <f t="shared" si="6"/>
        <v>2.2129233608630356E-2</v>
      </c>
      <c r="D60">
        <f t="shared" si="7"/>
        <v>4.8970298010533528E-4</v>
      </c>
      <c r="E60">
        <f t="shared" si="8"/>
        <v>9.2822356898751679E-2</v>
      </c>
      <c r="M60" s="8" t="s">
        <v>210</v>
      </c>
      <c r="N60" s="8">
        <v>0.28870000000000001</v>
      </c>
    </row>
    <row r="61" spans="1:14">
      <c r="A61">
        <v>140</v>
      </c>
      <c r="B61">
        <v>0</v>
      </c>
      <c r="C61">
        <f t="shared" si="6"/>
        <v>3.8171733223367997E-2</v>
      </c>
      <c r="D61">
        <f t="shared" si="7"/>
        <v>1.4570812172759761E-3</v>
      </c>
      <c r="E61">
        <f t="shared" si="8"/>
        <v>9.2822356898751679E-2</v>
      </c>
      <c r="M61" s="8" t="s">
        <v>106</v>
      </c>
      <c r="N61" s="8">
        <v>23</v>
      </c>
    </row>
    <row r="62" spans="1:14">
      <c r="A62">
        <v>180</v>
      </c>
      <c r="B62">
        <v>0</v>
      </c>
      <c r="C62">
        <f t="shared" si="6"/>
        <v>6.5844178928443173E-2</v>
      </c>
      <c r="D62">
        <f t="shared" si="7"/>
        <v>4.3354558987608403E-3</v>
      </c>
      <c r="E62">
        <f t="shared" si="8"/>
        <v>9.2822356898751679E-2</v>
      </c>
      <c r="M62" s="8" t="s">
        <v>107</v>
      </c>
      <c r="N62" s="8">
        <v>2</v>
      </c>
    </row>
    <row r="63" spans="1:14">
      <c r="A63">
        <v>230</v>
      </c>
      <c r="B63">
        <v>0.02</v>
      </c>
      <c r="C63">
        <f t="shared" si="6"/>
        <v>0.13016276617721639</v>
      </c>
      <c r="D63">
        <f t="shared" si="7"/>
        <v>1.2135835051816051E-2</v>
      </c>
      <c r="E63">
        <f t="shared" si="8"/>
        <v>8.1035652215450171E-2</v>
      </c>
    </row>
    <row r="64" spans="1:14">
      <c r="A64">
        <v>255</v>
      </c>
      <c r="B64">
        <v>0.08</v>
      </c>
      <c r="C64">
        <f t="shared" si="6"/>
        <v>0.18300858413110538</v>
      </c>
      <c r="D64">
        <f t="shared" si="7"/>
        <v>1.0610768404695015E-2</v>
      </c>
      <c r="E64">
        <f t="shared" si="8"/>
        <v>5.0475538165545682E-2</v>
      </c>
    </row>
    <row r="65" spans="1:5">
      <c r="A65">
        <v>280</v>
      </c>
      <c r="B65">
        <v>0.21</v>
      </c>
      <c r="C65">
        <f t="shared" si="6"/>
        <v>0.25730969653850455</v>
      </c>
      <c r="D65">
        <f t="shared" si="7"/>
        <v>2.2382073865653902E-3</v>
      </c>
      <c r="E65">
        <f t="shared" si="8"/>
        <v>8.9619577240859435E-3</v>
      </c>
    </row>
    <row r="66" spans="1:5">
      <c r="A66">
        <v>293</v>
      </c>
      <c r="B66">
        <v>0.3</v>
      </c>
      <c r="C66">
        <f t="shared" si="6"/>
        <v>0.30719079098954233</v>
      </c>
      <c r="D66">
        <f t="shared" si="7"/>
        <v>5.1707475055283297E-5</v>
      </c>
      <c r="E66">
        <f t="shared" si="8"/>
        <v>2.1786649229195785E-5</v>
      </c>
    </row>
    <row r="67" spans="1:5">
      <c r="A67">
        <v>300</v>
      </c>
      <c r="B67">
        <v>0.35</v>
      </c>
      <c r="C67">
        <f t="shared" si="6"/>
        <v>0.33794335075024129</v>
      </c>
      <c r="D67">
        <f t="shared" si="7"/>
        <v>1.4536279113170676E-4</v>
      </c>
      <c r="E67">
        <f t="shared" si="8"/>
        <v>2.0550249409754459E-3</v>
      </c>
    </row>
    <row r="68" spans="1:5">
      <c r="A68">
        <v>315</v>
      </c>
      <c r="B68">
        <v>0.49</v>
      </c>
      <c r="C68">
        <f t="shared" si="6"/>
        <v>0.41460517712265416</v>
      </c>
      <c r="D68">
        <f t="shared" si="7"/>
        <v>5.6843793167063511E-3</v>
      </c>
      <c r="E68">
        <f t="shared" si="8"/>
        <v>3.4348092157864954E-2</v>
      </c>
    </row>
    <row r="69" spans="1:5">
      <c r="A69">
        <v>337</v>
      </c>
      <c r="B69">
        <v>0.68</v>
      </c>
      <c r="C69">
        <f t="shared" si="6"/>
        <v>0.55957879578089031</v>
      </c>
      <c r="D69">
        <f t="shared" si="7"/>
        <v>1.4501266425580531E-2</v>
      </c>
      <c r="E69">
        <f t="shared" si="8"/>
        <v>0.14087439766650076</v>
      </c>
    </row>
    <row r="70" spans="1:5">
      <c r="A70">
        <v>354</v>
      </c>
      <c r="B70">
        <v>0.8</v>
      </c>
      <c r="C70">
        <f t="shared" si="6"/>
        <v>0.70548996325153879</v>
      </c>
      <c r="D70">
        <f t="shared" si="7"/>
        <v>8.9321470461954967E-3</v>
      </c>
      <c r="E70">
        <f t="shared" si="8"/>
        <v>0.24535416956669176</v>
      </c>
    </row>
    <row r="71" spans="1:5">
      <c r="A71">
        <v>362</v>
      </c>
      <c r="B71">
        <v>0.84</v>
      </c>
      <c r="C71">
        <f t="shared" si="6"/>
        <v>0.78676664712412303</v>
      </c>
      <c r="D71">
        <f t="shared" si="7"/>
        <v>2.8337898584076355E-3</v>
      </c>
      <c r="E71">
        <f t="shared" si="8"/>
        <v>0.28658076020008877</v>
      </c>
    </row>
    <row r="72" spans="1:5">
      <c r="A72">
        <v>370</v>
      </c>
      <c r="B72">
        <v>0.87</v>
      </c>
      <c r="C72">
        <f t="shared" si="6"/>
        <v>0.87740689346452394</v>
      </c>
      <c r="D72">
        <f t="shared" si="7"/>
        <v>5.4862070794807527E-5</v>
      </c>
      <c r="E72">
        <f t="shared" si="8"/>
        <v>0.3196007031751365</v>
      </c>
    </row>
    <row r="73" spans="1:5">
      <c r="A73">
        <v>375</v>
      </c>
      <c r="B73">
        <v>0.89</v>
      </c>
      <c r="C73">
        <f t="shared" si="6"/>
        <v>0.9392862838267837</v>
      </c>
      <c r="D73">
        <f t="shared" si="7"/>
        <v>2.429137773454279E-3</v>
      </c>
      <c r="E73">
        <f t="shared" si="8"/>
        <v>0.34261399849183505</v>
      </c>
    </row>
    <row r="74" spans="1:5">
      <c r="A74">
        <v>380</v>
      </c>
      <c r="B74">
        <v>0.9</v>
      </c>
      <c r="C74">
        <f t="shared" si="6"/>
        <v>1.005529737179802</v>
      </c>
      <c r="D74">
        <f t="shared" si="7"/>
        <v>1.1136525429238077E-2</v>
      </c>
      <c r="E74">
        <f t="shared" si="8"/>
        <v>0.35442064615018432</v>
      </c>
    </row>
    <row r="75" spans="1:5">
      <c r="C75">
        <f>AVERAGE(C53:C74)</f>
        <v>0.30466761708253748</v>
      </c>
      <c r="D75">
        <f>SUM(D53:D74)</f>
        <v>7.7865458007300881E-2</v>
      </c>
      <c r="E75">
        <f>SUM(E53:E74)</f>
        <v>2.7945662960911051</v>
      </c>
    </row>
    <row r="80" spans="1:5">
      <c r="A80" t="s">
        <v>237</v>
      </c>
    </row>
    <row r="82" spans="1:11">
      <c r="B82" t="s">
        <v>53</v>
      </c>
    </row>
    <row r="83" spans="1:11">
      <c r="A83" t="s">
        <v>29</v>
      </c>
      <c r="B83" t="s">
        <v>43</v>
      </c>
      <c r="C83" t="s">
        <v>99</v>
      </c>
      <c r="D83" t="s">
        <v>100</v>
      </c>
      <c r="E83" t="s">
        <v>101</v>
      </c>
    </row>
    <row r="84" spans="1:11" ht="15.6">
      <c r="A84">
        <v>0</v>
      </c>
      <c r="B84">
        <v>0</v>
      </c>
      <c r="C84">
        <f>EXP(($K$84*$K$89*A84)-(($K$84*$K$85*$K$90)/($K$91)))</f>
        <v>4.7589792460961719E-2</v>
      </c>
      <c r="D84">
        <f>(B84-C84)^2</f>
        <v>2.264788346477409E-3</v>
      </c>
      <c r="E84">
        <f>(B84-C$102)^2</f>
        <v>0.18379866950634816</v>
      </c>
      <c r="J84" t="s">
        <v>236</v>
      </c>
      <c r="K84" s="4">
        <v>9.1335618240545406E-5</v>
      </c>
    </row>
    <row r="85" spans="1:11" ht="15.6">
      <c r="A85">
        <v>20</v>
      </c>
      <c r="B85">
        <v>0</v>
      </c>
      <c r="C85">
        <f t="shared" ref="C85:C101" si="9">EXP(($K$84*$K$89*A85)-(($K$84*$K$85*$K$90)/($K$91)))</f>
        <v>5.7127723865497762E-2</v>
      </c>
      <c r="D85">
        <f t="shared" ref="D85:D101" si="10">(B85-C85)^2</f>
        <v>3.2635768340525625E-3</v>
      </c>
      <c r="E85">
        <f t="shared" ref="E85:E101" si="11">(B85-C$102)^2</f>
        <v>0.18379866950634816</v>
      </c>
      <c r="J85" t="s">
        <v>208</v>
      </c>
      <c r="K85" s="4">
        <v>2406.3204050570798</v>
      </c>
    </row>
    <row r="86" spans="1:11" ht="15.6">
      <c r="A86">
        <v>30</v>
      </c>
      <c r="B86">
        <v>0</v>
      </c>
      <c r="C86">
        <f t="shared" si="9"/>
        <v>6.259122852410362E-2</v>
      </c>
      <c r="D86">
        <f t="shared" si="10"/>
        <v>3.9176618881565624E-3</v>
      </c>
      <c r="E86">
        <f t="shared" si="11"/>
        <v>0.18379866950634816</v>
      </c>
      <c r="K86" s="4"/>
    </row>
    <row r="87" spans="1:11" ht="15.6">
      <c r="A87">
        <v>40</v>
      </c>
      <c r="B87">
        <v>0</v>
      </c>
      <c r="C87">
        <f t="shared" si="9"/>
        <v>6.857724451582134E-2</v>
      </c>
      <c r="D87">
        <f t="shared" si="10"/>
        <v>4.7028384653827479E-3</v>
      </c>
      <c r="E87">
        <f t="shared" si="11"/>
        <v>0.18379866950634816</v>
      </c>
      <c r="J87" t="s">
        <v>104</v>
      </c>
      <c r="K87" s="4">
        <f>1-(D102/E102)</f>
        <v>0.94341107294952309</v>
      </c>
    </row>
    <row r="88" spans="1:11">
      <c r="A88">
        <v>50</v>
      </c>
      <c r="B88">
        <v>0</v>
      </c>
      <c r="C88">
        <f t="shared" si="9"/>
        <v>7.5135743078947631E-2</v>
      </c>
      <c r="D88">
        <f t="shared" si="10"/>
        <v>5.6453798880256268E-3</v>
      </c>
      <c r="E88">
        <f t="shared" si="11"/>
        <v>0.18379866950634816</v>
      </c>
    </row>
    <row r="89" spans="1:11">
      <c r="A89">
        <v>60</v>
      </c>
      <c r="B89">
        <v>0</v>
      </c>
      <c r="C89">
        <f t="shared" si="9"/>
        <v>8.2321474534066338E-2</v>
      </c>
      <c r="D89">
        <f t="shared" si="10"/>
        <v>6.7768251694629326E-3</v>
      </c>
      <c r="E89">
        <f t="shared" si="11"/>
        <v>0.18379866950634816</v>
      </c>
      <c r="J89" s="8" t="s">
        <v>12</v>
      </c>
      <c r="K89" s="8">
        <v>100</v>
      </c>
    </row>
    <row r="90" spans="1:11">
      <c r="A90">
        <v>90</v>
      </c>
      <c r="B90">
        <v>0</v>
      </c>
      <c r="C90">
        <f t="shared" si="9"/>
        <v>0.10827116401546916</v>
      </c>
      <c r="D90">
        <f t="shared" si="10"/>
        <v>1.1722644957264623E-2</v>
      </c>
      <c r="E90">
        <f t="shared" si="11"/>
        <v>0.18379866950634816</v>
      </c>
      <c r="J90" s="8" t="s">
        <v>209</v>
      </c>
      <c r="K90" s="8">
        <v>4</v>
      </c>
    </row>
    <row r="91" spans="1:11">
      <c r="A91">
        <v>150</v>
      </c>
      <c r="B91">
        <v>0.02</v>
      </c>
      <c r="C91">
        <f t="shared" si="9"/>
        <v>0.18728894181634856</v>
      </c>
      <c r="D91">
        <f t="shared" si="10"/>
        <v>2.7985590054033657E-2</v>
      </c>
      <c r="E91">
        <f t="shared" si="11"/>
        <v>0.16704997068660798</v>
      </c>
      <c r="J91" s="8" t="s">
        <v>210</v>
      </c>
      <c r="K91" s="8">
        <v>0.28870000000000001</v>
      </c>
    </row>
    <row r="92" spans="1:11">
      <c r="A92">
        <v>210</v>
      </c>
      <c r="B92">
        <v>0.28999999999999998</v>
      </c>
      <c r="C92">
        <f t="shared" si="9"/>
        <v>0.32397497566088773</v>
      </c>
      <c r="D92">
        <f t="shared" si="10"/>
        <v>1.1542989711579152E-3</v>
      </c>
      <c r="E92">
        <f t="shared" si="11"/>
        <v>1.9242536620116053E-2</v>
      </c>
      <c r="J92" s="8" t="s">
        <v>106</v>
      </c>
      <c r="K92" s="8">
        <v>18</v>
      </c>
    </row>
    <row r="93" spans="1:11">
      <c r="A93">
        <v>235</v>
      </c>
      <c r="B93">
        <v>0.45</v>
      </c>
      <c r="C93">
        <f t="shared" si="9"/>
        <v>0.40707820741601058</v>
      </c>
      <c r="D93">
        <f t="shared" si="10"/>
        <v>1.8422802786230098E-3</v>
      </c>
      <c r="E93">
        <f t="shared" si="11"/>
        <v>4.5294606219488967E-4</v>
      </c>
      <c r="J93" s="8" t="s">
        <v>107</v>
      </c>
      <c r="K93" s="8">
        <v>2</v>
      </c>
    </row>
    <row r="94" spans="1:11">
      <c r="A94">
        <v>260</v>
      </c>
      <c r="B94">
        <v>0.63</v>
      </c>
      <c r="C94">
        <f t="shared" si="9"/>
        <v>0.51149835451021963</v>
      </c>
      <c r="D94">
        <f t="shared" si="10"/>
        <v>1.4042639983785585E-2</v>
      </c>
      <c r="E94">
        <f t="shared" si="11"/>
        <v>4.0514656684533593E-2</v>
      </c>
    </row>
    <row r="95" spans="1:11">
      <c r="A95">
        <v>280</v>
      </c>
      <c r="B95">
        <v>0.74</v>
      </c>
      <c r="C95">
        <f t="shared" si="9"/>
        <v>0.61401269564447691</v>
      </c>
      <c r="D95">
        <f t="shared" si="10"/>
        <v>1.5872800858771203E-2</v>
      </c>
      <c r="E95">
        <f t="shared" si="11"/>
        <v>9.6896813175962784E-2</v>
      </c>
    </row>
    <row r="96" spans="1:11">
      <c r="A96">
        <v>290</v>
      </c>
      <c r="B96">
        <v>0.79</v>
      </c>
      <c r="C96">
        <f t="shared" si="9"/>
        <v>0.67273481856670281</v>
      </c>
      <c r="D96">
        <f t="shared" si="10"/>
        <v>1.3751122776584117E-2</v>
      </c>
      <c r="E96">
        <f t="shared" si="11"/>
        <v>0.13052506612661247</v>
      </c>
    </row>
    <row r="97" spans="1:11">
      <c r="A97">
        <v>300</v>
      </c>
      <c r="B97">
        <v>0.83</v>
      </c>
      <c r="C97">
        <f t="shared" si="9"/>
        <v>0.73707292914676314</v>
      </c>
      <c r="D97">
        <f t="shared" si="10"/>
        <v>8.6354404973624944E-3</v>
      </c>
      <c r="E97">
        <f t="shared" si="11"/>
        <v>0.1610276684871321</v>
      </c>
    </row>
    <row r="98" spans="1:11">
      <c r="A98">
        <v>315</v>
      </c>
      <c r="B98">
        <v>0.87</v>
      </c>
      <c r="C98">
        <f t="shared" si="9"/>
        <v>0.84529887979718454</v>
      </c>
      <c r="D98">
        <f t="shared" si="10"/>
        <v>6.101453392739377E-4</v>
      </c>
      <c r="E98">
        <f t="shared" si="11"/>
        <v>0.19473027084765185</v>
      </c>
    </row>
    <row r="99" spans="1:11">
      <c r="A99">
        <v>320</v>
      </c>
      <c r="B99">
        <v>0.88</v>
      </c>
      <c r="C99">
        <f t="shared" si="9"/>
        <v>0.88479685637567818</v>
      </c>
      <c r="D99">
        <f t="shared" si="10"/>
        <v>2.300983108888432E-5</v>
      </c>
      <c r="E99">
        <f t="shared" si="11"/>
        <v>0.20365592143778177</v>
      </c>
    </row>
    <row r="100" spans="1:11">
      <c r="A100">
        <v>330</v>
      </c>
      <c r="B100">
        <v>0.89</v>
      </c>
      <c r="C100">
        <f t="shared" si="9"/>
        <v>0.96941587179645317</v>
      </c>
      <c r="D100">
        <f t="shared" si="10"/>
        <v>6.3068806931906836E-3</v>
      </c>
      <c r="E100">
        <f t="shared" si="11"/>
        <v>0.21278157202791173</v>
      </c>
    </row>
    <row r="101" spans="1:11">
      <c r="A101">
        <v>340</v>
      </c>
      <c r="B101">
        <v>0.9</v>
      </c>
      <c r="C101">
        <f t="shared" si="9"/>
        <v>1.062127567157471</v>
      </c>
      <c r="D101">
        <f t="shared" si="10"/>
        <v>2.6285348032400273E-2</v>
      </c>
      <c r="E101">
        <f t="shared" si="11"/>
        <v>0.22210722261804167</v>
      </c>
    </row>
    <row r="102" spans="1:11">
      <c r="C102">
        <f>AVERAGE(C84:C101)</f>
        <v>0.42871747049350362</v>
      </c>
      <c r="D102">
        <f>SUM(D84:D101)</f>
        <v>0.15480327286509421</v>
      </c>
      <c r="E102">
        <f>SUM(E84:E101)</f>
        <v>2.7355753313189846</v>
      </c>
    </row>
    <row r="110" spans="1:11">
      <c r="B110" t="s">
        <v>55</v>
      </c>
    </row>
    <row r="111" spans="1:11">
      <c r="A111" t="s">
        <v>29</v>
      </c>
      <c r="B111" t="s">
        <v>43</v>
      </c>
      <c r="C111" t="s">
        <v>99</v>
      </c>
      <c r="D111" t="s">
        <v>100</v>
      </c>
      <c r="E111" t="s">
        <v>101</v>
      </c>
      <c r="J111" t="s">
        <v>236</v>
      </c>
      <c r="K111">
        <v>1.32411296913257E-4</v>
      </c>
    </row>
    <row r="112" spans="1:11">
      <c r="A112">
        <v>0</v>
      </c>
      <c r="B112">
        <v>0</v>
      </c>
      <c r="C112">
        <f>EXP(($K$111*$K$116*A112)-(($K$111*$K$112*$K$117)/($K$118)))</f>
        <v>0.22376396799461318</v>
      </c>
      <c r="D112">
        <f>(B112-C112)^2</f>
        <v>5.007031337269427E-2</v>
      </c>
      <c r="E112">
        <f>(B112-C$121)^2</f>
        <v>0.26674283645737062</v>
      </c>
      <c r="J112" t="s">
        <v>208</v>
      </c>
      <c r="K112">
        <v>816.07670881446495</v>
      </c>
    </row>
    <row r="113" spans="1:11">
      <c r="A113">
        <v>10</v>
      </c>
      <c r="B113">
        <v>0</v>
      </c>
      <c r="C113">
        <f t="shared" ref="C113:C120" si="12">EXP(($K$111*$K$116*A113)-(($K$111*$K$112*$K$117)/($K$118)))</f>
        <v>0.25544396714294965</v>
      </c>
      <c r="D113">
        <f t="shared" ref="D113:D120" si="13">(B113-C113)^2</f>
        <v>6.525162034972834E-2</v>
      </c>
      <c r="E113">
        <f t="shared" ref="E113:E120" si="14">(B113-C$121)^2</f>
        <v>0.26674283645737062</v>
      </c>
    </row>
    <row r="114" spans="1:11">
      <c r="A114">
        <v>20</v>
      </c>
      <c r="B114">
        <v>0.08</v>
      </c>
      <c r="C114">
        <f t="shared" si="12"/>
        <v>0.29160914929475695</v>
      </c>
      <c r="D114">
        <f t="shared" si="13"/>
        <v>4.4778432065250728E-2</v>
      </c>
      <c r="E114">
        <f t="shared" si="14"/>
        <v>0.19050739240756417</v>
      </c>
      <c r="J114" t="s">
        <v>104</v>
      </c>
      <c r="K114">
        <f>1-(D121/E121)</f>
        <v>0.73200352712639238</v>
      </c>
    </row>
    <row r="115" spans="1:11">
      <c r="A115">
        <v>30</v>
      </c>
      <c r="B115">
        <v>0.32</v>
      </c>
      <c r="C115">
        <f t="shared" si="12"/>
        <v>0.33289451656857749</v>
      </c>
      <c r="D115">
        <f t="shared" si="13"/>
        <v>1.6626855753731928E-4</v>
      </c>
      <c r="E115">
        <f t="shared" si="14"/>
        <v>3.8601060258144922E-2</v>
      </c>
    </row>
    <row r="116" spans="1:11">
      <c r="A116">
        <v>48</v>
      </c>
      <c r="B116">
        <v>0.62</v>
      </c>
      <c r="C116">
        <f t="shared" si="12"/>
        <v>0.42249009687850003</v>
      </c>
      <c r="D116">
        <f t="shared" si="13"/>
        <v>3.9010161831064302E-2</v>
      </c>
      <c r="E116">
        <f t="shared" si="14"/>
        <v>1.0718145071370836E-2</v>
      </c>
      <c r="J116" s="8" t="s">
        <v>12</v>
      </c>
      <c r="K116" s="8">
        <v>100</v>
      </c>
    </row>
    <row r="117" spans="1:11">
      <c r="A117">
        <v>60</v>
      </c>
      <c r="B117">
        <v>0.74</v>
      </c>
      <c r="C117">
        <f t="shared" si="12"/>
        <v>0.49524845378186505</v>
      </c>
      <c r="D117">
        <f t="shared" si="13"/>
        <v>5.9903319376167843E-2</v>
      </c>
      <c r="E117">
        <f t="shared" si="14"/>
        <v>4.9964978996661198E-2</v>
      </c>
      <c r="J117" s="8" t="s">
        <v>209</v>
      </c>
      <c r="K117" s="8">
        <v>4</v>
      </c>
    </row>
    <row r="118" spans="1:11">
      <c r="A118">
        <v>85</v>
      </c>
      <c r="B118">
        <v>0.86</v>
      </c>
      <c r="C118">
        <f t="shared" si="12"/>
        <v>0.68958350938638202</v>
      </c>
      <c r="D118">
        <f t="shared" si="13"/>
        <v>2.9041780273061341E-2</v>
      </c>
      <c r="E118">
        <f t="shared" si="14"/>
        <v>0.11801181292195155</v>
      </c>
      <c r="J118" s="8" t="s">
        <v>210</v>
      </c>
      <c r="K118" s="8">
        <v>0.28870000000000001</v>
      </c>
    </row>
    <row r="119" spans="1:11">
      <c r="A119">
        <v>100</v>
      </c>
      <c r="B119">
        <v>0.89</v>
      </c>
      <c r="C119">
        <f t="shared" si="12"/>
        <v>0.84109511504184509</v>
      </c>
      <c r="D119">
        <f t="shared" si="13"/>
        <v>2.3916877727703681E-3</v>
      </c>
      <c r="E119">
        <f t="shared" si="14"/>
        <v>0.13952352140327418</v>
      </c>
      <c r="J119" s="8" t="s">
        <v>106</v>
      </c>
      <c r="K119" s="8">
        <v>9</v>
      </c>
    </row>
    <row r="120" spans="1:11">
      <c r="A120">
        <v>120</v>
      </c>
      <c r="B120">
        <v>0.9</v>
      </c>
      <c r="C120">
        <f t="shared" si="12"/>
        <v>1.0961149517121216</v>
      </c>
      <c r="D120">
        <f t="shared" si="13"/>
        <v>3.8461074285047775E-2</v>
      </c>
      <c r="E120">
        <f t="shared" si="14"/>
        <v>0.14709409089704836</v>
      </c>
      <c r="J120" s="8" t="s">
        <v>107</v>
      </c>
      <c r="K120" s="8">
        <v>2</v>
      </c>
    </row>
    <row r="121" spans="1:11">
      <c r="C121">
        <f>AVERAGE(C112:C120)</f>
        <v>0.51647152531129015</v>
      </c>
      <c r="D121">
        <f>SUM(D112:D120)</f>
        <v>0.32907465788332235</v>
      </c>
      <c r="E121">
        <f>SUM(E112:E120)</f>
        <v>1.2279066748707563</v>
      </c>
    </row>
    <row r="127" spans="1:11">
      <c r="A127" t="s">
        <v>238</v>
      </c>
    </row>
    <row r="129" spans="1:11">
      <c r="A129" t="s">
        <v>63</v>
      </c>
      <c r="B129" t="s">
        <v>64</v>
      </c>
    </row>
    <row r="130" spans="1:11">
      <c r="A130" t="s">
        <v>29</v>
      </c>
      <c r="B130" t="s">
        <v>43</v>
      </c>
      <c r="C130" t="s">
        <v>99</v>
      </c>
      <c r="D130" t="s">
        <v>100</v>
      </c>
      <c r="E130" t="s">
        <v>101</v>
      </c>
    </row>
    <row r="131" spans="1:11">
      <c r="A131">
        <v>0</v>
      </c>
      <c r="B131">
        <v>0</v>
      </c>
      <c r="C131">
        <f>EXP(($K$132*$K$137*A131)-(($K$132*$K$133*$K$138)/($K$139)))</f>
        <v>8.9618087163385915E-2</v>
      </c>
      <c r="D131">
        <f>(B131-C131)^2</f>
        <v>8.0314015468242357E-3</v>
      </c>
      <c r="E131">
        <f>(B131-C$148)^2</f>
        <v>0.14040849387631049</v>
      </c>
    </row>
    <row r="132" spans="1:11">
      <c r="A132">
        <v>10</v>
      </c>
      <c r="B132">
        <v>0</v>
      </c>
      <c r="C132">
        <f t="shared" ref="C132:C147" si="15">EXP(($K$132*$K$137*A132)-(($K$132*$K$133*$K$138)/($K$139)))</f>
        <v>9.5968812721988303E-2</v>
      </c>
      <c r="D132">
        <f t="shared" ref="D132:D147" si="16">(B132-C132)^2</f>
        <v>9.2100130152680641E-3</v>
      </c>
      <c r="E132">
        <f t="shared" ref="E132:E147" si="17">(B132-C$148)^2</f>
        <v>0.14040849387631049</v>
      </c>
      <c r="J132" t="s">
        <v>236</v>
      </c>
      <c r="K132">
        <v>1.36932211872268E-4</v>
      </c>
    </row>
    <row r="133" spans="1:11">
      <c r="A133">
        <v>22</v>
      </c>
      <c r="B133">
        <v>0</v>
      </c>
      <c r="C133">
        <f t="shared" si="15"/>
        <v>0.10418650374513701</v>
      </c>
      <c r="D133">
        <f t="shared" si="16"/>
        <v>1.0854827562635448E-2</v>
      </c>
      <c r="E133">
        <f t="shared" si="17"/>
        <v>0.14040849387631049</v>
      </c>
      <c r="J133" t="s">
        <v>208</v>
      </c>
      <c r="K133">
        <v>1271.43494198038</v>
      </c>
    </row>
    <row r="134" spans="1:11">
      <c r="A134">
        <v>30</v>
      </c>
      <c r="B134">
        <v>0</v>
      </c>
      <c r="C134">
        <f t="shared" si="15"/>
        <v>0.11005227531909867</v>
      </c>
      <c r="D134">
        <f t="shared" si="16"/>
        <v>1.2111503302910694E-2</v>
      </c>
      <c r="E134">
        <f t="shared" si="17"/>
        <v>0.14040849387631049</v>
      </c>
    </row>
    <row r="135" spans="1:11">
      <c r="A135">
        <v>41</v>
      </c>
      <c r="B135">
        <v>0</v>
      </c>
      <c r="C135">
        <f t="shared" si="15"/>
        <v>0.11866070469763179</v>
      </c>
      <c r="D135">
        <f t="shared" si="16"/>
        <v>1.4080362839338575E-2</v>
      </c>
      <c r="E135">
        <f t="shared" si="17"/>
        <v>0.14040849387631049</v>
      </c>
      <c r="J135" t="s">
        <v>104</v>
      </c>
      <c r="K135">
        <f>1-(D148/E148)</f>
        <v>0.88035227211187816</v>
      </c>
    </row>
    <row r="136" spans="1:11">
      <c r="A136">
        <v>50</v>
      </c>
      <c r="B136">
        <v>0</v>
      </c>
      <c r="C136">
        <f t="shared" si="15"/>
        <v>0.12620249182405188</v>
      </c>
      <c r="D136">
        <f t="shared" si="16"/>
        <v>1.5927068942599883E-2</v>
      </c>
      <c r="E136">
        <f t="shared" si="17"/>
        <v>0.14040849387631049</v>
      </c>
    </row>
    <row r="137" spans="1:11">
      <c r="A137">
        <v>60</v>
      </c>
      <c r="B137">
        <v>0</v>
      </c>
      <c r="C137">
        <f t="shared" si="15"/>
        <v>0.13514574664855078</v>
      </c>
      <c r="D137">
        <f t="shared" si="16"/>
        <v>1.8264372837194273E-2</v>
      </c>
      <c r="E137">
        <f t="shared" si="17"/>
        <v>0.14040849387631049</v>
      </c>
      <c r="J137" s="8" t="s">
        <v>12</v>
      </c>
      <c r="K137" s="8">
        <v>50</v>
      </c>
    </row>
    <row r="138" spans="1:11">
      <c r="A138">
        <v>80</v>
      </c>
      <c r="B138">
        <v>0.01</v>
      </c>
      <c r="C138">
        <f t="shared" si="15"/>
        <v>0.15497844035496497</v>
      </c>
      <c r="D138">
        <f t="shared" si="16"/>
        <v>2.1018748167758134E-2</v>
      </c>
      <c r="E138">
        <f t="shared" si="17"/>
        <v>0.13301426959687207</v>
      </c>
      <c r="J138" s="8" t="s">
        <v>209</v>
      </c>
      <c r="K138" s="8">
        <v>4</v>
      </c>
    </row>
    <row r="139" spans="1:11">
      <c r="A139">
        <v>100</v>
      </c>
      <c r="B139">
        <v>0.05</v>
      </c>
      <c r="C139">
        <f t="shared" si="15"/>
        <v>0.17772158999067536</v>
      </c>
      <c r="D139">
        <f t="shared" si="16"/>
        <v>1.6312804549746179E-2</v>
      </c>
      <c r="E139">
        <f t="shared" si="17"/>
        <v>0.10543737247911844</v>
      </c>
      <c r="J139" s="8" t="s">
        <v>210</v>
      </c>
      <c r="K139" s="8">
        <v>0.28870000000000001</v>
      </c>
    </row>
    <row r="140" spans="1:11">
      <c r="A140">
        <v>155</v>
      </c>
      <c r="B140">
        <v>0.26</v>
      </c>
      <c r="C140">
        <f t="shared" si="15"/>
        <v>0.25898802038281649</v>
      </c>
      <c r="D140">
        <f t="shared" si="16"/>
        <v>1.0241027455949091E-6</v>
      </c>
      <c r="E140">
        <f t="shared" si="17"/>
        <v>1.315866261091176E-2</v>
      </c>
      <c r="J140" s="8" t="s">
        <v>106</v>
      </c>
      <c r="K140" s="8">
        <v>18</v>
      </c>
    </row>
    <row r="141" spans="1:11">
      <c r="A141">
        <v>210</v>
      </c>
      <c r="B141">
        <v>0.54</v>
      </c>
      <c r="C141">
        <f t="shared" si="15"/>
        <v>0.37741500458852201</v>
      </c>
      <c r="D141">
        <f t="shared" si="16"/>
        <v>2.6433880732950332E-2</v>
      </c>
      <c r="E141">
        <f t="shared" si="17"/>
        <v>2.7320382786636215E-2</v>
      </c>
      <c r="J141" s="8" t="s">
        <v>107</v>
      </c>
      <c r="K141" s="8">
        <v>2</v>
      </c>
    </row>
    <row r="142" spans="1:11">
      <c r="A142">
        <v>240</v>
      </c>
      <c r="B142">
        <v>0.66</v>
      </c>
      <c r="C142">
        <f t="shared" si="15"/>
        <v>0.46347094999707239</v>
      </c>
      <c r="D142">
        <f t="shared" si="16"/>
        <v>3.8623667495053235E-2</v>
      </c>
      <c r="E142">
        <f t="shared" si="17"/>
        <v>8.1389691433375266E-2</v>
      </c>
      <c r="J142" s="8" t="s">
        <v>8</v>
      </c>
      <c r="K142" s="8">
        <v>8</v>
      </c>
    </row>
    <row r="143" spans="1:11">
      <c r="A143">
        <v>280</v>
      </c>
      <c r="B143">
        <v>0.79</v>
      </c>
      <c r="C143">
        <f t="shared" si="15"/>
        <v>0.60948121706094238</v>
      </c>
      <c r="D143">
        <f t="shared" si="16"/>
        <v>3.2587030993798616E-2</v>
      </c>
      <c r="E143">
        <f t="shared" si="17"/>
        <v>0.1724647758006759</v>
      </c>
    </row>
    <row r="144" spans="1:11">
      <c r="A144">
        <v>300</v>
      </c>
      <c r="B144">
        <v>0.83</v>
      </c>
      <c r="C144">
        <f t="shared" si="15"/>
        <v>0.69892283544362366</v>
      </c>
      <c r="D144">
        <f t="shared" si="16"/>
        <v>1.7181223068139351E-2</v>
      </c>
      <c r="E144">
        <f t="shared" si="17"/>
        <v>0.2072878786829222</v>
      </c>
    </row>
    <row r="145" spans="1:11">
      <c r="A145">
        <v>320</v>
      </c>
      <c r="B145">
        <v>0.86</v>
      </c>
      <c r="C145">
        <f t="shared" si="15"/>
        <v>0.80149004797913226</v>
      </c>
      <c r="D145">
        <f t="shared" si="16"/>
        <v>3.4234144854842436E-3</v>
      </c>
      <c r="E145">
        <f t="shared" si="17"/>
        <v>0.23550520584460699</v>
      </c>
    </row>
    <row r="146" spans="1:11">
      <c r="A146">
        <v>340</v>
      </c>
      <c r="B146">
        <v>0.88</v>
      </c>
      <c r="C146">
        <f t="shared" si="15"/>
        <v>0.91910904098855661</v>
      </c>
      <c r="D146">
        <f t="shared" si="16"/>
        <v>1.5295170870446009E-3</v>
      </c>
      <c r="E146">
        <f t="shared" si="17"/>
        <v>0.25531675728573017</v>
      </c>
    </row>
    <row r="147" spans="1:11">
      <c r="A147">
        <v>370</v>
      </c>
      <c r="B147">
        <v>0.9</v>
      </c>
      <c r="C147">
        <f t="shared" si="15"/>
        <v>1.1286788686165008</v>
      </c>
      <c r="D147">
        <f t="shared" si="16"/>
        <v>5.229402495172282E-2</v>
      </c>
      <c r="E147">
        <f t="shared" si="17"/>
        <v>0.27592830872685337</v>
      </c>
    </row>
    <row r="148" spans="1:11">
      <c r="C148">
        <f>AVERAGE(C131:C147)</f>
        <v>0.37471121397192064</v>
      </c>
      <c r="D148">
        <f>SUM(D131:D147)</f>
        <v>0.2978848856812143</v>
      </c>
      <c r="E148">
        <f>SUM(E131:E147)</f>
        <v>2.4896827623818756</v>
      </c>
    </row>
    <row r="155" spans="1:11">
      <c r="B155" t="s">
        <v>66</v>
      </c>
    </row>
    <row r="156" spans="1:11">
      <c r="A156" t="s">
        <v>29</v>
      </c>
      <c r="B156" t="s">
        <v>43</v>
      </c>
      <c r="C156" t="s">
        <v>99</v>
      </c>
      <c r="D156" t="s">
        <v>100</v>
      </c>
      <c r="E156" t="s">
        <v>101</v>
      </c>
      <c r="J156" t="s">
        <v>236</v>
      </c>
      <c r="K156">
        <v>1.2361006424066101E-4</v>
      </c>
    </row>
    <row r="157" spans="1:11">
      <c r="A157">
        <v>0</v>
      </c>
      <c r="B157">
        <v>0</v>
      </c>
      <c r="C157">
        <f>EXP(($K$156*$K$161*A157)-(($K$156*$K$157*$K$162)/($K$163)))</f>
        <v>0.19797710010306663</v>
      </c>
      <c r="D157">
        <f>(B157-C157)^2</f>
        <v>3.9194932165219666E-2</v>
      </c>
      <c r="E157">
        <f>(B157-C$167)^2</f>
        <v>0.27074204938489088</v>
      </c>
      <c r="J157" t="s">
        <v>208</v>
      </c>
      <c r="K157">
        <v>945.67471504894797</v>
      </c>
    </row>
    <row r="158" spans="1:11">
      <c r="A158">
        <v>10</v>
      </c>
      <c r="B158">
        <v>0</v>
      </c>
      <c r="C158">
        <f t="shared" ref="C158:C166" si="18">EXP(($K$156*$K$161*A158)-(($K$156*$K$157*$K$162)/($K$163)))</f>
        <v>0.23830859807082891</v>
      </c>
      <c r="D158">
        <f t="shared" ref="D158:D166" si="19">(B158-C158)^2</f>
        <v>5.6790987914483879E-2</v>
      </c>
      <c r="E158">
        <f t="shared" ref="E158:E166" si="20">(B158-C$167)^2</f>
        <v>0.27074204938489088</v>
      </c>
    </row>
    <row r="159" spans="1:11">
      <c r="A159">
        <v>15</v>
      </c>
      <c r="B159">
        <v>0.01</v>
      </c>
      <c r="C159">
        <f t="shared" si="18"/>
        <v>0.26145809249114998</v>
      </c>
      <c r="D159">
        <f t="shared" si="19"/>
        <v>6.3231172279287734E-2</v>
      </c>
      <c r="E159">
        <f t="shared" si="20"/>
        <v>0.26043547359100189</v>
      </c>
      <c r="J159" t="s">
        <v>104</v>
      </c>
      <c r="K159">
        <f>1-(D167/E167)</f>
        <v>0.74941532552357448</v>
      </c>
    </row>
    <row r="160" spans="1:11">
      <c r="A160">
        <v>25</v>
      </c>
      <c r="B160">
        <v>0.2</v>
      </c>
      <c r="C160">
        <f t="shared" si="18"/>
        <v>0.3147218109741064</v>
      </c>
      <c r="D160">
        <f t="shared" si="19"/>
        <v>1.3161093913178596E-2</v>
      </c>
      <c r="E160">
        <f t="shared" si="20"/>
        <v>0.102610533507111</v>
      </c>
    </row>
    <row r="161" spans="1:11">
      <c r="A161">
        <v>40</v>
      </c>
      <c r="B161">
        <v>0.48</v>
      </c>
      <c r="C161">
        <f t="shared" si="18"/>
        <v>0.41563677980843172</v>
      </c>
      <c r="D161">
        <f t="shared" si="19"/>
        <v>4.1426241134282999E-3</v>
      </c>
      <c r="E161">
        <f t="shared" si="20"/>
        <v>1.6264112782191564E-3</v>
      </c>
      <c r="J161" s="8" t="s">
        <v>12</v>
      </c>
      <c r="K161" s="8">
        <v>150</v>
      </c>
    </row>
    <row r="162" spans="1:11">
      <c r="A162">
        <v>50</v>
      </c>
      <c r="B162">
        <v>0.69</v>
      </c>
      <c r="C162">
        <f t="shared" si="18"/>
        <v>0.50030947140480364</v>
      </c>
      <c r="D162">
        <f t="shared" si="19"/>
        <v>3.5982496638724985E-2</v>
      </c>
      <c r="E162">
        <f t="shared" si="20"/>
        <v>2.8788319606550247E-2</v>
      </c>
      <c r="J162" s="8" t="s">
        <v>209</v>
      </c>
      <c r="K162" s="8">
        <v>4</v>
      </c>
    </row>
    <row r="163" spans="1:11">
      <c r="A163">
        <v>60</v>
      </c>
      <c r="B163">
        <v>0.83</v>
      </c>
      <c r="C163">
        <f t="shared" si="18"/>
        <v>0.60223151399816577</v>
      </c>
      <c r="D163">
        <f t="shared" si="19"/>
        <v>5.187848321556774E-2</v>
      </c>
      <c r="E163">
        <f t="shared" si="20"/>
        <v>9.5896258492104314E-2</v>
      </c>
      <c r="J163" s="8" t="s">
        <v>210</v>
      </c>
      <c r="K163" s="8">
        <v>0.28870000000000001</v>
      </c>
    </row>
    <row r="164" spans="1:11">
      <c r="A164">
        <v>70</v>
      </c>
      <c r="B164">
        <v>0.88</v>
      </c>
      <c r="C164">
        <f t="shared" si="18"/>
        <v>0.7249169107955461</v>
      </c>
      <c r="D164">
        <f t="shared" si="19"/>
        <v>2.4050764557196607E-2</v>
      </c>
      <c r="E164">
        <f t="shared" si="20"/>
        <v>0.12936337952265936</v>
      </c>
      <c r="J164" s="8" t="s">
        <v>106</v>
      </c>
      <c r="K164" s="8">
        <v>10</v>
      </c>
    </row>
    <row r="165" spans="1:11">
      <c r="A165">
        <v>75</v>
      </c>
      <c r="B165">
        <v>0.89</v>
      </c>
      <c r="C165">
        <f t="shared" si="18"/>
        <v>0.79533593938917746</v>
      </c>
      <c r="D165">
        <f t="shared" si="19"/>
        <v>8.9612843713294862E-3</v>
      </c>
      <c r="E165">
        <f t="shared" si="20"/>
        <v>0.13665680372877037</v>
      </c>
      <c r="J165" s="8" t="s">
        <v>107</v>
      </c>
      <c r="K165" s="8">
        <v>2</v>
      </c>
    </row>
    <row r="166" spans="1:11">
      <c r="A166">
        <v>95</v>
      </c>
      <c r="B166">
        <v>0.9</v>
      </c>
      <c r="C166">
        <f t="shared" si="18"/>
        <v>1.1523916799092211</v>
      </c>
      <c r="D166">
        <f t="shared" si="19"/>
        <v>6.3701560087398704E-2</v>
      </c>
      <c r="E166">
        <f t="shared" si="20"/>
        <v>0.14415022793488139</v>
      </c>
      <c r="J166" s="8" t="s">
        <v>8</v>
      </c>
      <c r="K166" s="8">
        <v>8</v>
      </c>
    </row>
    <row r="167" spans="1:11">
      <c r="C167">
        <f>AVERAGE(C157:C166)</f>
        <v>0.52032878969444973</v>
      </c>
      <c r="D167">
        <f>SUM(D157:D166)</f>
        <v>0.36109539925581574</v>
      </c>
      <c r="E167">
        <f>SUM(E157:E166)</f>
        <v>1.4410115064310796</v>
      </c>
    </row>
    <row r="174" spans="1:11">
      <c r="A174" t="s">
        <v>239</v>
      </c>
    </row>
    <row r="176" spans="1:11">
      <c r="B176" t="s">
        <v>111</v>
      </c>
    </row>
    <row r="177" spans="1:11">
      <c r="A177" t="s">
        <v>29</v>
      </c>
      <c r="B177" t="s">
        <v>43</v>
      </c>
      <c r="C177" t="s">
        <v>99</v>
      </c>
      <c r="D177" t="s">
        <v>100</v>
      </c>
      <c r="E177" t="s">
        <v>101</v>
      </c>
    </row>
    <row r="178" spans="1:11">
      <c r="A178">
        <v>0</v>
      </c>
      <c r="B178">
        <v>0</v>
      </c>
      <c r="C178">
        <f>EXP(($K$178*$K$183*A178)-(($K$178*$K$179*$K$184)/($K$185)))</f>
        <v>6.9721373029220893E-2</v>
      </c>
      <c r="D178">
        <f>(B178-C178)^2</f>
        <v>4.8610698570797709E-3</v>
      </c>
      <c r="E178">
        <f>(B178-C$192)^2</f>
        <v>0.20096557170322801</v>
      </c>
      <c r="J178" t="s">
        <v>236</v>
      </c>
      <c r="K178">
        <v>1.8210543029654601E-4</v>
      </c>
    </row>
    <row r="179" spans="1:11">
      <c r="A179">
        <v>20</v>
      </c>
      <c r="B179">
        <v>0</v>
      </c>
      <c r="C179">
        <f t="shared" ref="C179:C191" si="21">EXP(($K$178*$K$183*A179)-(($K$178*$K$179*$K$184)/($K$185)))</f>
        <v>0.10035538886800936</v>
      </c>
      <c r="D179">
        <f t="shared" ref="D179:D191" si="22">(B179-C179)^2</f>
        <v>1.0071204074849377E-2</v>
      </c>
      <c r="E179">
        <f t="shared" ref="E179:E191" si="23">(B179-C$192)^2</f>
        <v>0.20096557170322801</v>
      </c>
      <c r="J179" t="s">
        <v>208</v>
      </c>
      <c r="K179">
        <v>1055.54211334754</v>
      </c>
    </row>
    <row r="180" spans="1:11">
      <c r="A180">
        <v>30</v>
      </c>
      <c r="B180">
        <v>0</v>
      </c>
      <c r="C180">
        <f t="shared" si="21"/>
        <v>0.12040044210357816</v>
      </c>
      <c r="D180">
        <f t="shared" si="22"/>
        <v>1.4496266458737075E-2</v>
      </c>
      <c r="E180">
        <f t="shared" si="23"/>
        <v>0.20096557170322801</v>
      </c>
    </row>
    <row r="181" spans="1:11">
      <c r="A181">
        <v>40</v>
      </c>
      <c r="B181">
        <v>0</v>
      </c>
      <c r="C181">
        <f t="shared" si="21"/>
        <v>0.1444493078274354</v>
      </c>
      <c r="D181">
        <f t="shared" si="22"/>
        <v>2.0865602531825189E-2</v>
      </c>
      <c r="E181">
        <f t="shared" si="23"/>
        <v>0.20096557170322801</v>
      </c>
      <c r="J181" t="s">
        <v>104</v>
      </c>
      <c r="K181">
        <f>1-(D192/E192)</f>
        <v>0.90660162004265443</v>
      </c>
    </row>
    <row r="182" spans="1:11">
      <c r="A182">
        <v>50</v>
      </c>
      <c r="B182">
        <v>0.01</v>
      </c>
      <c r="C182">
        <f t="shared" si="21"/>
        <v>0.17330171025347998</v>
      </c>
      <c r="D182">
        <f t="shared" si="22"/>
        <v>2.6667448571711529E-2</v>
      </c>
      <c r="E182">
        <f t="shared" si="23"/>
        <v>0.19209973495023661</v>
      </c>
    </row>
    <row r="183" spans="1:11">
      <c r="A183">
        <v>60</v>
      </c>
      <c r="B183">
        <v>0.11</v>
      </c>
      <c r="C183">
        <f t="shared" si="21"/>
        <v>0.20791711105089036</v>
      </c>
      <c r="D183">
        <f t="shared" si="22"/>
        <v>9.5877606365523949E-3</v>
      </c>
      <c r="E183">
        <f t="shared" si="23"/>
        <v>0.11444136742032272</v>
      </c>
      <c r="J183" s="8" t="s">
        <v>12</v>
      </c>
      <c r="K183" s="8">
        <v>100</v>
      </c>
    </row>
    <row r="184" spans="1:11">
      <c r="A184">
        <v>80</v>
      </c>
      <c r="B184">
        <v>0.32</v>
      </c>
      <c r="C184">
        <f t="shared" si="21"/>
        <v>0.29927125105640445</v>
      </c>
      <c r="D184">
        <f t="shared" si="22"/>
        <v>4.2968103276661381E-4</v>
      </c>
      <c r="E184">
        <f t="shared" si="23"/>
        <v>1.6458795607503504E-2</v>
      </c>
      <c r="J184" s="8" t="s">
        <v>209</v>
      </c>
      <c r="K184" s="8">
        <v>4</v>
      </c>
    </row>
    <row r="185" spans="1:11">
      <c r="A185">
        <v>96</v>
      </c>
      <c r="B185">
        <v>0.52</v>
      </c>
      <c r="C185">
        <f t="shared" si="21"/>
        <v>0.40050211395407481</v>
      </c>
      <c r="D185">
        <f t="shared" si="22"/>
        <v>1.4279744769444927E-2</v>
      </c>
      <c r="E185">
        <f t="shared" si="23"/>
        <v>5.142060547675696E-3</v>
      </c>
      <c r="J185" s="8" t="s">
        <v>210</v>
      </c>
      <c r="K185" s="8">
        <v>0.28870000000000001</v>
      </c>
    </row>
    <row r="186" spans="1:11">
      <c r="A186">
        <v>105</v>
      </c>
      <c r="B186">
        <v>0.62</v>
      </c>
      <c r="C186">
        <f t="shared" si="21"/>
        <v>0.47182772617710311</v>
      </c>
      <c r="D186">
        <f t="shared" si="22"/>
        <v>2.1955022729847534E-2</v>
      </c>
      <c r="E186">
        <f t="shared" si="23"/>
        <v>2.9483693017761783E-2</v>
      </c>
      <c r="J186" s="8" t="s">
        <v>106</v>
      </c>
      <c r="K186" s="8">
        <v>14</v>
      </c>
    </row>
    <row r="187" spans="1:11">
      <c r="A187">
        <v>122</v>
      </c>
      <c r="B187">
        <v>0.81</v>
      </c>
      <c r="C187">
        <f t="shared" si="21"/>
        <v>0.64303114723405042</v>
      </c>
      <c r="D187">
        <f t="shared" si="22"/>
        <v>2.7878597793977368E-2</v>
      </c>
      <c r="E187">
        <f t="shared" si="23"/>
        <v>0.1308327947109254</v>
      </c>
      <c r="J187" s="8" t="s">
        <v>107</v>
      </c>
      <c r="K187" s="8">
        <v>2</v>
      </c>
    </row>
    <row r="188" spans="1:11">
      <c r="A188">
        <v>132</v>
      </c>
      <c r="B188">
        <v>0.86</v>
      </c>
      <c r="C188">
        <f t="shared" si="21"/>
        <v>0.77147062341791761</v>
      </c>
      <c r="D188">
        <f t="shared" si="22"/>
        <v>7.837450518012155E-3</v>
      </c>
      <c r="E188">
        <f t="shared" si="23"/>
        <v>0.16950361094596839</v>
      </c>
    </row>
    <row r="189" spans="1:11">
      <c r="A189">
        <v>138</v>
      </c>
      <c r="B189">
        <v>0.88</v>
      </c>
      <c r="C189">
        <f t="shared" si="21"/>
        <v>0.86054150840239851</v>
      </c>
      <c r="D189">
        <f t="shared" si="22"/>
        <v>3.786328952539278E-4</v>
      </c>
      <c r="E189">
        <f t="shared" si="23"/>
        <v>0.18637193743998562</v>
      </c>
    </row>
    <row r="190" spans="1:11">
      <c r="A190">
        <v>143</v>
      </c>
      <c r="B190">
        <v>0.89</v>
      </c>
      <c r="C190">
        <f t="shared" si="21"/>
        <v>0.94257412851682698</v>
      </c>
      <c r="D190">
        <f t="shared" si="22"/>
        <v>2.7640389893038384E-3</v>
      </c>
      <c r="E190">
        <f t="shared" si="23"/>
        <v>0.19510610068699424</v>
      </c>
    </row>
    <row r="191" spans="1:11">
      <c r="A191">
        <v>150</v>
      </c>
      <c r="B191">
        <v>0.9</v>
      </c>
      <c r="C191">
        <f t="shared" si="21"/>
        <v>1.0707218952025837</v>
      </c>
      <c r="D191">
        <f t="shared" si="22"/>
        <v>2.9145965501561948E-2</v>
      </c>
      <c r="E191">
        <f t="shared" si="23"/>
        <v>0.20404026393400287</v>
      </c>
    </row>
    <row r="192" spans="1:11">
      <c r="C192">
        <f>AVERAGE(C178:C191)</f>
        <v>0.44829183764956954</v>
      </c>
      <c r="D192">
        <f>SUM(D178:D191)</f>
        <v>0.19121848636092365</v>
      </c>
      <c r="E192">
        <f>SUM(E178:E191)</f>
        <v>2.0473426460742887</v>
      </c>
    </row>
    <row r="199" spans="1:11">
      <c r="B199" t="s">
        <v>111</v>
      </c>
    </row>
    <row r="200" spans="1:11">
      <c r="A200" t="s">
        <v>29</v>
      </c>
      <c r="B200" t="s">
        <v>43</v>
      </c>
      <c r="C200" t="s">
        <v>99</v>
      </c>
      <c r="D200" t="s">
        <v>100</v>
      </c>
      <c r="E200" t="s">
        <v>101</v>
      </c>
    </row>
    <row r="201" spans="1:11">
      <c r="A201">
        <v>0</v>
      </c>
      <c r="B201">
        <v>0</v>
      </c>
      <c r="C201">
        <f>EXP(($K$202*$K$207*A201)-(($K$202*$K$203*$K$208)/($K$209)))</f>
        <v>6.9721820426156905E-2</v>
      </c>
      <c r="D201">
        <f>(B201-C201)^2</f>
        <v>4.86113224353727E-3</v>
      </c>
      <c r="E201">
        <f>(B201-C$215)^2</f>
        <v>0.20096523446206671</v>
      </c>
    </row>
    <row r="202" spans="1:11">
      <c r="A202">
        <v>20</v>
      </c>
      <c r="B202">
        <v>0</v>
      </c>
      <c r="C202">
        <f t="shared" ref="C202:C214" si="24">EXP(($K$202*$K$207*A202)-(($K$202*$K$203*$K$208)/($K$209)))</f>
        <v>0.10035590914138044</v>
      </c>
      <c r="D202">
        <f t="shared" ref="D202:D214" si="25">(B202-C202)^2</f>
        <v>1.0071308499593007E-2</v>
      </c>
      <c r="E202">
        <f t="shared" ref="E202:E214" si="26">(B202-C$215)^2</f>
        <v>0.20096523446206671</v>
      </c>
      <c r="J202" t="s">
        <v>236</v>
      </c>
      <c r="K202">
        <v>1.8210481399142701E-4</v>
      </c>
    </row>
    <row r="203" spans="1:11">
      <c r="A203">
        <v>30</v>
      </c>
      <c r="B203">
        <v>0</v>
      </c>
      <c r="C203">
        <f t="shared" si="24"/>
        <v>0.12040099209293353</v>
      </c>
      <c r="D203">
        <f t="shared" si="25"/>
        <v>1.4496398896962644E-2</v>
      </c>
      <c r="E203">
        <f t="shared" si="26"/>
        <v>0.20096523446206671</v>
      </c>
      <c r="J203" t="s">
        <v>208</v>
      </c>
      <c r="K203">
        <v>1583.8631426693701</v>
      </c>
    </row>
    <row r="204" spans="1:11">
      <c r="A204">
        <v>40</v>
      </c>
      <c r="B204">
        <v>0</v>
      </c>
      <c r="C204">
        <f t="shared" si="24"/>
        <v>0.1444498786468095</v>
      </c>
      <c r="D204">
        <f t="shared" si="25"/>
        <v>2.086576744107799E-2</v>
      </c>
      <c r="E204">
        <f t="shared" si="26"/>
        <v>0.20096523446206671</v>
      </c>
    </row>
    <row r="205" spans="1:11">
      <c r="A205">
        <v>50</v>
      </c>
      <c r="B205">
        <v>0.01</v>
      </c>
      <c r="C205">
        <f t="shared" si="24"/>
        <v>0.17330228828158156</v>
      </c>
      <c r="D205">
        <f t="shared" si="25"/>
        <v>2.6667637358000769E-2</v>
      </c>
      <c r="E205">
        <f t="shared" si="26"/>
        <v>0.19209940523188243</v>
      </c>
      <c r="J205" t="s">
        <v>104</v>
      </c>
      <c r="K205">
        <f>1-(D215/E215)</f>
        <v>0.90660162005629741</v>
      </c>
    </row>
    <row r="206" spans="1:11">
      <c r="A206">
        <v>60</v>
      </c>
      <c r="B206">
        <v>0.11</v>
      </c>
      <c r="C206">
        <f t="shared" si="24"/>
        <v>0.20791767639394801</v>
      </c>
      <c r="D206">
        <f t="shared" si="25"/>
        <v>9.5878713503899232E-3</v>
      </c>
      <c r="E206">
        <f t="shared" si="26"/>
        <v>0.11444111293003972</v>
      </c>
    </row>
    <row r="207" spans="1:11">
      <c r="A207">
        <v>80</v>
      </c>
      <c r="B207">
        <v>0.32</v>
      </c>
      <c r="C207">
        <f t="shared" si="24"/>
        <v>0.29927169591300534</v>
      </c>
      <c r="D207">
        <f t="shared" si="25"/>
        <v>4.296625903229197E-4</v>
      </c>
      <c r="E207">
        <f t="shared" si="26"/>
        <v>1.6458699096170024E-2</v>
      </c>
      <c r="J207" s="8" t="s">
        <v>12</v>
      </c>
      <c r="K207" s="8">
        <v>100</v>
      </c>
    </row>
    <row r="208" spans="1:11">
      <c r="A208">
        <v>96</v>
      </c>
      <c r="B208">
        <v>0.52</v>
      </c>
      <c r="C208">
        <f t="shared" si="24"/>
        <v>0.40050231435613515</v>
      </c>
      <c r="D208">
        <f t="shared" si="25"/>
        <v>1.4279696874239948E-2</v>
      </c>
      <c r="E208">
        <f t="shared" si="26"/>
        <v>5.1421144924846023E-3</v>
      </c>
      <c r="J208" s="8" t="s">
        <v>209</v>
      </c>
      <c r="K208" s="8">
        <v>4</v>
      </c>
    </row>
    <row r="209" spans="1:11">
      <c r="A209">
        <v>105</v>
      </c>
      <c r="B209">
        <v>0.62</v>
      </c>
      <c r="C209">
        <f t="shared" si="24"/>
        <v>0.47182770055794482</v>
      </c>
      <c r="D209">
        <f t="shared" si="25"/>
        <v>2.1955030321946064E-2</v>
      </c>
      <c r="E209">
        <f t="shared" si="26"/>
        <v>2.9483822190641888E-2</v>
      </c>
      <c r="J209" s="8" t="s">
        <v>210</v>
      </c>
      <c r="K209" s="8">
        <v>0.43319999999999997</v>
      </c>
    </row>
    <row r="210" spans="1:11">
      <c r="A210">
        <v>122</v>
      </c>
      <c r="B210">
        <v>0.81</v>
      </c>
      <c r="C210">
        <f t="shared" si="24"/>
        <v>0.64303043860357156</v>
      </c>
      <c r="D210">
        <f t="shared" si="25"/>
        <v>2.7878834432915701E-2</v>
      </c>
      <c r="E210">
        <f t="shared" si="26"/>
        <v>0.13083306681714077</v>
      </c>
      <c r="J210" s="8" t="s">
        <v>106</v>
      </c>
      <c r="K210" s="8">
        <v>17</v>
      </c>
    </row>
    <row r="211" spans="1:11">
      <c r="A211">
        <v>132</v>
      </c>
      <c r="B211">
        <v>0.86</v>
      </c>
      <c r="C211">
        <f t="shared" si="24"/>
        <v>0.77146929778448348</v>
      </c>
      <c r="D211">
        <f t="shared" si="25"/>
        <v>7.8376852347724606E-3</v>
      </c>
      <c r="E211">
        <f t="shared" si="26"/>
        <v>0.16950392066621936</v>
      </c>
      <c r="J211" s="8" t="s">
        <v>107</v>
      </c>
      <c r="K211" s="8">
        <v>2</v>
      </c>
    </row>
    <row r="212" spans="1:11">
      <c r="A212">
        <v>138</v>
      </c>
      <c r="B212">
        <v>0.88</v>
      </c>
      <c r="C212">
        <f t="shared" si="24"/>
        <v>0.86053971150360131</v>
      </c>
      <c r="D212">
        <f t="shared" si="25"/>
        <v>3.7870282836306729E-4</v>
      </c>
      <c r="E212">
        <f t="shared" si="26"/>
        <v>0.18637226220585085</v>
      </c>
    </row>
    <row r="213" spans="1:11">
      <c r="A213">
        <v>143</v>
      </c>
      <c r="B213">
        <v>0.89</v>
      </c>
      <c r="C213">
        <f t="shared" si="24"/>
        <v>0.942571869869539</v>
      </c>
      <c r="D213">
        <f t="shared" si="25"/>
        <v>2.7638015015797415E-3</v>
      </c>
      <c r="E213">
        <f t="shared" si="26"/>
        <v>0.19510643297566657</v>
      </c>
    </row>
    <row r="214" spans="1:11">
      <c r="A214">
        <v>150</v>
      </c>
      <c r="B214">
        <v>0.9</v>
      </c>
      <c r="C214">
        <f t="shared" si="24"/>
        <v>1.0707188675578987</v>
      </c>
      <c r="D214">
        <f t="shared" si="25"/>
        <v>2.9144931740251345E-2</v>
      </c>
      <c r="E214">
        <f t="shared" si="26"/>
        <v>0.2040406037454823</v>
      </c>
    </row>
    <row r="215" spans="1:11">
      <c r="C215">
        <f>AVERAGE(C201:C214)</f>
        <v>0.44829146150921356</v>
      </c>
      <c r="D215">
        <f>SUM(D201:D214)</f>
        <v>0.19121846131395287</v>
      </c>
      <c r="E215">
        <f>SUM(E201:E214)</f>
        <v>2.0473423781998452</v>
      </c>
    </row>
    <row r="222" spans="1:11">
      <c r="B222" t="s">
        <v>72</v>
      </c>
    </row>
    <row r="223" spans="1:11">
      <c r="A223" t="s">
        <v>29</v>
      </c>
      <c r="B223" t="s">
        <v>43</v>
      </c>
      <c r="C223" t="s">
        <v>99</v>
      </c>
      <c r="D223" t="s">
        <v>100</v>
      </c>
      <c r="E223" t="s">
        <v>101</v>
      </c>
    </row>
    <row r="224" spans="1:11">
      <c r="A224">
        <v>0</v>
      </c>
      <c r="B224">
        <v>0</v>
      </c>
      <c r="C224">
        <f>EXP(($K$224*$K$229*A224)-($K$224*$K$225*$K$230/$K$231))</f>
        <v>1.7235105767014196E-2</v>
      </c>
      <c r="D224">
        <f>(B224-C224)^2</f>
        <v>2.9704887080016598E-4</v>
      </c>
      <c r="E224">
        <f>(B224-C$238)^2</f>
        <v>7.7462074829001179E-2</v>
      </c>
      <c r="J224" t="s">
        <v>236</v>
      </c>
      <c r="K224">
        <v>2.1838945005092701E-4</v>
      </c>
    </row>
    <row r="225" spans="1:11">
      <c r="A225">
        <v>20</v>
      </c>
      <c r="B225">
        <v>0</v>
      </c>
      <c r="C225">
        <f t="shared" ref="C225:C237" si="27">EXP(($K$224*$K$229*A225)-($K$224*$K$225*$K$230/$K$231))</f>
        <v>2.6675011726905003E-2</v>
      </c>
      <c r="D225">
        <f t="shared" ref="D225:D237" si="28">(B225-C225)^2</f>
        <v>7.115562506305195E-4</v>
      </c>
      <c r="E225">
        <f t="shared" ref="E225:E237" si="29">(B225-C$238)^2</f>
        <v>7.7462074829001179E-2</v>
      </c>
      <c r="J225" t="s">
        <v>208</v>
      </c>
      <c r="K225">
        <v>2013.7666528570701</v>
      </c>
    </row>
    <row r="226" spans="1:11">
      <c r="A226">
        <v>40</v>
      </c>
      <c r="B226">
        <v>0</v>
      </c>
      <c r="C226">
        <f t="shared" si="27"/>
        <v>4.1285284827920696E-2</v>
      </c>
      <c r="D226">
        <f t="shared" si="28"/>
        <v>1.7044747433225388E-3</v>
      </c>
      <c r="E226">
        <f t="shared" si="29"/>
        <v>7.7462074829001179E-2</v>
      </c>
    </row>
    <row r="227" spans="1:11">
      <c r="A227">
        <v>50</v>
      </c>
      <c r="B227">
        <v>0</v>
      </c>
      <c r="C227">
        <f t="shared" si="27"/>
        <v>5.1361845273674774E-2</v>
      </c>
      <c r="D227">
        <f t="shared" si="28"/>
        <v>2.6380391499169075E-3</v>
      </c>
      <c r="E227">
        <f t="shared" si="29"/>
        <v>7.7462074829001179E-2</v>
      </c>
      <c r="J227" t="s">
        <v>104</v>
      </c>
      <c r="K227">
        <f>1-(D238/E238)</f>
        <v>0.96504533317789887</v>
      </c>
    </row>
    <row r="228" spans="1:11">
      <c r="A228">
        <v>60</v>
      </c>
      <c r="B228">
        <v>0</v>
      </c>
      <c r="C228">
        <f t="shared" si="27"/>
        <v>6.3897806710366628E-2</v>
      </c>
      <c r="D228">
        <f t="shared" si="28"/>
        <v>4.0829297023953744E-3</v>
      </c>
      <c r="E228">
        <f t="shared" si="29"/>
        <v>7.7462074829001179E-2</v>
      </c>
    </row>
    <row r="229" spans="1:11">
      <c r="A229">
        <v>70</v>
      </c>
      <c r="B229">
        <v>0</v>
      </c>
      <c r="C229">
        <f t="shared" si="27"/>
        <v>7.9493438770356167E-2</v>
      </c>
      <c r="D229">
        <f t="shared" si="28"/>
        <v>6.319206807536365E-3</v>
      </c>
      <c r="E229">
        <f t="shared" si="29"/>
        <v>7.7462074829001179E-2</v>
      </c>
      <c r="J229" t="s">
        <v>12</v>
      </c>
      <c r="K229">
        <v>100</v>
      </c>
    </row>
    <row r="230" spans="1:11">
      <c r="A230">
        <v>80</v>
      </c>
      <c r="B230">
        <v>0.01</v>
      </c>
      <c r="C230">
        <f t="shared" si="27"/>
        <v>9.889551978176353E-2</v>
      </c>
      <c r="D230">
        <f t="shared" si="28"/>
        <v>7.9024134372699117E-3</v>
      </c>
      <c r="E230">
        <f t="shared" si="29"/>
        <v>7.1995672945234568E-2</v>
      </c>
      <c r="J230" t="s">
        <v>209</v>
      </c>
      <c r="K230">
        <v>4</v>
      </c>
    </row>
    <row r="231" spans="1:11">
      <c r="A231">
        <v>100</v>
      </c>
      <c r="B231">
        <v>0.09</v>
      </c>
      <c r="C231">
        <f t="shared" si="27"/>
        <v>0.15306196466550151</v>
      </c>
      <c r="D231">
        <f t="shared" si="28"/>
        <v>3.9768113874729611E-3</v>
      </c>
      <c r="E231">
        <f t="shared" si="29"/>
        <v>3.5464457875101683E-2</v>
      </c>
      <c r="J231" t="s">
        <v>210</v>
      </c>
      <c r="K231">
        <v>0.43319999999999997</v>
      </c>
    </row>
    <row r="232" spans="1:11">
      <c r="A232">
        <v>115</v>
      </c>
      <c r="B232">
        <v>0.21</v>
      </c>
      <c r="C232">
        <f t="shared" si="27"/>
        <v>0.21239059575753128</v>
      </c>
      <c r="D232">
        <f t="shared" si="28"/>
        <v>5.7149480759265695E-6</v>
      </c>
      <c r="E232">
        <f t="shared" si="29"/>
        <v>4.6676352699023572E-3</v>
      </c>
      <c r="J232" t="s">
        <v>106</v>
      </c>
      <c r="K232">
        <v>17</v>
      </c>
    </row>
    <row r="233" spans="1:11">
      <c r="A233">
        <v>130</v>
      </c>
      <c r="B233">
        <v>0.36</v>
      </c>
      <c r="C233">
        <f t="shared" si="27"/>
        <v>0.29471570722890578</v>
      </c>
      <c r="D233">
        <f t="shared" si="28"/>
        <v>4.2620388826219435E-3</v>
      </c>
      <c r="E233">
        <f t="shared" si="29"/>
        <v>6.671607013403193E-3</v>
      </c>
      <c r="J233" t="s">
        <v>107</v>
      </c>
      <c r="K233">
        <v>2</v>
      </c>
    </row>
    <row r="234" spans="1:11">
      <c r="A234">
        <v>140</v>
      </c>
      <c r="B234">
        <v>0.46</v>
      </c>
      <c r="C234">
        <f t="shared" si="27"/>
        <v>0.36664740518335115</v>
      </c>
      <c r="D234">
        <f t="shared" si="28"/>
        <v>8.7147069590014174E-3</v>
      </c>
      <c r="E234">
        <f t="shared" si="29"/>
        <v>3.3007588175737096E-2</v>
      </c>
    </row>
    <row r="235" spans="1:11">
      <c r="A235">
        <v>165</v>
      </c>
      <c r="B235">
        <v>0.72</v>
      </c>
      <c r="C235">
        <f t="shared" si="27"/>
        <v>0.63293913390191892</v>
      </c>
      <c r="D235">
        <f t="shared" si="28"/>
        <v>7.5795944057479997E-3</v>
      </c>
      <c r="E235">
        <f t="shared" si="29"/>
        <v>0.19508113919780518</v>
      </c>
    </row>
    <row r="236" spans="1:11">
      <c r="A236">
        <v>180</v>
      </c>
      <c r="B236">
        <v>0.88</v>
      </c>
      <c r="C236">
        <f t="shared" si="27"/>
        <v>0.87827384171806266</v>
      </c>
      <c r="D236">
        <f t="shared" si="28"/>
        <v>2.9796224143008695E-6</v>
      </c>
      <c r="E236">
        <f t="shared" si="29"/>
        <v>0.36201870905753952</v>
      </c>
    </row>
    <row r="237" spans="1:11">
      <c r="A237">
        <v>185</v>
      </c>
      <c r="B237">
        <v>0.9</v>
      </c>
      <c r="C237">
        <f t="shared" si="27"/>
        <v>0.97960865732335511</v>
      </c>
      <c r="D237">
        <f t="shared" si="28"/>
        <v>6.3375383208273788E-3</v>
      </c>
      <c r="E237">
        <f t="shared" si="29"/>
        <v>0.38648590529000632</v>
      </c>
    </row>
    <row r="238" spans="1:11">
      <c r="C238">
        <f>AVERAGE(C224:C237)</f>
        <v>0.27832009418833054</v>
      </c>
      <c r="D238">
        <f>SUM(D224:D237)</f>
        <v>5.4535053488033711E-2</v>
      </c>
      <c r="E238">
        <f>SUM(E224:E237)</f>
        <v>1.560165163798737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960"/>
  <sheetViews>
    <sheetView tabSelected="1" topLeftCell="A68" workbookViewId="0">
      <selection activeCell="I83" sqref="I83"/>
    </sheetView>
  </sheetViews>
  <sheetFormatPr defaultColWidth="9" defaultRowHeight="14.4"/>
  <sheetData>
    <row r="4" spans="1:11" ht="16.8">
      <c r="A4" s="2" t="s">
        <v>240</v>
      </c>
    </row>
    <row r="5" spans="1:11">
      <c r="B5" t="s">
        <v>63</v>
      </c>
    </row>
    <row r="6" spans="1:11">
      <c r="A6" t="s">
        <v>29</v>
      </c>
      <c r="B6" t="s">
        <v>43</v>
      </c>
      <c r="C6" t="s">
        <v>99</v>
      </c>
      <c r="D6" t="s">
        <v>100</v>
      </c>
    </row>
    <row r="7" spans="1:11">
      <c r="A7">
        <v>0</v>
      </c>
      <c r="B7">
        <v>0</v>
      </c>
      <c r="C7">
        <f>EXP(($K$7*$K$12*A7)-(($K$7*$K$8*$K$13)/($K$14)))</f>
        <v>0.1161667796992694</v>
      </c>
      <c r="D7">
        <f>(B7-C7)^2</f>
        <v>1.349472070569859E-2</v>
      </c>
      <c r="J7" s="6" t="s">
        <v>236</v>
      </c>
      <c r="K7" s="6">
        <v>1.1076522434231E-4</v>
      </c>
    </row>
    <row r="8" spans="1:11">
      <c r="A8">
        <v>10</v>
      </c>
      <c r="B8">
        <v>0</v>
      </c>
      <c r="C8">
        <f t="shared" ref="C8:C20" si="0">EXP(($K$7*$K$12*A8)-(($K$7*$K$8*$K$13)/($K$14)))</f>
        <v>0.12977369669983627</v>
      </c>
      <c r="D8">
        <f t="shared" ref="D8:D20" si="1">(B8-C8)^2</f>
        <v>1.6841212355141095E-2</v>
      </c>
      <c r="J8" s="6" t="s">
        <v>208</v>
      </c>
      <c r="K8" s="6">
        <v>701.11965382548306</v>
      </c>
    </row>
    <row r="9" spans="1:11">
      <c r="A9">
        <v>15</v>
      </c>
      <c r="B9">
        <v>0</v>
      </c>
      <c r="C9">
        <f t="shared" si="0"/>
        <v>0.1371636517239905</v>
      </c>
      <c r="D9">
        <f t="shared" si="1"/>
        <v>1.8813867354260164E-2</v>
      </c>
    </row>
    <row r="10" spans="1:11">
      <c r="A10">
        <v>20</v>
      </c>
      <c r="B10">
        <v>0</v>
      </c>
      <c r="C10">
        <f t="shared" si="0"/>
        <v>0.14497442727378126</v>
      </c>
      <c r="D10">
        <f t="shared" si="1"/>
        <v>2.1017584563360892E-2</v>
      </c>
      <c r="F10" s="6" t="s">
        <v>100</v>
      </c>
      <c r="G10" s="6">
        <f>(D21)</f>
        <v>0.26611746023519389</v>
      </c>
    </row>
    <row r="11" spans="1:11">
      <c r="A11">
        <v>25</v>
      </c>
      <c r="B11">
        <v>0</v>
      </c>
      <c r="C11">
        <f t="shared" si="0"/>
        <v>0.15322998694766324</v>
      </c>
      <c r="D11">
        <f t="shared" si="1"/>
        <v>2.3479428899981045E-2</v>
      </c>
    </row>
    <row r="12" spans="1:11">
      <c r="A12">
        <v>40</v>
      </c>
      <c r="B12">
        <v>0.01</v>
      </c>
      <c r="C12">
        <f t="shared" si="0"/>
        <v>0.18092594645191043</v>
      </c>
      <c r="D12">
        <f t="shared" si="1"/>
        <v>2.9215679170481349E-2</v>
      </c>
      <c r="J12" t="s">
        <v>12</v>
      </c>
      <c r="K12">
        <v>100</v>
      </c>
    </row>
    <row r="13" spans="1:11">
      <c r="A13">
        <v>70</v>
      </c>
      <c r="B13">
        <v>0.24</v>
      </c>
      <c r="C13">
        <f t="shared" si="0"/>
        <v>0.25224062296100758</v>
      </c>
      <c r="D13">
        <f t="shared" si="1"/>
        <v>1.4983285047354611E-4</v>
      </c>
      <c r="J13" t="s">
        <v>209</v>
      </c>
      <c r="K13">
        <v>4</v>
      </c>
    </row>
    <row r="14" spans="1:11">
      <c r="A14">
        <v>92</v>
      </c>
      <c r="B14">
        <v>0.43</v>
      </c>
      <c r="C14">
        <f t="shared" si="0"/>
        <v>0.32184400720994949</v>
      </c>
      <c r="D14">
        <f t="shared" si="1"/>
        <v>1.1697718776401456E-2</v>
      </c>
      <c r="J14" t="s">
        <v>210</v>
      </c>
      <c r="K14">
        <v>0.14430000000000001</v>
      </c>
    </row>
    <row r="15" spans="1:11">
      <c r="A15">
        <v>110</v>
      </c>
      <c r="B15">
        <v>0.56000000000000005</v>
      </c>
      <c r="C15">
        <f t="shared" si="0"/>
        <v>0.39285649099496212</v>
      </c>
      <c r="D15">
        <f t="shared" si="1"/>
        <v>2.7936952602517197E-2</v>
      </c>
      <c r="J15" t="s">
        <v>106</v>
      </c>
      <c r="K15">
        <v>14</v>
      </c>
    </row>
    <row r="16" spans="1:11">
      <c r="A16">
        <v>130</v>
      </c>
      <c r="B16">
        <v>0.7</v>
      </c>
      <c r="C16">
        <f t="shared" si="0"/>
        <v>0.49027910500940075</v>
      </c>
      <c r="D16">
        <f t="shared" si="1"/>
        <v>4.3982853795657938E-2</v>
      </c>
      <c r="J16" t="s">
        <v>107</v>
      </c>
      <c r="K16">
        <v>2</v>
      </c>
    </row>
    <row r="17" spans="1:11">
      <c r="A17">
        <v>160</v>
      </c>
      <c r="B17">
        <v>0.85</v>
      </c>
      <c r="C17">
        <f t="shared" si="0"/>
        <v>0.68352997067342791</v>
      </c>
      <c r="D17">
        <f t="shared" si="1"/>
        <v>2.7712270663989763E-2</v>
      </c>
    </row>
    <row r="18" spans="1:11">
      <c r="A18">
        <v>180</v>
      </c>
      <c r="B18">
        <v>0.88</v>
      </c>
      <c r="C18">
        <f t="shared" si="0"/>
        <v>0.85303531938630395</v>
      </c>
      <c r="D18">
        <f t="shared" si="1"/>
        <v>7.2709400059863601E-4</v>
      </c>
    </row>
    <row r="19" spans="1:11">
      <c r="A19">
        <v>190</v>
      </c>
      <c r="B19">
        <v>0.89</v>
      </c>
      <c r="C19">
        <f t="shared" si="0"/>
        <v>0.9529535646840559</v>
      </c>
      <c r="D19">
        <f t="shared" si="1"/>
        <v>3.9631513064296081E-3</v>
      </c>
    </row>
    <row r="20" spans="1:11">
      <c r="A20">
        <v>200</v>
      </c>
      <c r="B20">
        <v>0.9</v>
      </c>
      <c r="C20">
        <f t="shared" si="0"/>
        <v>1.0645754938932361</v>
      </c>
      <c r="D20">
        <f t="shared" si="1"/>
        <v>2.7085093190202598E-2</v>
      </c>
    </row>
    <row r="21" spans="1:11">
      <c r="D21" s="6">
        <f>SUM(D7:D20)</f>
        <v>0.26611746023519389</v>
      </c>
    </row>
    <row r="27" spans="1:11" ht="16.8">
      <c r="A27" s="1" t="s">
        <v>144</v>
      </c>
    </row>
    <row r="28" spans="1:11">
      <c r="B28" t="s">
        <v>63</v>
      </c>
    </row>
    <row r="29" spans="1:11">
      <c r="A29" t="s">
        <v>29</v>
      </c>
      <c r="B29" t="s">
        <v>43</v>
      </c>
      <c r="C29" t="s">
        <v>99</v>
      </c>
      <c r="D29" t="s">
        <v>120</v>
      </c>
      <c r="E29" t="s">
        <v>193</v>
      </c>
    </row>
    <row r="30" spans="1:11">
      <c r="A30">
        <v>0</v>
      </c>
      <c r="B30">
        <v>0</v>
      </c>
      <c r="C30">
        <f>EXP(($K$30*$K$35*A30)-(($K$30*$K$31*$K$36)/($K$37)))</f>
        <v>0.11135142638028817</v>
      </c>
      <c r="D30">
        <f>(B30-C30)^2</f>
        <v>1.2399140156924735E-2</v>
      </c>
      <c r="E30">
        <f>ABS(B30-C30)</f>
        <v>0.11135142638028817</v>
      </c>
      <c r="J30" s="6" t="s">
        <v>236</v>
      </c>
      <c r="K30" s="6">
        <v>1.09706817012179E-4</v>
      </c>
    </row>
    <row r="31" spans="1:11">
      <c r="A31">
        <v>10</v>
      </c>
      <c r="B31">
        <v>0</v>
      </c>
      <c r="C31">
        <f t="shared" ref="C31:C43" si="2">EXP(($K$30*$K$35*A31)-(($K$30*$K$31*$K$36)/($K$37)))</f>
        <v>0.12426271832649589</v>
      </c>
      <c r="D31">
        <f t="shared" ref="D31:D43" si="3">(B31-C31)^2</f>
        <v>1.5441223165890059E-2</v>
      </c>
      <c r="E31">
        <f t="shared" ref="E31:E43" si="4">ABS(B31-C31)</f>
        <v>0.12426271832649589</v>
      </c>
      <c r="J31" s="6" t="s">
        <v>208</v>
      </c>
      <c r="K31" s="6">
        <v>721.805068085519</v>
      </c>
    </row>
    <row r="32" spans="1:11">
      <c r="A32">
        <v>15</v>
      </c>
      <c r="B32">
        <v>0</v>
      </c>
      <c r="C32">
        <f t="shared" si="2"/>
        <v>0.13126936441919193</v>
      </c>
      <c r="D32">
        <f t="shared" si="3"/>
        <v>1.7231646035018613E-2</v>
      </c>
      <c r="E32">
        <f t="shared" si="4"/>
        <v>0.13126936441919193</v>
      </c>
      <c r="G32" s="6" t="s">
        <v>132</v>
      </c>
      <c r="H32" s="6">
        <f>(E44)</f>
        <v>1.7513772186601639</v>
      </c>
    </row>
    <row r="33" spans="1:11">
      <c r="A33">
        <v>20</v>
      </c>
      <c r="B33">
        <v>0</v>
      </c>
      <c r="C33">
        <f t="shared" si="2"/>
        <v>0.13867108547990298</v>
      </c>
      <c r="D33">
        <f t="shared" si="3"/>
        <v>1.9229669948174558E-2</v>
      </c>
      <c r="E33">
        <f t="shared" si="4"/>
        <v>0.13867108547990298</v>
      </c>
      <c r="J33" t="s">
        <v>104</v>
      </c>
      <c r="K33">
        <f>1-(D44/E44)</f>
        <v>0.84175182985776664</v>
      </c>
    </row>
    <row r="34" spans="1:11">
      <c r="A34">
        <v>25</v>
      </c>
      <c r="B34">
        <v>0</v>
      </c>
      <c r="C34">
        <f t="shared" si="2"/>
        <v>0.1464901581054896</v>
      </c>
      <c r="D34">
        <f t="shared" si="3"/>
        <v>2.1459366421771341E-2</v>
      </c>
      <c r="E34">
        <f t="shared" si="4"/>
        <v>0.1464901581054896</v>
      </c>
    </row>
    <row r="35" spans="1:11">
      <c r="A35">
        <v>40</v>
      </c>
      <c r="B35">
        <v>0.01</v>
      </c>
      <c r="C35">
        <f t="shared" si="2"/>
        <v>0.17269352152258255</v>
      </c>
      <c r="D35">
        <f t="shared" si="3"/>
        <v>2.6469181945419029E-2</v>
      </c>
      <c r="E35">
        <f t="shared" si="4"/>
        <v>0.16269352152258254</v>
      </c>
      <c r="J35" t="s">
        <v>12</v>
      </c>
      <c r="K35">
        <v>100</v>
      </c>
    </row>
    <row r="36" spans="1:11">
      <c r="A36">
        <v>70</v>
      </c>
      <c r="B36">
        <v>0.24</v>
      </c>
      <c r="C36">
        <f t="shared" si="2"/>
        <v>0.23999999981902587</v>
      </c>
      <c r="D36">
        <f t="shared" si="3"/>
        <v>3.2751633765714002E-20</v>
      </c>
      <c r="E36">
        <f t="shared" si="4"/>
        <v>1.8097412457507289E-10</v>
      </c>
      <c r="J36" t="s">
        <v>209</v>
      </c>
      <c r="K36">
        <v>4</v>
      </c>
    </row>
    <row r="37" spans="1:11">
      <c r="A37">
        <v>92</v>
      </c>
      <c r="B37">
        <v>0.43</v>
      </c>
      <c r="C37">
        <f t="shared" si="2"/>
        <v>0.305513485496272</v>
      </c>
      <c r="D37">
        <f t="shared" si="3"/>
        <v>1.5496892293286881E-2</v>
      </c>
      <c r="E37">
        <f t="shared" si="4"/>
        <v>0.124486514503728</v>
      </c>
      <c r="J37" t="s">
        <v>210</v>
      </c>
      <c r="K37">
        <v>0.14430000000000001</v>
      </c>
    </row>
    <row r="38" spans="1:11">
      <c r="A38">
        <v>110</v>
      </c>
      <c r="B38">
        <v>0.56000000000000005</v>
      </c>
      <c r="C38">
        <f t="shared" si="2"/>
        <v>0.37221297006666587</v>
      </c>
      <c r="D38">
        <f t="shared" si="3"/>
        <v>3.5263968611182951E-2</v>
      </c>
      <c r="E38">
        <f t="shared" si="4"/>
        <v>0.18778702993333418</v>
      </c>
      <c r="J38" t="s">
        <v>106</v>
      </c>
      <c r="K38">
        <v>14</v>
      </c>
    </row>
    <row r="39" spans="1:11">
      <c r="A39">
        <v>130</v>
      </c>
      <c r="B39">
        <v>0.7</v>
      </c>
      <c r="C39">
        <f t="shared" si="2"/>
        <v>0.46353404053008446</v>
      </c>
      <c r="D39">
        <f t="shared" si="3"/>
        <v>5.591614998802772E-2</v>
      </c>
      <c r="E39">
        <f t="shared" si="4"/>
        <v>0.2364659594699155</v>
      </c>
      <c r="J39" t="s">
        <v>107</v>
      </c>
      <c r="K39">
        <v>2</v>
      </c>
    </row>
    <row r="40" spans="1:11">
      <c r="A40">
        <v>160</v>
      </c>
      <c r="B40">
        <v>0.85</v>
      </c>
      <c r="C40">
        <f t="shared" si="2"/>
        <v>0.64419422722111219</v>
      </c>
      <c r="D40">
        <f t="shared" si="3"/>
        <v>4.2356016109115185E-2</v>
      </c>
      <c r="E40">
        <f t="shared" si="4"/>
        <v>0.20580577277888779</v>
      </c>
    </row>
    <row r="41" spans="1:11">
      <c r="A41">
        <v>180</v>
      </c>
      <c r="B41">
        <v>0.88</v>
      </c>
      <c r="C41">
        <f t="shared" si="2"/>
        <v>0.80224488946872274</v>
      </c>
      <c r="D41">
        <f t="shared" si="3"/>
        <v>6.0458572137311439E-3</v>
      </c>
      <c r="E41">
        <f t="shared" si="4"/>
        <v>7.7755110531277261E-2</v>
      </c>
    </row>
    <row r="42" spans="1:11">
      <c r="A42">
        <v>190</v>
      </c>
      <c r="B42">
        <v>0.89</v>
      </c>
      <c r="C42">
        <f t="shared" si="2"/>
        <v>0.89526586205069092</v>
      </c>
      <c r="D42">
        <f t="shared" si="3"/>
        <v>2.7729303136906634E-5</v>
      </c>
      <c r="E42">
        <f t="shared" si="4"/>
        <v>5.265862050690906E-3</v>
      </c>
    </row>
    <row r="43" spans="1:11">
      <c r="A43">
        <v>200</v>
      </c>
      <c r="B43">
        <v>0.9</v>
      </c>
      <c r="C43">
        <f t="shared" si="2"/>
        <v>0.99907269497740492</v>
      </c>
      <c r="D43">
        <f t="shared" si="3"/>
        <v>9.815398890085909E-3</v>
      </c>
      <c r="E43">
        <f t="shared" si="4"/>
        <v>9.9072694977404896E-2</v>
      </c>
    </row>
    <row r="44" spans="1:11">
      <c r="D44" s="6">
        <f>SUM(D30:D43)</f>
        <v>0.27715224008176498</v>
      </c>
      <c r="E44">
        <f>SUM(E30:E43)</f>
        <v>1.7513772186601639</v>
      </c>
    </row>
    <row r="49" spans="1:11" ht="16.8">
      <c r="A49" s="1" t="s">
        <v>125</v>
      </c>
    </row>
    <row r="50" spans="1:11">
      <c r="B50" t="s">
        <v>63</v>
      </c>
    </row>
    <row r="51" spans="1:11">
      <c r="A51" t="s">
        <v>29</v>
      </c>
      <c r="B51" t="s">
        <v>43</v>
      </c>
      <c r="C51" t="s">
        <v>99</v>
      </c>
      <c r="D51" t="s">
        <v>120</v>
      </c>
      <c r="E51" t="s">
        <v>119</v>
      </c>
    </row>
    <row r="52" spans="1:11">
      <c r="A52">
        <v>0</v>
      </c>
      <c r="B52">
        <v>0</v>
      </c>
      <c r="C52">
        <f>EXP(($K$52*$K$57*A52)-(($K$52*$K$53*$K$58)/($K$59)))</f>
        <v>2.9666336252276462E-2</v>
      </c>
      <c r="D52">
        <f>(B52-C52)^2</f>
        <v>8.8009150663313264E-4</v>
      </c>
      <c r="E52">
        <v>0</v>
      </c>
      <c r="J52" s="6" t="s">
        <v>236</v>
      </c>
      <c r="K52" s="6">
        <v>1.8320412629662199E-4</v>
      </c>
    </row>
    <row r="53" spans="1:11">
      <c r="A53">
        <v>10</v>
      </c>
      <c r="B53">
        <v>0</v>
      </c>
      <c r="C53">
        <f t="shared" ref="C53:C65" si="5">EXP(($K$52*$K$57*A53)-(($K$52*$K$53*$K$58)/($K$59)))</f>
        <v>3.563103649595057E-2</v>
      </c>
      <c r="D53">
        <f t="shared" ref="D53:D65" si="6">(B53-C53)^2</f>
        <v>1.2695707617757614E-3</v>
      </c>
      <c r="E53">
        <v>0</v>
      </c>
      <c r="J53" s="6" t="s">
        <v>208</v>
      </c>
      <c r="K53" s="6">
        <v>692.68393305333598</v>
      </c>
    </row>
    <row r="54" spans="1:11">
      <c r="A54">
        <v>15</v>
      </c>
      <c r="B54">
        <v>0</v>
      </c>
      <c r="C54">
        <f t="shared" si="5"/>
        <v>3.9049072831140667E-2</v>
      </c>
      <c r="D54">
        <f t="shared" si="6"/>
        <v>1.5248300889717282E-3</v>
      </c>
      <c r="E54">
        <v>0</v>
      </c>
    </row>
    <row r="55" spans="1:11">
      <c r="A55">
        <v>20</v>
      </c>
      <c r="B55">
        <v>0</v>
      </c>
      <c r="C55">
        <f t="shared" si="5"/>
        <v>4.279499669185946E-2</v>
      </c>
      <c r="D55">
        <f t="shared" si="6"/>
        <v>1.8314117418562622E-3</v>
      </c>
      <c r="E55">
        <v>0</v>
      </c>
      <c r="G55" s="6" t="s">
        <v>134</v>
      </c>
      <c r="H55" s="6">
        <f>(100/12)*(E66)</f>
        <v>9.2288934463654932</v>
      </c>
    </row>
    <row r="56" spans="1:11">
      <c r="A56">
        <v>25</v>
      </c>
      <c r="B56">
        <v>0</v>
      </c>
      <c r="C56">
        <f t="shared" si="5"/>
        <v>4.6900261877556193E-2</v>
      </c>
      <c r="D56">
        <f t="shared" si="6"/>
        <v>2.1996345641833509E-3</v>
      </c>
      <c r="E56">
        <v>0</v>
      </c>
    </row>
    <row r="57" spans="1:11">
      <c r="A57">
        <v>40</v>
      </c>
      <c r="B57">
        <v>0.01</v>
      </c>
      <c r="C57">
        <f t="shared" si="5"/>
        <v>6.1733667625227161E-2</v>
      </c>
      <c r="D57">
        <f t="shared" si="6"/>
        <v>2.6763723659574768E-3</v>
      </c>
      <c r="E57">
        <f>(B57-C57)^2/B57</f>
        <v>0.26763723659574767</v>
      </c>
      <c r="J57" t="s">
        <v>12</v>
      </c>
      <c r="K57">
        <v>100</v>
      </c>
    </row>
    <row r="58" spans="1:11">
      <c r="A58">
        <v>70</v>
      </c>
      <c r="B58">
        <v>0.24</v>
      </c>
      <c r="C58">
        <f t="shared" si="5"/>
        <v>0.10695859826853876</v>
      </c>
      <c r="D58">
        <f t="shared" si="6"/>
        <v>1.7700014574672056E-2</v>
      </c>
      <c r="E58">
        <f t="shared" ref="E58:E65" si="7">(B58-C58)^2/B58</f>
        <v>7.3750060727800243E-2</v>
      </c>
      <c r="J58" t="s">
        <v>209</v>
      </c>
      <c r="K58">
        <v>4</v>
      </c>
    </row>
    <row r="59" spans="1:11">
      <c r="A59">
        <v>92</v>
      </c>
      <c r="B59">
        <v>0.43</v>
      </c>
      <c r="C59">
        <f t="shared" si="5"/>
        <v>0.16005074246588447</v>
      </c>
      <c r="D59">
        <f t="shared" si="6"/>
        <v>7.2872601643220222E-2</v>
      </c>
      <c r="E59">
        <f t="shared" si="7"/>
        <v>0.16947116661214007</v>
      </c>
      <c r="J59" t="s">
        <v>210</v>
      </c>
      <c r="K59">
        <v>0.14430000000000001</v>
      </c>
    </row>
    <row r="60" spans="1:11">
      <c r="A60">
        <v>110</v>
      </c>
      <c r="B60">
        <v>0.56000000000000005</v>
      </c>
      <c r="C60">
        <f t="shared" si="5"/>
        <v>0.22257371112563618</v>
      </c>
      <c r="D60">
        <f t="shared" si="6"/>
        <v>0.11385650042352566</v>
      </c>
      <c r="E60">
        <f t="shared" si="7"/>
        <v>0.20331517932772436</v>
      </c>
      <c r="J60" t="s">
        <v>106</v>
      </c>
      <c r="K60">
        <v>14</v>
      </c>
    </row>
    <row r="61" spans="1:11">
      <c r="A61">
        <v>130</v>
      </c>
      <c r="B61">
        <v>0.7</v>
      </c>
      <c r="C61">
        <f t="shared" si="5"/>
        <v>0.3210723815141</v>
      </c>
      <c r="D61">
        <f t="shared" si="6"/>
        <v>0.14358614005139575</v>
      </c>
      <c r="E61">
        <f t="shared" si="7"/>
        <v>0.20512305721627966</v>
      </c>
      <c r="J61" t="s">
        <v>107</v>
      </c>
      <c r="K61">
        <v>2</v>
      </c>
    </row>
    <row r="62" spans="1:11">
      <c r="A62">
        <v>160</v>
      </c>
      <c r="B62">
        <v>0.85</v>
      </c>
      <c r="C62">
        <f t="shared" si="5"/>
        <v>0.55628400499334929</v>
      </c>
      <c r="D62">
        <f t="shared" si="6"/>
        <v>8.6269085722746858E-2</v>
      </c>
      <c r="E62">
        <f t="shared" si="7"/>
        <v>0.10149304202676102</v>
      </c>
    </row>
    <row r="63" spans="1:11">
      <c r="A63">
        <v>180</v>
      </c>
      <c r="B63">
        <v>0.88</v>
      </c>
      <c r="C63">
        <f t="shared" si="5"/>
        <v>0.80246417862259434</v>
      </c>
      <c r="D63">
        <f t="shared" si="6"/>
        <v>6.0118035966689578E-3</v>
      </c>
      <c r="E63">
        <f t="shared" si="7"/>
        <v>6.8315949962147243E-3</v>
      </c>
    </row>
    <row r="64" spans="1:11">
      <c r="A64">
        <v>190</v>
      </c>
      <c r="B64">
        <v>0.89</v>
      </c>
      <c r="C64">
        <f t="shared" si="5"/>
        <v>0.96380726598824917</v>
      </c>
      <c r="D64">
        <f t="shared" si="6"/>
        <v>5.4475125126601616E-3</v>
      </c>
      <c r="E64">
        <f t="shared" si="7"/>
        <v>6.1208005760226532E-3</v>
      </c>
    </row>
    <row r="65" spans="1:11">
      <c r="A65">
        <v>200</v>
      </c>
      <c r="B65">
        <v>0.9</v>
      </c>
      <c r="C65">
        <f t="shared" si="5"/>
        <v>1.1575899220401522</v>
      </c>
      <c r="D65">
        <f t="shared" si="6"/>
        <v>6.6352567936651674E-2</v>
      </c>
      <c r="E65">
        <f t="shared" si="7"/>
        <v>7.3725075485168531E-2</v>
      </c>
    </row>
    <row r="66" spans="1:11">
      <c r="D66" s="6">
        <f>SUM(D52:D65)</f>
        <v>0.52247813749091909</v>
      </c>
      <c r="E66">
        <f>SUM(E52:E65)</f>
        <v>1.107467213563859</v>
      </c>
    </row>
    <row r="71" spans="1:11" ht="16.8">
      <c r="A71" s="10" t="s">
        <v>141</v>
      </c>
    </row>
    <row r="72" spans="1:11">
      <c r="B72" t="s">
        <v>63</v>
      </c>
    </row>
    <row r="73" spans="1:11">
      <c r="A73" t="s">
        <v>29</v>
      </c>
      <c r="B73" t="s">
        <v>43</v>
      </c>
      <c r="C73" t="s">
        <v>99</v>
      </c>
      <c r="D73" t="s">
        <v>120</v>
      </c>
      <c r="E73" t="s">
        <v>119</v>
      </c>
    </row>
    <row r="74" spans="1:11">
      <c r="A74">
        <v>0</v>
      </c>
      <c r="B74">
        <v>0</v>
      </c>
      <c r="C74">
        <f>EXP(($K$74*$K$79*A74)-(($K$74*$K$75*$K$80)/($K$81)))</f>
        <v>4.2104805065971531E-3</v>
      </c>
      <c r="D74">
        <f>(B74-C74)^2</f>
        <v>1.7728146096434619E-5</v>
      </c>
      <c r="E74">
        <f>(B74-C$21)^2</f>
        <v>0</v>
      </c>
      <c r="J74" s="6" t="s">
        <v>236</v>
      </c>
      <c r="K74" s="6">
        <v>2.8404190376071499E-4</v>
      </c>
    </row>
    <row r="75" spans="1:11">
      <c r="A75">
        <v>10</v>
      </c>
      <c r="B75">
        <v>0</v>
      </c>
      <c r="C75">
        <f t="shared" ref="C75:C87" si="8">EXP(($K$74*$K$79*A75)-(($K$74*$K$75*$K$80)/($K$81)))</f>
        <v>5.5935753461883366E-3</v>
      </c>
      <c r="D75">
        <f t="shared" ref="D75:D87" si="9">(B75-C75)^2</f>
        <v>3.128808515348597E-5</v>
      </c>
      <c r="E75">
        <f>(B75-C$21)^2</f>
        <v>0</v>
      </c>
      <c r="J75" s="6" t="s">
        <v>208</v>
      </c>
      <c r="K75" s="6">
        <v>694.74498970334105</v>
      </c>
    </row>
    <row r="76" spans="1:11">
      <c r="A76">
        <v>15</v>
      </c>
      <c r="B76">
        <v>0</v>
      </c>
      <c r="C76">
        <f t="shared" si="8"/>
        <v>6.4471594045463773E-3</v>
      </c>
      <c r="D76">
        <f t="shared" si="9"/>
        <v>4.1565864387630801E-5</v>
      </c>
      <c r="E76">
        <f>(B76-C$21)^2</f>
        <v>0</v>
      </c>
    </row>
    <row r="77" spans="1:11">
      <c r="A77">
        <v>20</v>
      </c>
      <c r="B77">
        <v>0</v>
      </c>
      <c r="C77">
        <f t="shared" si="8"/>
        <v>7.4310010708902446E-3</v>
      </c>
      <c r="D77">
        <f t="shared" si="9"/>
        <v>5.5219776915571964E-5</v>
      </c>
      <c r="E77">
        <f>(B77-C$21)^2</f>
        <v>0</v>
      </c>
      <c r="G77" s="6" t="s">
        <v>121</v>
      </c>
      <c r="H77" s="6">
        <f>(100)*(1/12)^(0.5)*(E88)^(0.5)</f>
        <v>52.736991570244385</v>
      </c>
    </row>
    <row r="78" spans="1:11">
      <c r="A78">
        <v>25</v>
      </c>
      <c r="B78">
        <v>0</v>
      </c>
      <c r="C78">
        <f t="shared" si="8"/>
        <v>8.5649777600709451E-3</v>
      </c>
      <c r="D78">
        <f t="shared" si="9"/>
        <v>7.335884403050991E-5</v>
      </c>
      <c r="E78">
        <f>(B78-C$21)^2</f>
        <v>0</v>
      </c>
    </row>
    <row r="79" spans="1:11">
      <c r="A79">
        <v>40</v>
      </c>
      <c r="B79">
        <v>0.01</v>
      </c>
      <c r="C79">
        <f t="shared" si="8"/>
        <v>1.3114839702749213E-2</v>
      </c>
      <c r="D79">
        <f t="shared" si="9"/>
        <v>9.7022263738228018E-6</v>
      </c>
      <c r="E79">
        <f>((B79-C79)/B79)^2</f>
        <v>9.7022263738228032E-2</v>
      </c>
      <c r="J79" t="s">
        <v>12</v>
      </c>
      <c r="K79">
        <v>100</v>
      </c>
    </row>
    <row r="80" spans="1:11">
      <c r="A80">
        <v>70</v>
      </c>
      <c r="B80">
        <v>0.24</v>
      </c>
      <c r="C80">
        <f t="shared" si="8"/>
        <v>3.0749388322088754E-2</v>
      </c>
      <c r="D80">
        <f t="shared" si="9"/>
        <v>4.3785818487580001E-2</v>
      </c>
      <c r="E80">
        <f t="shared" ref="E80:E87" si="10">((B80-C80)/B80)^2</f>
        <v>0.76017045985381959</v>
      </c>
      <c r="J80" t="s">
        <v>209</v>
      </c>
      <c r="K80">
        <v>4</v>
      </c>
    </row>
    <row r="81" spans="1:11">
      <c r="A81">
        <v>92</v>
      </c>
      <c r="B81">
        <v>0.43</v>
      </c>
      <c r="C81">
        <f t="shared" si="8"/>
        <v>5.7441227254535245E-2</v>
      </c>
      <c r="D81">
        <f t="shared" si="9"/>
        <v>0.13880003914960684</v>
      </c>
      <c r="E81">
        <f t="shared" si="10"/>
        <v>0.75067625283724626</v>
      </c>
      <c r="J81" t="s">
        <v>210</v>
      </c>
      <c r="K81">
        <v>0.14430000000000001</v>
      </c>
    </row>
    <row r="82" spans="1:11">
      <c r="A82">
        <v>110</v>
      </c>
      <c r="B82">
        <v>0.56000000000000005</v>
      </c>
      <c r="C82">
        <f t="shared" si="8"/>
        <v>9.5778450504619986E-2</v>
      </c>
      <c r="D82">
        <f t="shared" si="9"/>
        <v>0.21550164701589161</v>
      </c>
      <c r="E82">
        <f t="shared" si="10"/>
        <v>0.68718637441291952</v>
      </c>
      <c r="J82" t="s">
        <v>106</v>
      </c>
      <c r="K82">
        <v>14</v>
      </c>
    </row>
    <row r="83" spans="1:11">
      <c r="A83">
        <v>130</v>
      </c>
      <c r="B83">
        <v>0.7</v>
      </c>
      <c r="C83">
        <f t="shared" si="8"/>
        <v>0.16903765903983456</v>
      </c>
      <c r="D83">
        <f t="shared" si="9"/>
        <v>0.28192100751789889</v>
      </c>
      <c r="E83">
        <f t="shared" si="10"/>
        <v>0.57534899493448766</v>
      </c>
      <c r="J83" t="s">
        <v>107</v>
      </c>
      <c r="K83">
        <v>2</v>
      </c>
    </row>
    <row r="84" spans="1:11">
      <c r="A84">
        <v>160</v>
      </c>
      <c r="B84">
        <v>0.85</v>
      </c>
      <c r="C84">
        <f t="shared" si="8"/>
        <v>0.39633001521041172</v>
      </c>
      <c r="D84">
        <f t="shared" si="9"/>
        <v>0.20581645509898525</v>
      </c>
      <c r="E84">
        <f t="shared" si="10"/>
        <v>0.28486706588094846</v>
      </c>
    </row>
    <row r="85" spans="1:11">
      <c r="A85">
        <v>180</v>
      </c>
      <c r="B85">
        <v>0.88</v>
      </c>
      <c r="C85">
        <f t="shared" si="8"/>
        <v>0.69947569234437035</v>
      </c>
      <c r="D85">
        <f t="shared" si="9"/>
        <v>3.2589025654544426E-2</v>
      </c>
      <c r="E85">
        <f t="shared" si="10"/>
        <v>4.2082936020847665E-2</v>
      </c>
    </row>
    <row r="86" spans="1:11">
      <c r="A86">
        <v>190</v>
      </c>
      <c r="B86">
        <v>0.89</v>
      </c>
      <c r="C86">
        <f t="shared" si="8"/>
        <v>0.92924548203586488</v>
      </c>
      <c r="D86">
        <f t="shared" si="9"/>
        <v>1.5402078602273917E-3</v>
      </c>
      <c r="E86">
        <f t="shared" si="10"/>
        <v>1.9444613814258199E-3</v>
      </c>
    </row>
    <row r="87" spans="1:11">
      <c r="A87">
        <v>200</v>
      </c>
      <c r="B87">
        <v>0.9</v>
      </c>
      <c r="C87">
        <f t="shared" si="8"/>
        <v>1.2344920278644156</v>
      </c>
      <c r="D87">
        <f t="shared" si="9"/>
        <v>0.11188491670484896</v>
      </c>
      <c r="E87">
        <f t="shared" si="10"/>
        <v>0.13812952679610982</v>
      </c>
    </row>
    <row r="88" spans="1:11">
      <c r="D88" s="6">
        <f>SUM(D74:D87)</f>
        <v>1.0320679804325408</v>
      </c>
      <c r="E88">
        <f>SUM(E74:E87)</f>
        <v>3.3374283358560328</v>
      </c>
    </row>
    <row r="92" spans="1:11">
      <c r="B92" t="s">
        <v>130</v>
      </c>
    </row>
    <row r="93" spans="1:11">
      <c r="A93" t="s">
        <v>29</v>
      </c>
      <c r="B93" t="s">
        <v>43</v>
      </c>
      <c r="C93" t="s">
        <v>99</v>
      </c>
      <c r="D93" t="s">
        <v>120</v>
      </c>
      <c r="E93" t="s">
        <v>137</v>
      </c>
    </row>
    <row r="94" spans="1:11">
      <c r="A94">
        <v>0</v>
      </c>
      <c r="B94">
        <v>0</v>
      </c>
      <c r="C94">
        <f>EXP(($K$94*$K$99*A94)-(($K$94*$K$95*$K$100)/($K$101)))</f>
        <v>4.1799148131047036E-2</v>
      </c>
      <c r="D94">
        <f>(B94-C94)^2</f>
        <v>1.747168784481213E-3</v>
      </c>
      <c r="E94">
        <f>ABS(B94-C94)</f>
        <v>4.1799148131047036E-2</v>
      </c>
      <c r="F94" s="11"/>
      <c r="J94" s="6" t="s">
        <v>236</v>
      </c>
      <c r="K94" s="6">
        <v>1.1156890093264201E-4</v>
      </c>
    </row>
    <row r="95" spans="1:11">
      <c r="A95">
        <v>20</v>
      </c>
      <c r="B95">
        <v>0</v>
      </c>
      <c r="C95">
        <f t="shared" ref="C95:C111" si="11">EXP(($K$94*$K$99*A95)-(($K$94*$K$95*$K$100)/($K$101)))</f>
        <v>5.2248634762088214E-2</v>
      </c>
      <c r="D95">
        <f t="shared" ref="D95:D111" si="12">(B95-C95)^2</f>
        <v>2.7299198345020928E-3</v>
      </c>
      <c r="E95">
        <f t="shared" ref="E95:E111" si="13">ABS(B95-C95)</f>
        <v>5.2248634762088214E-2</v>
      </c>
      <c r="J95" s="6" t="s">
        <v>208</v>
      </c>
      <c r="K95" s="6">
        <v>1026.9300537824499</v>
      </c>
    </row>
    <row r="96" spans="1:11">
      <c r="A96">
        <v>30</v>
      </c>
      <c r="B96">
        <v>0</v>
      </c>
      <c r="C96">
        <f t="shared" si="11"/>
        <v>5.8415581600851078E-2</v>
      </c>
      <c r="D96">
        <f t="shared" si="12"/>
        <v>3.4123801737656911E-3</v>
      </c>
      <c r="E96">
        <f t="shared" si="13"/>
        <v>5.8415581600851078E-2</v>
      </c>
    </row>
    <row r="97" spans="1:11">
      <c r="A97">
        <v>40</v>
      </c>
      <c r="B97">
        <v>0</v>
      </c>
      <c r="C97">
        <f t="shared" si="11"/>
        <v>6.5310417952618494E-2</v>
      </c>
      <c r="D97">
        <f t="shared" si="12"/>
        <v>4.2654506931457123E-3</v>
      </c>
      <c r="E97">
        <f t="shared" si="13"/>
        <v>6.5310417952618494E-2</v>
      </c>
      <c r="G97" s="6" t="s">
        <v>132</v>
      </c>
      <c r="H97" s="6">
        <f>E112</f>
        <v>1.8427015057894227</v>
      </c>
    </row>
    <row r="98" spans="1:11">
      <c r="A98">
        <v>50</v>
      </c>
      <c r="B98">
        <v>0</v>
      </c>
      <c r="C98">
        <f t="shared" si="11"/>
        <v>7.3019057180517141E-2</v>
      </c>
      <c r="D98">
        <f t="shared" si="12"/>
        <v>5.3317827115316315E-3</v>
      </c>
      <c r="E98">
        <f t="shared" si="13"/>
        <v>7.3019057180517141E-2</v>
      </c>
    </row>
    <row r="99" spans="1:11">
      <c r="A99">
        <v>60</v>
      </c>
      <c r="B99">
        <v>0</v>
      </c>
      <c r="C99">
        <f t="shared" si="11"/>
        <v>8.1637553068481999E-2</v>
      </c>
      <c r="D99">
        <f t="shared" si="12"/>
        <v>6.664690071009215E-3</v>
      </c>
      <c r="E99">
        <f t="shared" si="13"/>
        <v>8.1637553068481999E-2</v>
      </c>
      <c r="J99" t="s">
        <v>12</v>
      </c>
      <c r="K99">
        <v>100</v>
      </c>
    </row>
    <row r="100" spans="1:11">
      <c r="A100">
        <v>70</v>
      </c>
      <c r="B100">
        <v>0</v>
      </c>
      <c r="C100">
        <f t="shared" si="11"/>
        <v>9.127329670298015E-2</v>
      </c>
      <c r="D100">
        <f t="shared" si="12"/>
        <v>8.3308146910302475E-3</v>
      </c>
      <c r="E100">
        <f t="shared" si="13"/>
        <v>9.127329670298015E-2</v>
      </c>
      <c r="J100" t="s">
        <v>209</v>
      </c>
      <c r="K100">
        <v>8</v>
      </c>
    </row>
    <row r="101" spans="1:11">
      <c r="A101">
        <v>80</v>
      </c>
      <c r="B101">
        <v>0</v>
      </c>
      <c r="C101">
        <f t="shared" si="11"/>
        <v>0.10204635462361188</v>
      </c>
      <c r="D101">
        <f t="shared" si="12"/>
        <v>1.0413458491967953E-2</v>
      </c>
      <c r="E101">
        <f t="shared" si="13"/>
        <v>0.10204635462361188</v>
      </c>
      <c r="J101" t="s">
        <v>210</v>
      </c>
      <c r="K101">
        <v>0.28870000000000001</v>
      </c>
    </row>
    <row r="102" spans="1:11">
      <c r="A102">
        <v>115</v>
      </c>
      <c r="B102">
        <v>0.01</v>
      </c>
      <c r="C102">
        <f t="shared" si="11"/>
        <v>0.15079455091550212</v>
      </c>
      <c r="D102">
        <f t="shared" si="12"/>
        <v>1.9823105567497917E-2</v>
      </c>
      <c r="E102">
        <f t="shared" si="13"/>
        <v>0.14079455091550211</v>
      </c>
      <c r="J102" t="s">
        <v>106</v>
      </c>
      <c r="K102">
        <v>18</v>
      </c>
    </row>
    <row r="103" spans="1:11">
      <c r="A103">
        <v>140</v>
      </c>
      <c r="B103">
        <v>0.08</v>
      </c>
      <c r="C103">
        <f t="shared" si="11"/>
        <v>0.19930584864820233</v>
      </c>
      <c r="D103">
        <f t="shared" si="12"/>
        <v>1.4233885521667763E-2</v>
      </c>
      <c r="E103">
        <f t="shared" si="13"/>
        <v>0.11930584864820233</v>
      </c>
      <c r="J103" t="s">
        <v>107</v>
      </c>
      <c r="K103">
        <v>2</v>
      </c>
    </row>
    <row r="104" spans="1:11">
      <c r="A104">
        <v>170</v>
      </c>
      <c r="B104">
        <v>0.3</v>
      </c>
      <c r="C104">
        <f t="shared" si="11"/>
        <v>0.27853598902864296</v>
      </c>
      <c r="D104">
        <f t="shared" si="12"/>
        <v>4.6070376697853485E-4</v>
      </c>
      <c r="E104">
        <f t="shared" si="13"/>
        <v>2.1464010971357028E-2</v>
      </c>
    </row>
    <row r="105" spans="1:11">
      <c r="A105">
        <v>195</v>
      </c>
      <c r="B105">
        <v>0.49</v>
      </c>
      <c r="C105">
        <f t="shared" si="11"/>
        <v>0.36814229251246156</v>
      </c>
      <c r="D105">
        <f t="shared" si="12"/>
        <v>1.4849300874118482E-2</v>
      </c>
      <c r="E105">
        <f t="shared" si="13"/>
        <v>0.12185770748753844</v>
      </c>
    </row>
    <row r="106" spans="1:11">
      <c r="A106">
        <v>210</v>
      </c>
      <c r="B106">
        <v>0.6</v>
      </c>
      <c r="C106">
        <f t="shared" si="11"/>
        <v>0.43520747842214347</v>
      </c>
      <c r="D106">
        <f t="shared" si="12"/>
        <v>2.7156575167988303E-2</v>
      </c>
      <c r="E106">
        <f t="shared" si="13"/>
        <v>0.16479252157785651</v>
      </c>
    </row>
    <row r="107" spans="1:11">
      <c r="A107">
        <v>230</v>
      </c>
      <c r="B107">
        <v>0.71</v>
      </c>
      <c r="C107">
        <f t="shared" si="11"/>
        <v>0.54400622028270906</v>
      </c>
      <c r="D107">
        <f t="shared" si="12"/>
        <v>2.7553934904832496E-2</v>
      </c>
      <c r="E107">
        <f t="shared" si="13"/>
        <v>0.1659937797172909</v>
      </c>
    </row>
    <row r="108" spans="1:11">
      <c r="A108">
        <v>250</v>
      </c>
      <c r="B108">
        <v>0.8</v>
      </c>
      <c r="C108">
        <f t="shared" si="11"/>
        <v>0.68000386569465188</v>
      </c>
      <c r="D108">
        <f t="shared" si="12"/>
        <v>1.4399072248227155E-2</v>
      </c>
      <c r="E108">
        <f t="shared" si="13"/>
        <v>0.11999613430534817</v>
      </c>
    </row>
    <row r="109" spans="1:11">
      <c r="A109">
        <v>270</v>
      </c>
      <c r="B109">
        <v>0.85</v>
      </c>
      <c r="C109">
        <f t="shared" si="11"/>
        <v>0.84999994507299514</v>
      </c>
      <c r="D109">
        <f t="shared" si="12"/>
        <v>3.0169758599615737E-15</v>
      </c>
      <c r="E109">
        <f t="shared" si="13"/>
        <v>5.4927004833338344E-8</v>
      </c>
    </row>
    <row r="110" spans="1:11">
      <c r="A110">
        <v>285</v>
      </c>
      <c r="B110">
        <v>0.87</v>
      </c>
      <c r="C110">
        <f t="shared" si="11"/>
        <v>1.0048460616397572</v>
      </c>
      <c r="D110">
        <f t="shared" si="12"/>
        <v>1.81834603397532E-2</v>
      </c>
      <c r="E110">
        <f t="shared" si="13"/>
        <v>0.13484606163975721</v>
      </c>
    </row>
    <row r="111" spans="1:11">
      <c r="A111">
        <v>300</v>
      </c>
      <c r="B111">
        <v>0.9</v>
      </c>
      <c r="C111">
        <f t="shared" si="11"/>
        <v>1.1879007915773692</v>
      </c>
      <c r="D111">
        <f t="shared" si="12"/>
        <v>8.2886865790875744E-2</v>
      </c>
      <c r="E111">
        <f t="shared" si="13"/>
        <v>0.28790079157736914</v>
      </c>
    </row>
    <row r="112" spans="1:11">
      <c r="D112" s="6">
        <f>SUM(D94:D111)</f>
        <v>0.26244256963337637</v>
      </c>
      <c r="E112" s="11">
        <f>SUM(E94:E111)</f>
        <v>1.8427015057894227</v>
      </c>
    </row>
    <row r="117" spans="1:11" ht="16.8">
      <c r="A117" s="10" t="s">
        <v>141</v>
      </c>
    </row>
    <row r="118" spans="1:11">
      <c r="B118" t="s">
        <v>130</v>
      </c>
    </row>
    <row r="119" spans="1:11">
      <c r="A119" t="s">
        <v>29</v>
      </c>
      <c r="B119" t="s">
        <v>43</v>
      </c>
      <c r="C119" t="s">
        <v>99</v>
      </c>
      <c r="D119" t="s">
        <v>120</v>
      </c>
      <c r="E119" t="s">
        <v>119</v>
      </c>
    </row>
    <row r="120" spans="1:11">
      <c r="A120">
        <v>0</v>
      </c>
      <c r="B120">
        <v>0</v>
      </c>
      <c r="C120">
        <f>EXP(($K$120*$K$125*A120)-(($K$120*$K$121*$K$126)/($K$127)))</f>
        <v>8.8416774038785329E-4</v>
      </c>
      <c r="D120">
        <f>(B120-C120)^2</f>
        <v>7.8175259314256237E-7</v>
      </c>
      <c r="E120">
        <f>(B120-C$46)^2</f>
        <v>0</v>
      </c>
      <c r="J120" s="6" t="s">
        <v>236</v>
      </c>
      <c r="K120" s="6">
        <v>2.4349347120221899E-4</v>
      </c>
    </row>
    <row r="121" spans="1:11">
      <c r="A121">
        <v>20</v>
      </c>
      <c r="B121">
        <v>0</v>
      </c>
      <c r="C121">
        <f t="shared" ref="C121:C137" si="14">EXP(($K$120*$K$125*A121)-(($K$120*$K$121*$K$126)/($K$127)))</f>
        <v>1.438899319173298E-3</v>
      </c>
      <c r="D121">
        <f t="shared" ref="D121:D137" si="15">(B121-C121)^2</f>
        <v>2.0704312507173808E-6</v>
      </c>
      <c r="E121">
        <f t="shared" ref="E121:E127" si="16">(B121-C$46)^2</f>
        <v>0</v>
      </c>
      <c r="J121" s="6" t="s">
        <v>208</v>
      </c>
      <c r="K121" s="6">
        <v>1042.0250479393601</v>
      </c>
    </row>
    <row r="122" spans="1:11">
      <c r="A122">
        <v>30</v>
      </c>
      <c r="B122">
        <v>0</v>
      </c>
      <c r="C122">
        <f t="shared" si="14"/>
        <v>1.8356009678993596E-3</v>
      </c>
      <c r="D122">
        <f t="shared" si="15"/>
        <v>3.3694309133530659E-6</v>
      </c>
      <c r="E122">
        <f t="shared" si="16"/>
        <v>0</v>
      </c>
    </row>
    <row r="123" spans="1:11">
      <c r="A123">
        <v>40</v>
      </c>
      <c r="B123">
        <v>0</v>
      </c>
      <c r="C123">
        <f t="shared" si="14"/>
        <v>2.3416724634277596E-3</v>
      </c>
      <c r="D123">
        <f t="shared" si="15"/>
        <v>5.4834299259758327E-6</v>
      </c>
      <c r="E123">
        <f t="shared" si="16"/>
        <v>0</v>
      </c>
      <c r="G123" s="6" t="s">
        <v>121</v>
      </c>
      <c r="H123" s="6">
        <f>(100)*(1/16)^(0.5)*(E138)^(0.5)</f>
        <v>46.733708599650619</v>
      </c>
    </row>
    <row r="124" spans="1:11">
      <c r="A124">
        <v>50</v>
      </c>
      <c r="B124">
        <v>0</v>
      </c>
      <c r="C124">
        <f t="shared" si="14"/>
        <v>2.987266852583438E-3</v>
      </c>
      <c r="D124">
        <f t="shared" si="15"/>
        <v>8.9237632485437593E-6</v>
      </c>
      <c r="E124">
        <f t="shared" si="16"/>
        <v>0</v>
      </c>
    </row>
    <row r="125" spans="1:11">
      <c r="A125">
        <v>60</v>
      </c>
      <c r="B125">
        <v>0</v>
      </c>
      <c r="C125">
        <f t="shared" si="14"/>
        <v>3.8108503165643795E-3</v>
      </c>
      <c r="D125">
        <f t="shared" si="15"/>
        <v>1.4522580135258831E-5</v>
      </c>
      <c r="E125">
        <f t="shared" si="16"/>
        <v>0</v>
      </c>
      <c r="J125" t="s">
        <v>12</v>
      </c>
      <c r="K125">
        <v>100</v>
      </c>
    </row>
    <row r="126" spans="1:11">
      <c r="A126">
        <v>70</v>
      </c>
      <c r="B126">
        <v>0</v>
      </c>
      <c r="C126">
        <f t="shared" si="14"/>
        <v>4.8614940853708676E-3</v>
      </c>
      <c r="D126">
        <f t="shared" si="15"/>
        <v>2.363412474209593E-5</v>
      </c>
      <c r="E126">
        <f t="shared" si="16"/>
        <v>0</v>
      </c>
      <c r="J126" t="s">
        <v>209</v>
      </c>
      <c r="K126">
        <v>8</v>
      </c>
    </row>
    <row r="127" spans="1:11">
      <c r="A127">
        <v>80</v>
      </c>
      <c r="B127">
        <v>0</v>
      </c>
      <c r="C127">
        <f t="shared" si="14"/>
        <v>6.2017982284339442E-3</v>
      </c>
      <c r="D127">
        <f t="shared" si="15"/>
        <v>3.8462301266206411E-5</v>
      </c>
      <c r="E127">
        <f t="shared" si="16"/>
        <v>0</v>
      </c>
      <c r="J127" t="s">
        <v>210</v>
      </c>
      <c r="K127">
        <v>0.28870000000000001</v>
      </c>
    </row>
    <row r="128" spans="1:11">
      <c r="A128">
        <v>115</v>
      </c>
      <c r="B128">
        <v>0.01</v>
      </c>
      <c r="C128">
        <f t="shared" si="14"/>
        <v>1.4542369688842979E-2</v>
      </c>
      <c r="D128">
        <f t="shared" si="15"/>
        <v>2.0633122390119456E-5</v>
      </c>
      <c r="E128">
        <f>((B128-C128)/B128)^2</f>
        <v>0.20633122390119454</v>
      </c>
      <c r="J128" t="s">
        <v>106</v>
      </c>
      <c r="K128">
        <v>18</v>
      </c>
    </row>
    <row r="129" spans="1:11">
      <c r="A129">
        <v>140</v>
      </c>
      <c r="B129">
        <v>0.08</v>
      </c>
      <c r="C129">
        <f t="shared" si="14"/>
        <v>2.6730363100251141E-2</v>
      </c>
      <c r="D129">
        <f t="shared" si="15"/>
        <v>2.8376542154310855E-3</v>
      </c>
      <c r="E129">
        <f t="shared" ref="E129:E137" si="17">((B129-C129)/B129)^2</f>
        <v>0.4433834711611071</v>
      </c>
      <c r="J129" t="s">
        <v>107</v>
      </c>
      <c r="K129">
        <v>2</v>
      </c>
    </row>
    <row r="130" spans="1:11">
      <c r="A130">
        <v>170</v>
      </c>
      <c r="B130">
        <v>0.3</v>
      </c>
      <c r="C130">
        <f t="shared" si="14"/>
        <v>5.5494311925018511E-2</v>
      </c>
      <c r="D130">
        <f t="shared" si="15"/>
        <v>5.9783031501020135E-2</v>
      </c>
      <c r="E130">
        <f t="shared" si="17"/>
        <v>0.6642559055668904</v>
      </c>
    </row>
    <row r="131" spans="1:11">
      <c r="A131">
        <v>195</v>
      </c>
      <c r="B131">
        <v>0.49</v>
      </c>
      <c r="C131">
        <f t="shared" si="14"/>
        <v>0.10200422211054115</v>
      </c>
      <c r="D131">
        <f t="shared" si="15"/>
        <v>0.15054072366004626</v>
      </c>
      <c r="E131">
        <f t="shared" si="17"/>
        <v>0.62699176867990947</v>
      </c>
    </row>
    <row r="132" spans="1:11">
      <c r="A132">
        <v>210</v>
      </c>
      <c r="B132">
        <v>0.6</v>
      </c>
      <c r="C132">
        <f t="shared" si="14"/>
        <v>0.14697381071003826</v>
      </c>
      <c r="D132">
        <f t="shared" si="15"/>
        <v>0.20523272818258426</v>
      </c>
      <c r="E132">
        <f t="shared" si="17"/>
        <v>0.57009091161828962</v>
      </c>
    </row>
    <row r="133" spans="1:11">
      <c r="A133">
        <v>230</v>
      </c>
      <c r="B133">
        <v>0.71</v>
      </c>
      <c r="C133">
        <f t="shared" si="14"/>
        <v>0.23918596721727273</v>
      </c>
      <c r="D133">
        <f t="shared" si="15"/>
        <v>0.22166585346513498</v>
      </c>
      <c r="E133">
        <f t="shared" si="17"/>
        <v>0.43972595410659598</v>
      </c>
    </row>
    <row r="134" spans="1:11">
      <c r="A134">
        <v>250</v>
      </c>
      <c r="B134">
        <v>0.8</v>
      </c>
      <c r="C134">
        <f t="shared" si="14"/>
        <v>0.38925252490411788</v>
      </c>
      <c r="D134">
        <f t="shared" si="15"/>
        <v>0.16871348829764235</v>
      </c>
      <c r="E134">
        <f t="shared" si="17"/>
        <v>0.26361482546506609</v>
      </c>
    </row>
    <row r="135" spans="1:11">
      <c r="A135">
        <v>270</v>
      </c>
      <c r="B135">
        <v>0.85</v>
      </c>
      <c r="C135">
        <f t="shared" si="14"/>
        <v>0.6334716451262159</v>
      </c>
      <c r="D135">
        <f t="shared" si="15"/>
        <v>4.6884528464347375E-2</v>
      </c>
      <c r="E135">
        <f t="shared" si="17"/>
        <v>6.4892080919511944E-2</v>
      </c>
    </row>
    <row r="136" spans="1:11">
      <c r="A136">
        <v>285</v>
      </c>
      <c r="B136">
        <v>0.87</v>
      </c>
      <c r="C136">
        <f t="shared" si="14"/>
        <v>0.91274399955779406</v>
      </c>
      <c r="D136">
        <f t="shared" si="15"/>
        <v>1.8270494981966992E-3</v>
      </c>
      <c r="E136">
        <f t="shared" si="17"/>
        <v>2.4138584994011086E-3</v>
      </c>
    </row>
    <row r="137" spans="1:11">
      <c r="A137">
        <v>300</v>
      </c>
      <c r="B137">
        <v>0.9</v>
      </c>
      <c r="C137">
        <f t="shared" si="14"/>
        <v>1.3151363839856909</v>
      </c>
      <c r="D137">
        <f t="shared" si="15"/>
        <v>0.17233821730871496</v>
      </c>
      <c r="E137">
        <f t="shared" si="17"/>
        <v>0.21276323124532712</v>
      </c>
    </row>
    <row r="138" spans="1:11">
      <c r="D138">
        <f>SUM(D120:D137)</f>
        <v>1.0299411555295834</v>
      </c>
      <c r="E138">
        <f>SUM(E120:E137)</f>
        <v>3.4944632311632935</v>
      </c>
    </row>
    <row r="145" spans="1:11" ht="16.8">
      <c r="A145" s="1" t="s">
        <v>177</v>
      </c>
    </row>
    <row r="146" spans="1:11">
      <c r="B146" t="s">
        <v>130</v>
      </c>
    </row>
    <row r="147" spans="1:11">
      <c r="A147" t="s">
        <v>29</v>
      </c>
      <c r="B147" t="s">
        <v>43</v>
      </c>
      <c r="C147" t="s">
        <v>99</v>
      </c>
      <c r="D147" t="s">
        <v>120</v>
      </c>
    </row>
    <row r="148" spans="1:11">
      <c r="A148">
        <v>0</v>
      </c>
      <c r="B148">
        <v>0</v>
      </c>
      <c r="C148">
        <f>EXP(($K$148*$K$153*A148)-(($K$148*$K$149*$K$154)/($K$155)))</f>
        <v>5.2730954590587707E-2</v>
      </c>
      <c r="D148">
        <f>(B148-C148)^2</f>
        <v>2.7805535720346226E-3</v>
      </c>
      <c r="J148" s="6" t="s">
        <v>236</v>
      </c>
      <c r="K148" s="6">
        <v>1.0066208890141601E-4</v>
      </c>
    </row>
    <row r="149" spans="1:11">
      <c r="A149">
        <v>20</v>
      </c>
      <c r="B149">
        <v>0</v>
      </c>
      <c r="C149">
        <f t="shared" ref="C149:C165" si="18">EXP(($K$148*$K$153*A149)-(($K$148*$K$149*$K$154)/($K$155)))</f>
        <v>6.4491074510823129E-2</v>
      </c>
      <c r="D149">
        <f t="shared" ref="D149:D165" si="19">(B149-C149)^2</f>
        <v>4.1590986915605406E-3</v>
      </c>
      <c r="J149" s="6" t="s">
        <v>208</v>
      </c>
      <c r="K149" s="6">
        <v>1054.9092405476499</v>
      </c>
    </row>
    <row r="150" spans="1:11">
      <c r="A150">
        <v>30</v>
      </c>
      <c r="B150">
        <v>0</v>
      </c>
      <c r="C150">
        <f t="shared" si="18"/>
        <v>7.1320865149347212E-2</v>
      </c>
      <c r="D150">
        <f t="shared" si="19"/>
        <v>5.08666580565137E-3</v>
      </c>
    </row>
    <row r="151" spans="1:11">
      <c r="A151">
        <v>40</v>
      </c>
      <c r="B151">
        <v>0</v>
      </c>
      <c r="C151">
        <f t="shared" si="18"/>
        <v>7.8873950298311582E-2</v>
      </c>
      <c r="D151">
        <f t="shared" si="19"/>
        <v>6.221100035660526E-3</v>
      </c>
      <c r="F151" s="6" t="s">
        <v>100</v>
      </c>
      <c r="G151" s="6">
        <f>(D166)</f>
        <v>0.23486890662480153</v>
      </c>
    </row>
    <row r="152" spans="1:11">
      <c r="A152">
        <v>50</v>
      </c>
      <c r="B152">
        <v>0</v>
      </c>
      <c r="C152">
        <f t="shared" si="18"/>
        <v>8.7226928930733305E-2</v>
      </c>
      <c r="D152">
        <f t="shared" si="19"/>
        <v>7.6085371306871992E-3</v>
      </c>
    </row>
    <row r="153" spans="1:11">
      <c r="A153">
        <v>60</v>
      </c>
      <c r="B153">
        <v>0</v>
      </c>
      <c r="C153">
        <f t="shared" si="18"/>
        <v>9.6464512071611996E-2</v>
      </c>
      <c r="D153">
        <f t="shared" si="19"/>
        <v>9.3054020892141768E-3</v>
      </c>
      <c r="J153" t="s">
        <v>12</v>
      </c>
      <c r="K153">
        <v>100</v>
      </c>
    </row>
    <row r="154" spans="1:11">
      <c r="A154">
        <v>70</v>
      </c>
      <c r="B154">
        <v>0</v>
      </c>
      <c r="C154">
        <f t="shared" si="18"/>
        <v>0.10668038188761145</v>
      </c>
      <c r="D154">
        <f t="shared" si="19"/>
        <v>1.1380703879686616E-2</v>
      </c>
      <c r="J154" t="s">
        <v>209</v>
      </c>
      <c r="K154">
        <v>8</v>
      </c>
    </row>
    <row r="155" spans="1:11">
      <c r="A155">
        <v>80</v>
      </c>
      <c r="B155">
        <v>0</v>
      </c>
      <c r="C155">
        <f t="shared" si="18"/>
        <v>0.11797814175681486</v>
      </c>
      <c r="D155">
        <f t="shared" si="19"/>
        <v>1.3918841932391101E-2</v>
      </c>
      <c r="J155" t="s">
        <v>210</v>
      </c>
      <c r="K155">
        <v>0.28870000000000001</v>
      </c>
    </row>
    <row r="156" spans="1:11">
      <c r="A156">
        <v>115</v>
      </c>
      <c r="B156">
        <v>0.01</v>
      </c>
      <c r="C156">
        <f t="shared" si="18"/>
        <v>0.16780736407793576</v>
      </c>
      <c r="D156">
        <f t="shared" si="19"/>
        <v>2.4903164157226165E-2</v>
      </c>
      <c r="J156" t="s">
        <v>106</v>
      </c>
      <c r="K156">
        <v>18</v>
      </c>
    </row>
    <row r="157" spans="1:11">
      <c r="A157">
        <v>140</v>
      </c>
      <c r="B157">
        <v>0.08</v>
      </c>
      <c r="C157">
        <f t="shared" si="18"/>
        <v>0.21582586486530311</v>
      </c>
      <c r="D157">
        <f t="shared" si="19"/>
        <v>1.8448665566407587E-2</v>
      </c>
      <c r="J157" t="s">
        <v>107</v>
      </c>
      <c r="K157">
        <v>2</v>
      </c>
    </row>
    <row r="158" spans="1:11">
      <c r="A158">
        <v>170</v>
      </c>
      <c r="B158">
        <v>0.3</v>
      </c>
      <c r="C158">
        <f t="shared" si="18"/>
        <v>0.29191368757331576</v>
      </c>
      <c r="D158">
        <f t="shared" si="19"/>
        <v>6.5388448661947768E-5</v>
      </c>
    </row>
    <row r="159" spans="1:11">
      <c r="A159">
        <v>195</v>
      </c>
      <c r="B159">
        <v>0.49</v>
      </c>
      <c r="C159">
        <f t="shared" si="18"/>
        <v>0.37544552608114462</v>
      </c>
      <c r="D159">
        <f t="shared" si="19"/>
        <v>1.3122727494825716E-2</v>
      </c>
    </row>
    <row r="160" spans="1:11">
      <c r="A160">
        <v>210</v>
      </c>
      <c r="B160">
        <v>0.6</v>
      </c>
      <c r="C160">
        <f t="shared" si="18"/>
        <v>0.43663889386831489</v>
      </c>
      <c r="D160">
        <f t="shared" si="19"/>
        <v>2.6686850996567677E-2</v>
      </c>
    </row>
    <row r="161" spans="1:11">
      <c r="A161">
        <v>230</v>
      </c>
      <c r="B161">
        <v>0.71</v>
      </c>
      <c r="C161">
        <f t="shared" si="18"/>
        <v>0.53401861690953012</v>
      </c>
      <c r="D161">
        <f t="shared" si="19"/>
        <v>3.0969447194434705E-2</v>
      </c>
    </row>
    <row r="162" spans="1:11">
      <c r="A162">
        <v>250</v>
      </c>
      <c r="B162">
        <v>0.8</v>
      </c>
      <c r="C162">
        <f t="shared" si="18"/>
        <v>0.65311608106989472</v>
      </c>
      <c r="D162">
        <f t="shared" si="19"/>
        <v>2.1574885640265756E-2</v>
      </c>
    </row>
    <row r="163" spans="1:11">
      <c r="A163">
        <v>270</v>
      </c>
      <c r="B163">
        <v>0.85</v>
      </c>
      <c r="C163">
        <f t="shared" si="18"/>
        <v>0.79877480268513246</v>
      </c>
      <c r="D163">
        <f t="shared" si="19"/>
        <v>2.6240208399471105E-3</v>
      </c>
    </row>
    <row r="164" spans="1:11">
      <c r="A164">
        <v>285</v>
      </c>
      <c r="B164">
        <v>0.87</v>
      </c>
      <c r="C164">
        <f t="shared" si="18"/>
        <v>0.92896604717813902</v>
      </c>
      <c r="D164">
        <f t="shared" si="19"/>
        <v>3.4769947198145172E-3</v>
      </c>
    </row>
    <row r="165" spans="1:11">
      <c r="A165">
        <v>300</v>
      </c>
      <c r="B165">
        <v>0.9</v>
      </c>
      <c r="C165">
        <f t="shared" si="18"/>
        <v>1.0803769897458215</v>
      </c>
      <c r="D165">
        <f t="shared" si="19"/>
        <v>3.2535858429764197E-2</v>
      </c>
    </row>
    <row r="166" spans="1:11">
      <c r="D166">
        <f>SUM(D148:D165)</f>
        <v>0.23486890662480153</v>
      </c>
    </row>
    <row r="171" spans="1:11" ht="16.8">
      <c r="A171" s="1" t="s">
        <v>133</v>
      </c>
    </row>
    <row r="172" spans="1:11">
      <c r="B172" t="s">
        <v>130</v>
      </c>
    </row>
    <row r="173" spans="1:11">
      <c r="A173" t="s">
        <v>29</v>
      </c>
      <c r="B173" t="s">
        <v>43</v>
      </c>
      <c r="C173" t="s">
        <v>99</v>
      </c>
      <c r="D173" t="s">
        <v>120</v>
      </c>
      <c r="E173" t="s">
        <v>119</v>
      </c>
    </row>
    <row r="174" spans="1:11">
      <c r="A174">
        <v>0</v>
      </c>
      <c r="B174">
        <v>0</v>
      </c>
      <c r="C174">
        <f>EXP(($K$174*$K$179*A174)-(($K$174*$K$175*$K$180)/($K$181)))</f>
        <v>9.4944915813900983E-3</v>
      </c>
      <c r="D174">
        <f>(B174-C174)^2</f>
        <v>9.0145370389087455E-5</v>
      </c>
      <c r="E174">
        <v>0</v>
      </c>
      <c r="J174" s="6" t="s">
        <v>236</v>
      </c>
      <c r="K174" s="6">
        <v>1.6128422232629801E-4</v>
      </c>
    </row>
    <row r="175" spans="1:11">
      <c r="A175">
        <v>20</v>
      </c>
      <c r="B175">
        <v>0</v>
      </c>
      <c r="C175">
        <f t="shared" ref="C175:C191" si="20">EXP(($K$174*$K$179*A175)-(($K$174*$K$175*$K$180)/($K$181)))</f>
        <v>1.3108753872145124E-2</v>
      </c>
      <c r="D175">
        <f t="shared" ref="D175:D191" si="21">(B175-C175)^2</f>
        <v>1.7183942808047977E-4</v>
      </c>
      <c r="E175">
        <v>0</v>
      </c>
      <c r="J175" s="6" t="s">
        <v>208</v>
      </c>
      <c r="K175" s="6">
        <v>1042.0179620522699</v>
      </c>
    </row>
    <row r="176" spans="1:11">
      <c r="A176">
        <v>30</v>
      </c>
      <c r="B176">
        <v>0</v>
      </c>
      <c r="C176">
        <f t="shared" si="20"/>
        <v>1.5403033397386233E-2</v>
      </c>
      <c r="D176">
        <f t="shared" si="21"/>
        <v>2.3725343784099568E-4</v>
      </c>
      <c r="E176">
        <v>0</v>
      </c>
    </row>
    <row r="177" spans="1:11">
      <c r="A177">
        <v>40</v>
      </c>
      <c r="B177">
        <v>0</v>
      </c>
      <c r="C177">
        <f t="shared" si="20"/>
        <v>1.8098855173803899E-2</v>
      </c>
      <c r="D177">
        <f t="shared" si="21"/>
        <v>3.2756855860232816E-4</v>
      </c>
      <c r="E177">
        <v>0</v>
      </c>
      <c r="G177" s="6" t="s">
        <v>134</v>
      </c>
      <c r="H177" s="6">
        <f>(E192)</f>
        <v>1.0075454329416027</v>
      </c>
    </row>
    <row r="178" spans="1:11">
      <c r="A178">
        <v>50</v>
      </c>
      <c r="B178">
        <v>0</v>
      </c>
      <c r="C178">
        <f t="shared" si="20"/>
        <v>2.1266496679667908E-2</v>
      </c>
      <c r="D178">
        <f t="shared" si="21"/>
        <v>4.5226388102632617E-4</v>
      </c>
      <c r="E178">
        <v>0</v>
      </c>
    </row>
    <row r="179" spans="1:11">
      <c r="A179">
        <v>60</v>
      </c>
      <c r="B179">
        <v>0</v>
      </c>
      <c r="C179">
        <f t="shared" si="20"/>
        <v>2.498853527934343E-2</v>
      </c>
      <c r="D179">
        <f t="shared" si="21"/>
        <v>6.2442689540699126E-4</v>
      </c>
      <c r="E179">
        <v>0</v>
      </c>
      <c r="J179" t="s">
        <v>12</v>
      </c>
      <c r="K179">
        <v>100</v>
      </c>
    </row>
    <row r="180" spans="1:11">
      <c r="A180">
        <v>70</v>
      </c>
      <c r="B180">
        <v>0</v>
      </c>
      <c r="C180">
        <f t="shared" si="20"/>
        <v>2.9362000935677486E-2</v>
      </c>
      <c r="D180">
        <f t="shared" si="21"/>
        <v>8.6212709894672556E-4</v>
      </c>
      <c r="E180">
        <v>0</v>
      </c>
      <c r="J180" t="s">
        <v>209</v>
      </c>
      <c r="K180">
        <v>8</v>
      </c>
    </row>
    <row r="181" spans="1:11">
      <c r="A181">
        <v>80</v>
      </c>
      <c r="B181">
        <v>0</v>
      </c>
      <c r="C181">
        <f t="shared" si="20"/>
        <v>3.4500905687713357E-2</v>
      </c>
      <c r="D181">
        <f t="shared" si="21"/>
        <v>1.1903124932724919E-3</v>
      </c>
      <c r="E181">
        <v>0</v>
      </c>
      <c r="J181" t="s">
        <v>210</v>
      </c>
      <c r="K181">
        <v>0.28870000000000001</v>
      </c>
    </row>
    <row r="182" spans="1:11">
      <c r="A182">
        <v>115</v>
      </c>
      <c r="B182">
        <v>0.01</v>
      </c>
      <c r="C182">
        <f t="shared" si="20"/>
        <v>6.0671881508913506E-2</v>
      </c>
      <c r="D182">
        <f t="shared" si="21"/>
        <v>2.5676395756533701E-3</v>
      </c>
      <c r="E182">
        <f>(B182-C182)^2/B182</f>
        <v>0.25676395756533699</v>
      </c>
      <c r="J182" t="s">
        <v>106</v>
      </c>
      <c r="K182">
        <v>18</v>
      </c>
    </row>
    <row r="183" spans="1:11">
      <c r="A183">
        <v>140</v>
      </c>
      <c r="B183">
        <v>0.08</v>
      </c>
      <c r="C183">
        <f t="shared" si="20"/>
        <v>9.0802871491987847E-2</v>
      </c>
      <c r="D183">
        <f t="shared" si="21"/>
        <v>1.1670203247240368E-4</v>
      </c>
      <c r="E183">
        <f t="shared" ref="E183:E191" si="22">(B183-C183)^2/B183</f>
        <v>1.4587754059050459E-3</v>
      </c>
      <c r="J183" t="s">
        <v>107</v>
      </c>
      <c r="K183">
        <v>2</v>
      </c>
    </row>
    <row r="184" spans="1:11">
      <c r="A184">
        <v>170</v>
      </c>
      <c r="B184">
        <v>0.3</v>
      </c>
      <c r="C184">
        <f t="shared" si="20"/>
        <v>0.1473106432482488</v>
      </c>
      <c r="D184">
        <f t="shared" si="21"/>
        <v>2.3314039665263547E-2</v>
      </c>
      <c r="E184">
        <f t="shared" si="22"/>
        <v>7.7713465550878491E-2</v>
      </c>
    </row>
    <row r="185" spans="1:11">
      <c r="A185">
        <v>195</v>
      </c>
      <c r="B185">
        <v>0.49</v>
      </c>
      <c r="C185">
        <f t="shared" si="20"/>
        <v>0.22046834671358687</v>
      </c>
      <c r="D185">
        <f t="shared" si="21"/>
        <v>7.2647312123307231E-2</v>
      </c>
      <c r="E185">
        <f t="shared" si="22"/>
        <v>0.14825982065981066</v>
      </c>
    </row>
    <row r="186" spans="1:11">
      <c r="A186">
        <v>210</v>
      </c>
      <c r="B186">
        <v>0.6</v>
      </c>
      <c r="C186">
        <f t="shared" si="20"/>
        <v>0.28081061264363077</v>
      </c>
      <c r="D186">
        <f t="shared" si="21"/>
        <v>0.10188186500093431</v>
      </c>
      <c r="E186">
        <f t="shared" si="22"/>
        <v>0.16980310833489051</v>
      </c>
    </row>
    <row r="187" spans="1:11">
      <c r="A187">
        <v>230</v>
      </c>
      <c r="B187">
        <v>0.71</v>
      </c>
      <c r="C187">
        <f t="shared" si="20"/>
        <v>0.3877066164392437</v>
      </c>
      <c r="D187">
        <f t="shared" si="21"/>
        <v>0.10387302508704076</v>
      </c>
      <c r="E187">
        <f t="shared" si="22"/>
        <v>0.14630003533386024</v>
      </c>
    </row>
    <row r="188" spans="1:11">
      <c r="A188">
        <v>250</v>
      </c>
      <c r="B188">
        <v>0.8</v>
      </c>
      <c r="C188">
        <f t="shared" si="20"/>
        <v>0.53529465647913188</v>
      </c>
      <c r="D188">
        <f t="shared" si="21"/>
        <v>7.0068918888500822E-2</v>
      </c>
      <c r="E188">
        <f t="shared" si="22"/>
        <v>8.7586148610626025E-2</v>
      </c>
    </row>
    <row r="189" spans="1:11">
      <c r="A189">
        <v>270</v>
      </c>
      <c r="B189">
        <v>0.85</v>
      </c>
      <c r="C189">
        <f t="shared" si="20"/>
        <v>0.73906494525871602</v>
      </c>
      <c r="D189">
        <f t="shared" si="21"/>
        <v>1.2306586370451667E-2</v>
      </c>
      <c r="E189">
        <f t="shared" si="22"/>
        <v>1.4478336906413727E-2</v>
      </c>
    </row>
    <row r="190" spans="1:11">
      <c r="A190">
        <v>285</v>
      </c>
      <c r="B190">
        <v>0.87</v>
      </c>
      <c r="C190">
        <f t="shared" si="20"/>
        <v>0.94134728706042192</v>
      </c>
      <c r="D190">
        <f t="shared" si="21"/>
        <v>5.0904353708822502E-3</v>
      </c>
      <c r="E190">
        <f t="shared" si="22"/>
        <v>5.8510751389451148E-3</v>
      </c>
    </row>
    <row r="191" spans="1:11">
      <c r="A191">
        <v>300</v>
      </c>
      <c r="B191">
        <v>0.9</v>
      </c>
      <c r="C191">
        <f t="shared" si="20"/>
        <v>1.1989943786953898</v>
      </c>
      <c r="D191">
        <f t="shared" si="21"/>
        <v>8.9397638491442166E-2</v>
      </c>
      <c r="E191">
        <f t="shared" si="22"/>
        <v>9.9330709434935743E-2</v>
      </c>
    </row>
    <row r="192" spans="1:11">
      <c r="D192" s="6">
        <f>SUM(D174:D191)</f>
        <v>0.48522009976951397</v>
      </c>
      <c r="E192">
        <f>SUM(E174:E191)</f>
        <v>1.0075454329416027</v>
      </c>
    </row>
    <row r="195" spans="1:11">
      <c r="A195" t="s">
        <v>241</v>
      </c>
    </row>
    <row r="196" spans="1:11">
      <c r="A196" s="12"/>
      <c r="B196" s="12" t="s">
        <v>171</v>
      </c>
      <c r="C196" s="12"/>
      <c r="D196" s="12"/>
      <c r="E196" s="12"/>
      <c r="F196" s="12"/>
      <c r="G196" s="12"/>
      <c r="H196" s="12"/>
      <c r="I196" s="12"/>
      <c r="J196" s="12"/>
      <c r="K196" s="12"/>
    </row>
    <row r="197" spans="1:11">
      <c r="A197" s="12" t="s">
        <v>29</v>
      </c>
      <c r="B197" s="12" t="s">
        <v>43</v>
      </c>
      <c r="C197" s="12" t="s">
        <v>99</v>
      </c>
      <c r="D197" s="12" t="s">
        <v>120</v>
      </c>
      <c r="E197" s="12"/>
      <c r="F197" s="12"/>
      <c r="G197" s="12"/>
      <c r="H197" s="12"/>
      <c r="I197" s="12"/>
      <c r="J197" s="12"/>
      <c r="K197" s="12"/>
    </row>
    <row r="198" spans="1:11">
      <c r="A198" s="12">
        <v>0</v>
      </c>
      <c r="B198" s="12">
        <v>0</v>
      </c>
      <c r="C198" s="12">
        <f>EXP(($K$198*$K$203*A198)-(($K$198*$K$199*$K$204)/($K$205)))</f>
        <v>5.6375151628240694E-3</v>
      </c>
      <c r="D198" s="12">
        <f>(B198-C198)^2</f>
        <v>3.1781577211071291E-5</v>
      </c>
      <c r="E198" s="12"/>
      <c r="F198" s="12"/>
      <c r="G198" s="12"/>
      <c r="H198" s="12"/>
      <c r="I198" s="12"/>
      <c r="J198" s="12" t="s">
        <v>236</v>
      </c>
      <c r="K198" s="12">
        <v>1.3640910614554799E-4</v>
      </c>
    </row>
    <row r="199" spans="1:11">
      <c r="A199" s="12">
        <v>20</v>
      </c>
      <c r="B199" s="12">
        <v>0</v>
      </c>
      <c r="C199" s="12">
        <f t="shared" ref="C199:C219" si="23">EXP(($K$198*$K$203*A199)-(($K$198*$K$199*$K$204)/($K$205)))</f>
        <v>7.4057861493649225E-3</v>
      </c>
      <c r="D199" s="12">
        <f t="shared" ref="D199:D219" si="24">(B199-C199)^2</f>
        <v>5.4845668490125323E-5</v>
      </c>
      <c r="E199" s="12"/>
      <c r="F199" s="12"/>
      <c r="G199" s="12"/>
      <c r="H199" s="12"/>
      <c r="I199" s="12"/>
      <c r="J199" s="12" t="s">
        <v>208</v>
      </c>
      <c r="K199" s="12">
        <v>913.29352520523003</v>
      </c>
    </row>
    <row r="200" spans="1:11">
      <c r="A200" s="12">
        <v>30</v>
      </c>
      <c r="B200" s="12">
        <v>0</v>
      </c>
      <c r="C200" s="12">
        <f t="shared" si="23"/>
        <v>8.4881469420167496E-3</v>
      </c>
      <c r="D200" s="12">
        <f t="shared" si="24"/>
        <v>7.2048638509268297E-5</v>
      </c>
      <c r="E200" s="12"/>
      <c r="F200" s="12"/>
      <c r="G200" s="12"/>
      <c r="H200" s="12"/>
      <c r="I200" s="12"/>
      <c r="J200" s="12"/>
      <c r="K200" s="12"/>
    </row>
    <row r="201" spans="1:11">
      <c r="A201" s="12">
        <v>40</v>
      </c>
      <c r="B201" s="12">
        <v>0</v>
      </c>
      <c r="C201" s="12">
        <f t="shared" si="23"/>
        <v>9.7286955167408904E-3</v>
      </c>
      <c r="D201" s="12">
        <f t="shared" si="24"/>
        <v>9.4647516457454294E-5</v>
      </c>
      <c r="E201" s="12"/>
      <c r="F201" s="12" t="s">
        <v>100</v>
      </c>
      <c r="G201" s="12">
        <f>SUM((B220-C220)^2)</f>
        <v>7.1728377276696356E-2</v>
      </c>
      <c r="H201" s="12"/>
      <c r="I201" s="12"/>
      <c r="J201" s="12"/>
      <c r="K201" s="12"/>
    </row>
    <row r="202" spans="1:11">
      <c r="A202" s="12">
        <v>50</v>
      </c>
      <c r="B202" s="12">
        <v>0</v>
      </c>
      <c r="C202" s="12">
        <f t="shared" si="23"/>
        <v>1.1150551127825602E-2</v>
      </c>
      <c r="D202" s="12">
        <f t="shared" si="24"/>
        <v>1.2433479045425281E-4</v>
      </c>
      <c r="E202" s="12"/>
      <c r="F202" s="12"/>
      <c r="G202" s="12"/>
      <c r="H202" s="12"/>
      <c r="I202" s="12"/>
      <c r="J202" s="12"/>
      <c r="K202" s="12"/>
    </row>
    <row r="203" spans="1:11">
      <c r="A203" s="12">
        <v>60</v>
      </c>
      <c r="B203" s="12">
        <v>0</v>
      </c>
      <c r="C203" s="12">
        <f t="shared" si="23"/>
        <v>1.2780211924640955E-2</v>
      </c>
      <c r="D203" s="12">
        <f t="shared" si="24"/>
        <v>1.6333381683873488E-4</v>
      </c>
      <c r="E203" s="12"/>
      <c r="F203" s="12"/>
      <c r="G203" s="12"/>
      <c r="H203" s="12"/>
      <c r="I203" s="12"/>
      <c r="J203" s="12" t="s">
        <v>12</v>
      </c>
      <c r="K203" s="12">
        <v>100</v>
      </c>
    </row>
    <row r="204" spans="1:11">
      <c r="A204" s="12">
        <v>80</v>
      </c>
      <c r="B204" s="12">
        <v>0</v>
      </c>
      <c r="C204" s="12">
        <f t="shared" si="23"/>
        <v>1.6788871288825315E-2</v>
      </c>
      <c r="D204" s="12">
        <f t="shared" si="24"/>
        <v>2.8186619915274299E-4</v>
      </c>
      <c r="E204" s="12"/>
      <c r="F204" s="12"/>
      <c r="G204" s="12"/>
      <c r="H204" s="12"/>
      <c r="I204" s="12"/>
      <c r="J204" s="12" t="s">
        <v>209</v>
      </c>
      <c r="K204" s="12">
        <v>12</v>
      </c>
    </row>
    <row r="205" spans="1:11">
      <c r="A205" s="12">
        <v>100</v>
      </c>
      <c r="B205" s="12">
        <v>0</v>
      </c>
      <c r="C205" s="12">
        <f t="shared" si="23"/>
        <v>2.2054892423911173E-2</v>
      </c>
      <c r="D205" s="12">
        <f t="shared" si="24"/>
        <v>4.8641827983029448E-4</v>
      </c>
      <c r="E205" s="12"/>
      <c r="F205" s="12"/>
      <c r="G205" s="12"/>
      <c r="H205" s="12"/>
      <c r="I205" s="12"/>
      <c r="J205" s="12" t="s">
        <v>210</v>
      </c>
      <c r="K205" s="12">
        <v>0.28870000000000001</v>
      </c>
    </row>
    <row r="206" spans="1:11">
      <c r="A206" s="12">
        <v>140</v>
      </c>
      <c r="B206" s="12">
        <v>0</v>
      </c>
      <c r="C206" s="12">
        <f t="shared" si="23"/>
        <v>3.8060267130035075E-2</v>
      </c>
      <c r="D206" s="12">
        <f t="shared" si="24"/>
        <v>1.4485839340096284E-3</v>
      </c>
      <c r="E206" s="12"/>
      <c r="F206" s="12"/>
      <c r="G206" s="12"/>
      <c r="H206" s="12"/>
      <c r="I206" s="12"/>
      <c r="J206" s="12" t="s">
        <v>106</v>
      </c>
      <c r="K206" s="12">
        <v>23</v>
      </c>
    </row>
    <row r="207" spans="1:11">
      <c r="A207" s="12">
        <v>180</v>
      </c>
      <c r="B207" s="12">
        <v>0</v>
      </c>
      <c r="C207" s="12">
        <f t="shared" si="23"/>
        <v>6.5680843332480865E-2</v>
      </c>
      <c r="D207" s="12">
        <f t="shared" si="24"/>
        <v>4.3139731808658965E-3</v>
      </c>
      <c r="E207" s="12"/>
      <c r="F207" s="12"/>
      <c r="G207" s="12"/>
      <c r="H207" s="12"/>
      <c r="I207" s="12"/>
      <c r="J207" s="12" t="s">
        <v>107</v>
      </c>
      <c r="K207" s="12">
        <v>2</v>
      </c>
    </row>
    <row r="208" spans="1:11">
      <c r="A208" s="12">
        <v>230</v>
      </c>
      <c r="B208" s="12">
        <v>0.02</v>
      </c>
      <c r="C208" s="12">
        <f t="shared" si="23"/>
        <v>0.129911420287986</v>
      </c>
      <c r="D208" s="12">
        <f t="shared" si="24"/>
        <v>1.2080520309722299E-2</v>
      </c>
      <c r="E208" s="12"/>
      <c r="F208" s="12"/>
      <c r="G208" s="12"/>
      <c r="H208" s="12"/>
      <c r="I208" s="12"/>
      <c r="J208" s="12"/>
      <c r="K208" s="12"/>
    </row>
    <row r="209" spans="1:11">
      <c r="A209" s="12">
        <v>255</v>
      </c>
      <c r="B209" s="12">
        <v>0.08</v>
      </c>
      <c r="C209" s="12">
        <f t="shared" si="23"/>
        <v>0.18270550625700313</v>
      </c>
      <c r="D209" s="12">
        <f t="shared" si="24"/>
        <v>1.054842101550731E-2</v>
      </c>
      <c r="E209" s="12"/>
      <c r="F209" s="12"/>
      <c r="G209" s="12"/>
      <c r="H209" s="12"/>
      <c r="I209" s="12"/>
      <c r="J209" s="12"/>
      <c r="K209" s="12"/>
    </row>
    <row r="210" spans="1:11">
      <c r="A210" s="12">
        <v>280</v>
      </c>
      <c r="B210" s="12">
        <v>0.21</v>
      </c>
      <c r="C210" s="12">
        <f t="shared" si="23"/>
        <v>0.25695433044014587</v>
      </c>
      <c r="D210" s="12">
        <f t="shared" si="24"/>
        <v>2.2047091470824101E-3</v>
      </c>
      <c r="E210" s="12"/>
      <c r="F210" s="12"/>
      <c r="G210" s="12"/>
      <c r="H210" s="12"/>
      <c r="I210" s="12"/>
      <c r="J210" s="12"/>
      <c r="K210" s="12"/>
    </row>
    <row r="211" spans="1:11">
      <c r="A211" s="12">
        <v>293</v>
      </c>
      <c r="B211" s="12">
        <v>0.3</v>
      </c>
      <c r="C211" s="12">
        <f t="shared" si="23"/>
        <v>0.306810472806817</v>
      </c>
      <c r="D211" s="12">
        <f t="shared" si="24"/>
        <v>4.6382539852394014E-5</v>
      </c>
      <c r="E211" s="12"/>
      <c r="F211" s="12"/>
      <c r="G211" s="12"/>
      <c r="H211" s="12"/>
      <c r="I211" s="12"/>
      <c r="J211" s="12"/>
      <c r="K211" s="12"/>
    </row>
    <row r="212" spans="1:11">
      <c r="A212" s="12">
        <v>300</v>
      </c>
      <c r="B212" s="12">
        <v>0.35</v>
      </c>
      <c r="C212" s="12">
        <f t="shared" si="23"/>
        <v>0.33755098947524659</v>
      </c>
      <c r="D212" s="12">
        <f t="shared" si="24"/>
        <v>1.5497786304542068E-4</v>
      </c>
      <c r="E212" s="12"/>
      <c r="F212" s="12"/>
      <c r="G212" s="12"/>
      <c r="H212" s="12"/>
      <c r="I212" s="12"/>
      <c r="J212" s="12"/>
      <c r="K212" s="12"/>
    </row>
    <row r="213" spans="1:11">
      <c r="A213" s="12">
        <v>315</v>
      </c>
      <c r="B213" s="12">
        <v>0.49</v>
      </c>
      <c r="C213" s="12">
        <f t="shared" si="23"/>
        <v>0.41419225001136956</v>
      </c>
      <c r="D213" s="12">
        <f t="shared" si="24"/>
        <v>5.7468149583386977E-3</v>
      </c>
      <c r="E213" s="12"/>
      <c r="F213" s="12"/>
      <c r="G213" s="12"/>
      <c r="H213" s="12"/>
      <c r="I213" s="12"/>
      <c r="J213" s="12"/>
      <c r="K213" s="12"/>
    </row>
    <row r="214" spans="1:11">
      <c r="A214" s="12">
        <v>337</v>
      </c>
      <c r="B214" s="12">
        <v>0.68</v>
      </c>
      <c r="C214" s="12">
        <f t="shared" si="23"/>
        <v>0.55915698835189476</v>
      </c>
      <c r="D214" s="12">
        <f t="shared" si="24"/>
        <v>1.4603033464184111E-2</v>
      </c>
      <c r="E214" s="12"/>
      <c r="F214" s="12"/>
      <c r="G214" s="12"/>
      <c r="H214" s="12"/>
      <c r="I214" s="12"/>
      <c r="J214" s="12"/>
      <c r="K214" s="12"/>
    </row>
    <row r="215" spans="1:11">
      <c r="A215" s="12">
        <v>354</v>
      </c>
      <c r="B215" s="12">
        <v>0.8</v>
      </c>
      <c r="C215" s="12">
        <f t="shared" si="23"/>
        <v>0.70509020995808624</v>
      </c>
      <c r="D215" s="12">
        <f t="shared" si="24"/>
        <v>9.0078682458001602E-3</v>
      </c>
      <c r="E215" s="12"/>
      <c r="F215" s="12"/>
      <c r="G215" s="12"/>
      <c r="H215" s="12"/>
      <c r="I215" s="12"/>
      <c r="J215" s="12"/>
      <c r="K215" s="12"/>
    </row>
    <row r="216" spans="1:11">
      <c r="A216" s="12">
        <v>362</v>
      </c>
      <c r="B216" s="12">
        <v>0.84</v>
      </c>
      <c r="C216" s="12">
        <f t="shared" si="23"/>
        <v>0.78639014497343562</v>
      </c>
      <c r="D216" s="12">
        <f t="shared" si="24"/>
        <v>2.8740165559692464E-3</v>
      </c>
      <c r="E216" s="12"/>
      <c r="F216" s="12"/>
      <c r="G216" s="12"/>
      <c r="H216" s="12"/>
      <c r="I216" s="12"/>
      <c r="J216" s="12"/>
      <c r="K216" s="12"/>
    </row>
    <row r="217" spans="1:11">
      <c r="A217" s="12">
        <v>370</v>
      </c>
      <c r="B217" s="12">
        <v>0.87</v>
      </c>
      <c r="C217" s="12">
        <f t="shared" si="23"/>
        <v>0.87706431230707571</v>
      </c>
      <c r="D217" s="12">
        <f t="shared" si="24"/>
        <v>4.9904508371901415E-5</v>
      </c>
      <c r="E217" s="12"/>
      <c r="F217" s="12"/>
      <c r="G217" s="12"/>
      <c r="H217" s="12"/>
      <c r="I217" s="12"/>
      <c r="J217" s="12"/>
      <c r="K217" s="12"/>
    </row>
    <row r="218" spans="1:11">
      <c r="A218" s="12">
        <v>375</v>
      </c>
      <c r="B218" s="12">
        <v>0.89</v>
      </c>
      <c r="C218" s="12">
        <f t="shared" si="23"/>
        <v>0.93897126301252343</v>
      </c>
      <c r="D218" s="12">
        <f t="shared" si="24"/>
        <v>2.398184601041744E-3</v>
      </c>
      <c r="E218" s="12"/>
      <c r="F218" s="12"/>
      <c r="G218" s="12"/>
      <c r="H218" s="12"/>
      <c r="I218" s="12"/>
      <c r="J218" s="12"/>
      <c r="K218" s="12"/>
    </row>
    <row r="219" spans="1:11">
      <c r="A219" s="12">
        <v>380</v>
      </c>
      <c r="B219" s="12">
        <v>0.9</v>
      </c>
      <c r="C219" s="12">
        <f t="shared" si="23"/>
        <v>1.0052478710987003</v>
      </c>
      <c r="D219" s="12">
        <f t="shared" si="24"/>
        <v>1.1077114370808626E-2</v>
      </c>
      <c r="E219" s="12"/>
      <c r="F219" s="12"/>
      <c r="G219" s="12"/>
      <c r="H219" s="12"/>
      <c r="I219" s="12"/>
      <c r="J219" s="12"/>
      <c r="K219" s="12"/>
    </row>
    <row r="220" spans="1:11">
      <c r="A220" s="12"/>
      <c r="B220" s="12">
        <f>SUM(B198:B219)</f>
        <v>6.43</v>
      </c>
      <c r="C220" s="12">
        <f>SUM(C198:C219)</f>
        <v>6.6978215399789498</v>
      </c>
      <c r="D220" s="12">
        <f>SUM(D198:D219)</f>
        <v>7.7863781181543801E-2</v>
      </c>
      <c r="E220" s="12"/>
      <c r="F220" s="12"/>
      <c r="G220" s="12"/>
      <c r="H220" s="12"/>
      <c r="I220" s="12"/>
      <c r="J220" s="12"/>
      <c r="K220" s="12"/>
    </row>
    <row r="221" spans="1:1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spans="1:1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spans="1:1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>
      <c r="A225" s="12"/>
      <c r="B225" s="12" t="s">
        <v>171</v>
      </c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1:11">
      <c r="A226" s="12" t="s">
        <v>29</v>
      </c>
      <c r="B226" s="12" t="s">
        <v>43</v>
      </c>
      <c r="C226" s="12" t="s">
        <v>99</v>
      </c>
      <c r="D226" s="12" t="s">
        <v>120</v>
      </c>
      <c r="E226" s="12" t="s">
        <v>137</v>
      </c>
      <c r="F226" s="12"/>
      <c r="G226" s="12"/>
      <c r="H226" s="12"/>
      <c r="I226" s="12"/>
      <c r="J226" s="12"/>
      <c r="K226" s="12"/>
    </row>
    <row r="227" spans="1:11">
      <c r="A227" s="12">
        <v>0</v>
      </c>
      <c r="B227" s="12">
        <v>0</v>
      </c>
      <c r="C227" s="12">
        <f>EXP(($K$227*$K$232*A227)-(($K$227*$K$228*$K$233)/($K$234)))</f>
        <v>5.219324763127706E-3</v>
      </c>
      <c r="D227" s="12">
        <f>(B227-C227)^2</f>
        <v>2.7241350982998086E-5</v>
      </c>
      <c r="E227" s="12">
        <f>ABS(B227-C227)</f>
        <v>5.219324763127706E-3</v>
      </c>
      <c r="F227" s="12"/>
      <c r="G227" s="12"/>
      <c r="H227" s="12"/>
      <c r="I227" s="12"/>
      <c r="J227" s="12" t="s">
        <v>236</v>
      </c>
      <c r="K227" s="12">
        <v>1.38273530224714E-4</v>
      </c>
    </row>
    <row r="228" spans="1:11">
      <c r="A228" s="12">
        <v>20</v>
      </c>
      <c r="B228" s="12">
        <v>0</v>
      </c>
      <c r="C228" s="12">
        <f t="shared" ref="C228:C248" si="25">EXP(($K$227*$K$232*A228)-(($K$227*$K$228*$K$233)/($K$234)))</f>
        <v>6.8820398529436536E-3</v>
      </c>
      <c r="D228" s="12">
        <f t="shared" ref="D228:D248" si="26">(B228-C228)^2</f>
        <v>4.7362472537504702E-5</v>
      </c>
      <c r="E228" s="12">
        <f t="shared" ref="E228:E248" si="27">ABS(B228-C228)</f>
        <v>6.8820398529436536E-3</v>
      </c>
      <c r="F228" s="12"/>
      <c r="G228" s="12"/>
      <c r="H228" s="12"/>
      <c r="I228" s="12"/>
      <c r="J228" s="12" t="s">
        <v>208</v>
      </c>
      <c r="K228" s="12">
        <v>914.38945572964997</v>
      </c>
    </row>
    <row r="229" spans="1:11">
      <c r="A229" s="12">
        <v>30</v>
      </c>
      <c r="B229" s="12">
        <v>0</v>
      </c>
      <c r="C229" s="12">
        <f t="shared" si="25"/>
        <v>7.9025747846449158E-3</v>
      </c>
      <c r="D229" s="12">
        <f t="shared" si="26"/>
        <v>6.2450688226905641E-5</v>
      </c>
      <c r="E229" s="12">
        <f t="shared" si="27"/>
        <v>7.9025747846449158E-3</v>
      </c>
      <c r="F229" s="12"/>
      <c r="G229" s="12"/>
      <c r="H229" s="12"/>
      <c r="I229" s="12"/>
      <c r="J229" s="12"/>
      <c r="K229" s="12"/>
    </row>
    <row r="230" spans="1:11">
      <c r="A230" s="12">
        <v>40</v>
      </c>
      <c r="B230" s="12">
        <v>0</v>
      </c>
      <c r="C230" s="12">
        <f t="shared" si="25"/>
        <v>9.0744444323718372E-3</v>
      </c>
      <c r="D230" s="12">
        <f t="shared" si="26"/>
        <v>8.2345541756204241E-5</v>
      </c>
      <c r="E230" s="12">
        <f t="shared" si="27"/>
        <v>9.0744444323718372E-3</v>
      </c>
      <c r="F230" s="12"/>
      <c r="G230" s="12" t="s">
        <v>132</v>
      </c>
      <c r="H230" s="12">
        <f>SUM((B249-C249)^2)</f>
        <v>3.1174658249532045E-2</v>
      </c>
      <c r="I230" s="12"/>
      <c r="J230" s="12" t="s">
        <v>104</v>
      </c>
      <c r="K230" s="12">
        <f>1-(D249/E249)</f>
        <v>0.91889088969949329</v>
      </c>
    </row>
    <row r="231" spans="1:11">
      <c r="A231" s="12">
        <v>50</v>
      </c>
      <c r="B231" s="12">
        <v>0</v>
      </c>
      <c r="C231" s="12">
        <f t="shared" si="25"/>
        <v>1.0420090160513961E-2</v>
      </c>
      <c r="D231" s="12">
        <f t="shared" si="26"/>
        <v>1.0857827895323988E-4</v>
      </c>
      <c r="E231" s="12">
        <f t="shared" si="27"/>
        <v>1.0420090160513961E-2</v>
      </c>
      <c r="F231" s="12"/>
      <c r="G231" s="12"/>
      <c r="H231" s="12"/>
      <c r="I231" s="12"/>
      <c r="J231" s="12"/>
      <c r="K231" s="12"/>
    </row>
    <row r="232" spans="1:11">
      <c r="A232" s="12">
        <v>60</v>
      </c>
      <c r="B232" s="12">
        <v>0</v>
      </c>
      <c r="C232" s="12">
        <f t="shared" si="25"/>
        <v>1.1965281154392412E-2</v>
      </c>
      <c r="D232" s="12">
        <f t="shared" si="26"/>
        <v>1.431679531036582E-4</v>
      </c>
      <c r="E232" s="12">
        <f t="shared" si="27"/>
        <v>1.1965281154392412E-2</v>
      </c>
      <c r="F232" s="12"/>
      <c r="G232" s="12"/>
      <c r="H232" s="12"/>
      <c r="I232" s="12"/>
      <c r="J232" s="12" t="s">
        <v>12</v>
      </c>
      <c r="K232" s="12">
        <v>100</v>
      </c>
    </row>
    <row r="233" spans="1:11">
      <c r="A233" s="12">
        <v>80</v>
      </c>
      <c r="B233" s="12">
        <v>0</v>
      </c>
      <c r="C233" s="12">
        <f t="shared" si="25"/>
        <v>1.577704885082841E-2</v>
      </c>
      <c r="D233" s="12">
        <f t="shared" si="26"/>
        <v>2.4891527044142603E-4</v>
      </c>
      <c r="E233" s="12">
        <f t="shared" si="27"/>
        <v>1.577704885082841E-2</v>
      </c>
      <c r="F233" s="12"/>
      <c r="G233" s="12"/>
      <c r="H233" s="12"/>
      <c r="I233" s="12"/>
      <c r="J233" s="12" t="s">
        <v>209</v>
      </c>
      <c r="K233" s="12">
        <v>12</v>
      </c>
    </row>
    <row r="234" spans="1:11">
      <c r="A234" s="12">
        <v>100</v>
      </c>
      <c r="B234" s="12">
        <v>0</v>
      </c>
      <c r="C234" s="12">
        <f t="shared" si="25"/>
        <v>2.0803127584682786E-2</v>
      </c>
      <c r="D234" s="12">
        <f t="shared" si="26"/>
        <v>4.3277011730458983E-4</v>
      </c>
      <c r="E234" s="12">
        <f t="shared" si="27"/>
        <v>2.0803127584682786E-2</v>
      </c>
      <c r="F234" s="12"/>
      <c r="G234" s="12"/>
      <c r="H234" s="12"/>
      <c r="I234" s="12"/>
      <c r="J234" s="12" t="s">
        <v>210</v>
      </c>
      <c r="K234" s="12">
        <v>0.28870000000000001</v>
      </c>
    </row>
    <row r="235" spans="1:11">
      <c r="A235" s="12">
        <v>140</v>
      </c>
      <c r="B235" s="12">
        <v>0</v>
      </c>
      <c r="C235" s="12">
        <f t="shared" si="25"/>
        <v>3.6168821419271149E-2</v>
      </c>
      <c r="D235" s="12">
        <f t="shared" si="26"/>
        <v>1.3081836428591276E-3</v>
      </c>
      <c r="E235" s="12">
        <f t="shared" si="27"/>
        <v>3.6168821419271149E-2</v>
      </c>
      <c r="F235" s="12"/>
      <c r="G235" s="12"/>
      <c r="H235" s="12"/>
      <c r="I235" s="12"/>
      <c r="J235" s="12" t="s">
        <v>106</v>
      </c>
      <c r="K235" s="12">
        <v>23</v>
      </c>
    </row>
    <row r="236" spans="1:11">
      <c r="A236" s="12">
        <v>180</v>
      </c>
      <c r="B236" s="12">
        <v>0</v>
      </c>
      <c r="C236" s="12">
        <f t="shared" si="25"/>
        <v>6.2883988839367355E-2</v>
      </c>
      <c r="D236" s="12">
        <f t="shared" si="26"/>
        <v>3.9543960523496782E-3</v>
      </c>
      <c r="E236" s="12">
        <f t="shared" si="27"/>
        <v>6.2883988839367355E-2</v>
      </c>
      <c r="F236" s="12"/>
      <c r="G236" s="12"/>
      <c r="H236" s="12"/>
      <c r="I236" s="12"/>
      <c r="J236" s="12" t="s">
        <v>107</v>
      </c>
      <c r="K236" s="12">
        <v>2</v>
      </c>
    </row>
    <row r="237" spans="1:11">
      <c r="A237" s="12">
        <v>230</v>
      </c>
      <c r="B237" s="12">
        <v>0.02</v>
      </c>
      <c r="C237" s="12">
        <f t="shared" si="25"/>
        <v>0.1255443688785321</v>
      </c>
      <c r="D237" s="12">
        <f t="shared" si="26"/>
        <v>1.1139613801967653E-2</v>
      </c>
      <c r="E237" s="12">
        <f t="shared" si="27"/>
        <v>0.10554436887853209</v>
      </c>
      <c r="F237" s="12"/>
      <c r="G237" s="12"/>
      <c r="H237" s="12"/>
      <c r="I237" s="12"/>
      <c r="J237" s="12"/>
      <c r="K237" s="12"/>
    </row>
    <row r="238" spans="1:11">
      <c r="A238" s="12">
        <v>255</v>
      </c>
      <c r="B238" s="12">
        <v>0.08</v>
      </c>
      <c r="C238" s="12">
        <f t="shared" si="25"/>
        <v>0.17738864475162097</v>
      </c>
      <c r="D238" s="12">
        <f t="shared" si="26"/>
        <v>9.4845481265574301E-3</v>
      </c>
      <c r="E238" s="12">
        <f t="shared" si="27"/>
        <v>9.738864475162097E-2</v>
      </c>
      <c r="F238" s="12"/>
      <c r="G238" s="12"/>
      <c r="H238" s="12"/>
      <c r="I238" s="12"/>
      <c r="J238" s="12"/>
      <c r="K238" s="12"/>
    </row>
    <row r="239" spans="1:11">
      <c r="A239" s="12">
        <v>280</v>
      </c>
      <c r="B239" s="12">
        <v>0.21</v>
      </c>
      <c r="C239" s="12">
        <f t="shared" si="25"/>
        <v>0.25064231528585551</v>
      </c>
      <c r="D239" s="12">
        <f t="shared" si="26"/>
        <v>1.6517977917948851E-3</v>
      </c>
      <c r="E239" s="12">
        <f t="shared" si="27"/>
        <v>4.0642315285855518E-2</v>
      </c>
      <c r="F239" s="12"/>
      <c r="G239" s="12"/>
      <c r="H239" s="12"/>
      <c r="I239" s="12"/>
      <c r="J239" s="12"/>
      <c r="K239" s="12"/>
    </row>
    <row r="240" spans="1:11">
      <c r="A240" s="12">
        <v>293</v>
      </c>
      <c r="B240" s="12">
        <v>0.3</v>
      </c>
      <c r="C240" s="12">
        <f t="shared" si="25"/>
        <v>0.29999999961978951</v>
      </c>
      <c r="D240" s="12">
        <f t="shared" si="26"/>
        <v>1.4456000470329605E-19</v>
      </c>
      <c r="E240" s="12">
        <f t="shared" si="27"/>
        <v>3.8021047421565868E-10</v>
      </c>
      <c r="F240" s="12"/>
      <c r="G240" s="12"/>
      <c r="H240" s="12"/>
      <c r="I240" s="12"/>
      <c r="J240" s="12"/>
      <c r="K240" s="12"/>
    </row>
    <row r="241" spans="1:11">
      <c r="A241" s="12">
        <v>300</v>
      </c>
      <c r="B241" s="12">
        <v>0.35</v>
      </c>
      <c r="C241" s="12">
        <f t="shared" si="25"/>
        <v>0.33048918795343424</v>
      </c>
      <c r="D241" s="12">
        <f t="shared" si="26"/>
        <v>3.8067178671641479E-4</v>
      </c>
      <c r="E241" s="12">
        <f t="shared" si="27"/>
        <v>1.951081204656574E-2</v>
      </c>
      <c r="F241" s="12"/>
      <c r="G241" s="12"/>
      <c r="H241" s="12"/>
      <c r="I241" s="12"/>
      <c r="J241" s="12"/>
      <c r="K241" s="12"/>
    </row>
    <row r="242" spans="1:11">
      <c r="A242" s="12">
        <v>315</v>
      </c>
      <c r="B242" s="12">
        <v>0.49</v>
      </c>
      <c r="C242" s="12">
        <f t="shared" si="25"/>
        <v>0.40666275895387288</v>
      </c>
      <c r="D242" s="12">
        <f t="shared" si="26"/>
        <v>6.9450957451802926E-3</v>
      </c>
      <c r="E242" s="12">
        <f t="shared" si="27"/>
        <v>8.3337241046127108E-2</v>
      </c>
      <c r="F242" s="12"/>
      <c r="G242" s="12"/>
      <c r="H242" s="12"/>
      <c r="I242" s="12"/>
      <c r="J242" s="12"/>
      <c r="K242" s="12"/>
    </row>
    <row r="243" spans="1:11">
      <c r="A243" s="12">
        <v>337</v>
      </c>
      <c r="B243" s="12">
        <v>0.68</v>
      </c>
      <c r="C243" s="12">
        <f t="shared" si="25"/>
        <v>0.5512486657652208</v>
      </c>
      <c r="D243" s="12">
        <f t="shared" si="26"/>
        <v>1.6576906067235837E-2</v>
      </c>
      <c r="E243" s="12">
        <f t="shared" si="27"/>
        <v>0.12875133423477925</v>
      </c>
      <c r="F243" s="12"/>
      <c r="G243" s="12"/>
      <c r="H243" s="12"/>
      <c r="I243" s="12"/>
      <c r="J243" s="12"/>
      <c r="K243" s="12"/>
    </row>
    <row r="244" spans="1:11">
      <c r="A244" s="12">
        <v>354</v>
      </c>
      <c r="B244" s="12">
        <v>0.8</v>
      </c>
      <c r="C244" s="12">
        <f t="shared" si="25"/>
        <v>0.69732459666810109</v>
      </c>
      <c r="D244" s="12">
        <f t="shared" si="26"/>
        <v>1.0542238449368127E-2</v>
      </c>
      <c r="E244" s="12">
        <f t="shared" si="27"/>
        <v>0.10267540333189895</v>
      </c>
      <c r="F244" s="12"/>
      <c r="G244" s="12"/>
      <c r="H244" s="12"/>
      <c r="I244" s="12"/>
      <c r="J244" s="12"/>
      <c r="K244" s="12"/>
    </row>
    <row r="245" spans="1:11">
      <c r="A245" s="12">
        <v>362</v>
      </c>
      <c r="B245" s="12">
        <v>0.84</v>
      </c>
      <c r="C245" s="12">
        <f t="shared" si="25"/>
        <v>0.77889000211424764</v>
      </c>
      <c r="D245" s="12">
        <f t="shared" si="26"/>
        <v>3.7344318415966546E-3</v>
      </c>
      <c r="E245" s="12">
        <f t="shared" si="27"/>
        <v>6.1109997885752332E-2</v>
      </c>
      <c r="F245" s="12"/>
      <c r="G245" s="12"/>
      <c r="H245" s="12"/>
      <c r="I245" s="12"/>
      <c r="J245" s="12"/>
      <c r="K245" s="12"/>
    </row>
    <row r="246" spans="1:11">
      <c r="A246" s="12">
        <v>370</v>
      </c>
      <c r="B246" s="12">
        <v>0.87</v>
      </c>
      <c r="C246" s="12">
        <f t="shared" si="25"/>
        <v>0.86999603669836334</v>
      </c>
      <c r="D246" s="12">
        <f t="shared" si="26"/>
        <v>1.5707759863118652E-11</v>
      </c>
      <c r="E246" s="12">
        <f t="shared" si="27"/>
        <v>3.9633016366558138E-6</v>
      </c>
      <c r="F246" s="12"/>
      <c r="G246" s="12"/>
      <c r="H246" s="12"/>
      <c r="I246" s="12"/>
      <c r="J246" s="12"/>
      <c r="K246" s="12"/>
    </row>
    <row r="247" spans="1:11">
      <c r="A247" s="12">
        <v>375</v>
      </c>
      <c r="B247" s="12">
        <v>0.89</v>
      </c>
      <c r="C247" s="12">
        <f t="shared" si="25"/>
        <v>0.93227274920293024</v>
      </c>
      <c r="D247" s="12">
        <f t="shared" si="26"/>
        <v>1.7869853251738382E-3</v>
      </c>
      <c r="E247" s="12">
        <f t="shared" si="27"/>
        <v>4.2272749202930227E-2</v>
      </c>
      <c r="F247" s="12"/>
      <c r="G247" s="12"/>
      <c r="H247" s="12"/>
      <c r="I247" s="12"/>
      <c r="J247" s="12"/>
      <c r="K247" s="12"/>
    </row>
    <row r="248" spans="1:11">
      <c r="A248" s="12">
        <v>380</v>
      </c>
      <c r="B248" s="12">
        <v>0.9</v>
      </c>
      <c r="C248" s="12">
        <f t="shared" si="25"/>
        <v>0.9990074003150059</v>
      </c>
      <c r="D248" s="12">
        <f t="shared" si="26"/>
        <v>9.8024653171358261E-3</v>
      </c>
      <c r="E248" s="12">
        <f t="shared" si="27"/>
        <v>9.9007400315005878E-2</v>
      </c>
      <c r="F248" s="12"/>
      <c r="G248" s="12"/>
      <c r="H248" s="12"/>
      <c r="I248" s="12"/>
      <c r="J248" s="12"/>
      <c r="K248" s="12"/>
    </row>
    <row r="249" spans="1:11">
      <c r="A249" s="12"/>
      <c r="B249" s="12">
        <f>SUM(B227:B248)</f>
        <v>6.43</v>
      </c>
      <c r="C249" s="12">
        <f>SUM(C227:C248)</f>
        <v>6.6065634680491181</v>
      </c>
      <c r="D249" s="12">
        <f>SUM(D227:D248)</f>
        <v>7.8460165636950033E-2</v>
      </c>
      <c r="E249" s="12">
        <f>SUM(E227:E248)</f>
        <v>0.96734097250305939</v>
      </c>
      <c r="F249" s="12"/>
      <c r="G249" s="12"/>
      <c r="H249" s="12"/>
      <c r="I249" s="12"/>
      <c r="J249" s="12"/>
      <c r="K249" s="12"/>
    </row>
    <row r="250" spans="1:1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1:1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1:1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1:1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1:1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spans="1:1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 spans="1:1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spans="1:11">
      <c r="A258" s="12"/>
      <c r="B258" s="12" t="s">
        <v>171</v>
      </c>
      <c r="C258" s="12"/>
      <c r="D258" s="12"/>
      <c r="E258" s="12"/>
      <c r="F258" s="12"/>
      <c r="G258" s="12"/>
      <c r="H258" s="12"/>
      <c r="I258" s="12"/>
      <c r="J258" s="12"/>
      <c r="K258" s="12"/>
    </row>
    <row r="259" spans="1:11">
      <c r="A259" s="12" t="s">
        <v>29</v>
      </c>
      <c r="B259" s="12" t="s">
        <v>43</v>
      </c>
      <c r="C259" s="12" t="s">
        <v>99</v>
      </c>
      <c r="D259" s="12" t="s">
        <v>100</v>
      </c>
      <c r="E259" s="12" t="s">
        <v>119</v>
      </c>
      <c r="F259" s="12"/>
      <c r="G259" s="12"/>
      <c r="H259" s="12"/>
      <c r="I259" s="12"/>
      <c r="J259" s="12"/>
      <c r="K259" s="12"/>
    </row>
    <row r="260" spans="1:11">
      <c r="A260" s="12">
        <v>0</v>
      </c>
      <c r="B260" s="12">
        <v>0</v>
      </c>
      <c r="C260" s="12">
        <f>EXP(($K$260*$K$265*A260)-(($K$260*$K$261*$K$266)/($K$267)))</f>
        <v>1.0748775647323361E-4</v>
      </c>
      <c r="D260" s="12">
        <f>(B260-C260)^2</f>
        <v>1.1553617791649173E-8</v>
      </c>
      <c r="E260" s="12">
        <v>0</v>
      </c>
      <c r="F260" s="12"/>
      <c r="G260" s="12"/>
      <c r="H260" s="12"/>
      <c r="I260" s="12"/>
      <c r="J260" s="12" t="s">
        <v>236</v>
      </c>
      <c r="K260" s="12">
        <v>2.4572296158428499E-4</v>
      </c>
    </row>
    <row r="261" spans="1:11">
      <c r="A261" s="12">
        <v>20</v>
      </c>
      <c r="B261" s="12">
        <v>0</v>
      </c>
      <c r="C261" s="12">
        <f t="shared" ref="C261:C281" si="28">EXP(($K$260*$K$265*A261)-(($K$260*$K$261*$K$266)/($K$267)))</f>
        <v>1.7570788485228272E-4</v>
      </c>
      <c r="D261" s="12">
        <f t="shared" ref="D261:D281" si="29">(B261-C261)^2</f>
        <v>3.087326079926304E-8</v>
      </c>
      <c r="E261" s="12">
        <v>0</v>
      </c>
      <c r="F261" s="12"/>
      <c r="G261" s="12"/>
      <c r="H261" s="12"/>
      <c r="I261" s="12"/>
      <c r="J261" s="12" t="s">
        <v>208</v>
      </c>
      <c r="K261" s="12">
        <v>894.69971800840096</v>
      </c>
    </row>
    <row r="262" spans="1:11">
      <c r="A262" s="12">
        <v>30</v>
      </c>
      <c r="B262" s="12">
        <v>0</v>
      </c>
      <c r="C262" s="12">
        <f t="shared" si="28"/>
        <v>2.2465049356688708E-4</v>
      </c>
      <c r="D262" s="12">
        <f t="shared" si="29"/>
        <v>5.0467844259845974E-8</v>
      </c>
      <c r="E262" s="12">
        <v>0</v>
      </c>
      <c r="F262" s="12"/>
      <c r="G262" s="12"/>
      <c r="H262" s="12"/>
      <c r="I262" s="12"/>
      <c r="J262" s="12"/>
      <c r="K262" s="12"/>
    </row>
    <row r="263" spans="1:11">
      <c r="A263" s="12">
        <v>40</v>
      </c>
      <c r="B263" s="12">
        <v>0</v>
      </c>
      <c r="C263" s="12">
        <f t="shared" si="28"/>
        <v>2.8722583680450194E-4</v>
      </c>
      <c r="D263" s="12">
        <f t="shared" si="29"/>
        <v>8.2498681328046382E-8</v>
      </c>
      <c r="E263" s="12">
        <v>0</v>
      </c>
      <c r="F263" s="12"/>
      <c r="G263" s="12" t="s">
        <v>121</v>
      </c>
      <c r="H263" s="12">
        <f>100*((1/20)*((B282-C282)/B282)^2)^(0.5)</f>
        <v>1.9216594827263562</v>
      </c>
      <c r="I263" s="12"/>
      <c r="J263" s="12"/>
      <c r="K263" s="12"/>
    </row>
    <row r="264" spans="1:11">
      <c r="A264" s="12">
        <v>50</v>
      </c>
      <c r="B264" s="12">
        <v>0</v>
      </c>
      <c r="C264" s="12">
        <f t="shared" si="28"/>
        <v>3.6723124894218597E-4</v>
      </c>
      <c r="D264" s="12">
        <f t="shared" si="29"/>
        <v>1.3485879019963776E-7</v>
      </c>
      <c r="E264" s="12">
        <v>0</v>
      </c>
      <c r="F264" s="12"/>
      <c r="G264" s="12"/>
      <c r="H264" s="12"/>
      <c r="I264" s="12"/>
      <c r="J264" s="12"/>
      <c r="K264" s="12"/>
    </row>
    <row r="265" spans="1:11">
      <c r="A265" s="12">
        <v>60</v>
      </c>
      <c r="B265" s="12">
        <v>0</v>
      </c>
      <c r="C265" s="12">
        <f t="shared" si="28"/>
        <v>4.6952179406975925E-4</v>
      </c>
      <c r="D265" s="12">
        <f t="shared" si="29"/>
        <v>2.2045071510648543E-7</v>
      </c>
      <c r="E265" s="12">
        <v>0</v>
      </c>
      <c r="F265" s="12"/>
      <c r="G265" s="12"/>
      <c r="H265" s="12"/>
      <c r="I265" s="12"/>
      <c r="J265" s="12" t="s">
        <v>12</v>
      </c>
      <c r="K265" s="12">
        <v>100</v>
      </c>
    </row>
    <row r="266" spans="1:11">
      <c r="A266" s="12">
        <v>80</v>
      </c>
      <c r="B266" s="12">
        <v>0</v>
      </c>
      <c r="C266" s="12">
        <f t="shared" si="28"/>
        <v>7.6751700877290266E-4</v>
      </c>
      <c r="D266" s="12">
        <f t="shared" si="29"/>
        <v>5.890823587557039E-7</v>
      </c>
      <c r="E266" s="12">
        <v>0</v>
      </c>
      <c r="F266" s="12"/>
      <c r="G266" s="12"/>
      <c r="H266" s="12"/>
      <c r="I266" s="12"/>
      <c r="J266" s="12" t="s">
        <v>209</v>
      </c>
      <c r="K266" s="12">
        <v>12</v>
      </c>
    </row>
    <row r="267" spans="1:11">
      <c r="A267" s="12">
        <v>100</v>
      </c>
      <c r="B267" s="12">
        <v>0</v>
      </c>
      <c r="C267" s="12">
        <f t="shared" si="28"/>
        <v>1.2546432693775688E-3</v>
      </c>
      <c r="D267" s="12">
        <f t="shared" si="29"/>
        <v>1.5741297333944347E-6</v>
      </c>
      <c r="E267" s="12">
        <v>0</v>
      </c>
      <c r="F267" s="12"/>
      <c r="G267" s="12"/>
      <c r="H267" s="12"/>
      <c r="I267" s="12"/>
      <c r="J267" s="12" t="s">
        <v>210</v>
      </c>
      <c r="K267" s="12">
        <v>0.28870000000000001</v>
      </c>
    </row>
    <row r="268" spans="1:11">
      <c r="A268" s="12">
        <v>140</v>
      </c>
      <c r="B268" s="12">
        <v>0</v>
      </c>
      <c r="C268" s="12">
        <f t="shared" si="28"/>
        <v>3.3526233569480634E-3</v>
      </c>
      <c r="D268" s="12">
        <f t="shared" si="29"/>
        <v>1.1240083373553703E-5</v>
      </c>
      <c r="E268" s="12">
        <v>0</v>
      </c>
      <c r="F268" s="12"/>
      <c r="G268" s="12"/>
      <c r="H268" s="12"/>
      <c r="I268" s="12"/>
      <c r="J268" s="12" t="s">
        <v>106</v>
      </c>
      <c r="K268" s="12">
        <v>23</v>
      </c>
    </row>
    <row r="269" spans="1:11">
      <c r="A269" s="12">
        <v>180</v>
      </c>
      <c r="B269" s="12">
        <v>0</v>
      </c>
      <c r="C269" s="12">
        <f t="shared" si="28"/>
        <v>8.9587882451479129E-3</v>
      </c>
      <c r="D269" s="12">
        <f t="shared" si="29"/>
        <v>8.0259886821400418E-5</v>
      </c>
      <c r="E269" s="12">
        <v>0</v>
      </c>
      <c r="F269" s="12"/>
      <c r="G269" s="12"/>
      <c r="H269" s="12"/>
      <c r="I269" s="12"/>
      <c r="J269" s="12" t="s">
        <v>107</v>
      </c>
      <c r="K269" s="12">
        <v>2</v>
      </c>
    </row>
    <row r="270" spans="1:11">
      <c r="A270" s="12">
        <v>230</v>
      </c>
      <c r="B270" s="12">
        <v>0.02</v>
      </c>
      <c r="C270" s="12">
        <f t="shared" si="28"/>
        <v>3.0607644109620046E-2</v>
      </c>
      <c r="D270" s="12">
        <f t="shared" si="29"/>
        <v>1.1252211355635684E-4</v>
      </c>
      <c r="E270" s="12">
        <f>((B270-C270)/B270)^2</f>
        <v>0.2813052838908921</v>
      </c>
      <c r="F270" s="12"/>
      <c r="G270" s="12"/>
      <c r="H270" s="12"/>
      <c r="I270" s="12"/>
      <c r="J270" s="12"/>
      <c r="K270" s="12"/>
    </row>
    <row r="271" spans="1:11">
      <c r="A271" s="12">
        <v>255</v>
      </c>
      <c r="B271" s="12">
        <v>0.08</v>
      </c>
      <c r="C271" s="12">
        <f t="shared" si="28"/>
        <v>5.6574434123084896E-2</v>
      </c>
      <c r="D271" s="12">
        <f t="shared" si="29"/>
        <v>5.4875713665368932E-4</v>
      </c>
      <c r="E271" s="12">
        <f t="shared" ref="E271:E281" si="30">((B271-C271)/B271)^2</f>
        <v>8.5743302602138971E-2</v>
      </c>
      <c r="F271" s="12"/>
      <c r="G271" s="12"/>
      <c r="H271" s="12"/>
      <c r="I271" s="12"/>
      <c r="J271" s="12"/>
      <c r="K271" s="12"/>
    </row>
    <row r="272" spans="1:11">
      <c r="A272" s="12">
        <v>280</v>
      </c>
      <c r="B272" s="12">
        <v>0.21</v>
      </c>
      <c r="C272" s="12">
        <f t="shared" si="28"/>
        <v>0.10457082501626765</v>
      </c>
      <c r="D272" s="12">
        <f t="shared" si="29"/>
        <v>1.1115310937750455E-2</v>
      </c>
      <c r="E272" s="12">
        <f t="shared" si="30"/>
        <v>0.25204786706917126</v>
      </c>
      <c r="F272" s="12"/>
      <c r="G272" s="12"/>
      <c r="H272" s="12"/>
      <c r="I272" s="12"/>
      <c r="J272" s="12"/>
      <c r="K272" s="12"/>
    </row>
    <row r="273" spans="1:11">
      <c r="A273" s="12">
        <v>293</v>
      </c>
      <c r="B273" s="12">
        <v>0.3</v>
      </c>
      <c r="C273" s="12">
        <f t="shared" si="28"/>
        <v>0.14392674332870092</v>
      </c>
      <c r="D273" s="12">
        <f t="shared" si="29"/>
        <v>2.4358861447985197E-2</v>
      </c>
      <c r="E273" s="12">
        <f t="shared" si="30"/>
        <v>0.27065401608872441</v>
      </c>
      <c r="F273" s="12"/>
      <c r="G273" s="12"/>
      <c r="H273" s="12"/>
      <c r="I273" s="12"/>
      <c r="J273" s="12"/>
      <c r="K273" s="12"/>
    </row>
    <row r="274" spans="1:11">
      <c r="A274" s="12">
        <v>300</v>
      </c>
      <c r="B274" s="12">
        <v>0.35</v>
      </c>
      <c r="C274" s="12">
        <f t="shared" si="28"/>
        <v>0.17093964079008397</v>
      </c>
      <c r="D274" s="12">
        <f t="shared" si="29"/>
        <v>3.2062612240384154E-2</v>
      </c>
      <c r="E274" s="12">
        <f t="shared" si="30"/>
        <v>0.26173561012558499</v>
      </c>
      <c r="F274" s="12"/>
      <c r="G274" s="12"/>
      <c r="H274" s="12"/>
      <c r="I274" s="12"/>
      <c r="J274" s="12"/>
      <c r="K274" s="12"/>
    </row>
    <row r="275" spans="1:11">
      <c r="A275" s="12">
        <v>315</v>
      </c>
      <c r="B275" s="12">
        <v>0.49</v>
      </c>
      <c r="C275" s="12">
        <f t="shared" si="28"/>
        <v>0.2471251673632883</v>
      </c>
      <c r="D275" s="12">
        <f t="shared" si="29"/>
        <v>5.8988184328310718E-2</v>
      </c>
      <c r="E275" s="12">
        <f t="shared" si="30"/>
        <v>0.2456817339788035</v>
      </c>
      <c r="F275" s="12"/>
      <c r="G275" s="12"/>
      <c r="H275" s="12"/>
      <c r="I275" s="12"/>
      <c r="J275" s="12"/>
      <c r="K275" s="12"/>
    </row>
    <row r="276" spans="1:11">
      <c r="A276" s="12">
        <v>337</v>
      </c>
      <c r="B276" s="12">
        <v>0.68</v>
      </c>
      <c r="C276" s="12">
        <f t="shared" si="28"/>
        <v>0.42431897597279233</v>
      </c>
      <c r="D276" s="12">
        <f t="shared" si="29"/>
        <v>6.5372786047601564E-2</v>
      </c>
      <c r="E276" s="12">
        <f t="shared" si="30"/>
        <v>0.14137713245588573</v>
      </c>
      <c r="F276" s="12"/>
      <c r="G276" s="12"/>
      <c r="H276" s="12"/>
      <c r="I276" s="12"/>
      <c r="J276" s="12"/>
      <c r="K276" s="12"/>
    </row>
    <row r="277" spans="1:11">
      <c r="A277" s="12">
        <v>354</v>
      </c>
      <c r="B277" s="12">
        <v>0.8</v>
      </c>
      <c r="C277" s="12">
        <f t="shared" si="28"/>
        <v>0.64433224980428505</v>
      </c>
      <c r="D277" s="12">
        <f t="shared" si="29"/>
        <v>2.4232448450995526E-2</v>
      </c>
      <c r="E277" s="12">
        <f t="shared" si="30"/>
        <v>3.7863200704680508E-2</v>
      </c>
      <c r="F277" s="12"/>
      <c r="G277" s="12"/>
      <c r="H277" s="12"/>
      <c r="I277" s="12"/>
      <c r="J277" s="12"/>
      <c r="K277" s="12"/>
    </row>
    <row r="278" spans="1:11">
      <c r="A278" s="12">
        <v>362</v>
      </c>
      <c r="B278" s="12">
        <v>0.84</v>
      </c>
      <c r="C278" s="12">
        <f t="shared" si="28"/>
        <v>0.78430100230427646</v>
      </c>
      <c r="D278" s="12">
        <f t="shared" si="29"/>
        <v>3.1023783443082124E-3</v>
      </c>
      <c r="E278" s="12">
        <f t="shared" si="30"/>
        <v>4.3967947056522301E-3</v>
      </c>
      <c r="F278" s="12"/>
      <c r="G278" s="12"/>
      <c r="H278" s="12"/>
      <c r="I278" s="12"/>
      <c r="J278" s="12"/>
      <c r="K278" s="12"/>
    </row>
    <row r="279" spans="1:11">
      <c r="A279" s="12">
        <v>370</v>
      </c>
      <c r="B279" s="12">
        <v>0.87</v>
      </c>
      <c r="C279" s="12">
        <f t="shared" si="28"/>
        <v>0.95467526637435396</v>
      </c>
      <c r="D279" s="12">
        <f t="shared" si="29"/>
        <v>7.1699007355677993E-3</v>
      </c>
      <c r="E279" s="12">
        <f t="shared" si="30"/>
        <v>9.4727186359727829E-3</v>
      </c>
      <c r="F279" s="12"/>
      <c r="G279" s="12"/>
      <c r="H279" s="12"/>
      <c r="I279" s="12"/>
      <c r="J279" s="12"/>
      <c r="K279" s="12"/>
    </row>
    <row r="280" spans="1:11">
      <c r="A280" s="12">
        <v>375</v>
      </c>
      <c r="B280" s="12">
        <v>0.89</v>
      </c>
      <c r="C280" s="12">
        <f t="shared" si="28"/>
        <v>1.0794778470336235</v>
      </c>
      <c r="D280" s="12">
        <f t="shared" si="29"/>
        <v>3.5901854516497217E-2</v>
      </c>
      <c r="E280" s="12">
        <f t="shared" si="30"/>
        <v>4.532490154841208E-2</v>
      </c>
      <c r="F280" s="12"/>
      <c r="G280" s="12"/>
      <c r="H280" s="12"/>
      <c r="I280" s="12"/>
      <c r="J280" s="12"/>
      <c r="K280" s="12"/>
    </row>
    <row r="281" spans="1:11">
      <c r="A281" s="12">
        <v>380</v>
      </c>
      <c r="B281" s="12">
        <v>0.9</v>
      </c>
      <c r="C281" s="12">
        <f t="shared" si="28"/>
        <v>1.2205955923230256</v>
      </c>
      <c r="D281" s="12">
        <f t="shared" si="29"/>
        <v>0.10278153381695163</v>
      </c>
      <c r="E281" s="12">
        <f t="shared" si="30"/>
        <v>0.12689078249006375</v>
      </c>
      <c r="F281" s="12"/>
      <c r="G281" s="12"/>
      <c r="H281" s="12"/>
      <c r="I281" s="12"/>
      <c r="J281" s="12"/>
      <c r="K281" s="12"/>
    </row>
    <row r="282" spans="1:11">
      <c r="A282" s="12"/>
      <c r="B282" s="12">
        <f>SUM(B260:B281)</f>
        <v>6.43</v>
      </c>
      <c r="C282" s="12">
        <f>SUM(C260:C281)</f>
        <v>5.8774107854383582</v>
      </c>
      <c r="D282" s="12">
        <f>SUM(D260:D281)</f>
        <v>0.36584134400175916</v>
      </c>
      <c r="E282" s="12">
        <f>SUM(E260:E281)</f>
        <v>1.7624933442959825</v>
      </c>
      <c r="F282" s="12"/>
      <c r="G282" s="12"/>
      <c r="H282" s="12"/>
      <c r="I282" s="12"/>
      <c r="J282" s="12"/>
      <c r="K282" s="12"/>
    </row>
    <row r="283" spans="1:1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 spans="1:1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  <row r="285" spans="1:1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</row>
    <row r="286" spans="1:1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</row>
    <row r="287" spans="1:1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</row>
    <row r="288" spans="1:1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spans="1:1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</row>
    <row r="290" spans="1:1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</row>
    <row r="291" spans="1:11">
      <c r="A291" s="12"/>
      <c r="B291" s="12" t="s">
        <v>171</v>
      </c>
      <c r="C291" s="12"/>
      <c r="D291" s="12"/>
      <c r="E291" s="12"/>
      <c r="F291" s="12"/>
      <c r="G291" s="12"/>
      <c r="H291" s="12"/>
      <c r="I291" s="12"/>
      <c r="J291" s="12"/>
      <c r="K291" s="12"/>
    </row>
    <row r="292" spans="1:11">
      <c r="A292" s="12" t="s">
        <v>29</v>
      </c>
      <c r="B292" s="12" t="s">
        <v>43</v>
      </c>
      <c r="C292" s="12" t="s">
        <v>99</v>
      </c>
      <c r="D292" s="12" t="s">
        <v>120</v>
      </c>
      <c r="E292" s="12" t="s">
        <v>119</v>
      </c>
      <c r="F292" s="12"/>
      <c r="G292" s="12"/>
      <c r="H292" s="12"/>
      <c r="I292" s="12"/>
      <c r="J292" s="12"/>
      <c r="K292" s="12"/>
    </row>
    <row r="293" spans="1:11">
      <c r="A293" s="12">
        <v>0</v>
      </c>
      <c r="B293" s="12">
        <v>0</v>
      </c>
      <c r="C293" s="12">
        <f>EXP(($K$293*$K$298*A293)-(($K$293*$K$294*$K$299)/($K$300)))</f>
        <v>9.9503875008553682E-4</v>
      </c>
      <c r="D293" s="12">
        <f>(B293-C293)^2</f>
        <v>9.9010211417178749E-7</v>
      </c>
      <c r="E293" s="12">
        <v>0</v>
      </c>
      <c r="F293" s="12"/>
      <c r="G293" s="12"/>
      <c r="H293" s="12"/>
      <c r="I293" s="12"/>
      <c r="J293" s="12" t="s">
        <v>236</v>
      </c>
      <c r="K293" s="12">
        <v>1.8404810128287201E-4</v>
      </c>
    </row>
    <row r="294" spans="1:11">
      <c r="A294" s="12">
        <v>20</v>
      </c>
      <c r="B294" s="12">
        <v>0</v>
      </c>
      <c r="C294" s="12">
        <f t="shared" ref="C294:C314" si="31">EXP(($K$293*$K$298*A294)-(($K$293*$K$294*$K$299)/($K$300)))</f>
        <v>1.437812131094462E-3</v>
      </c>
      <c r="D294" s="12">
        <f t="shared" ref="D294:D314" si="32">(B294-C294)^2</f>
        <v>2.0673037243223986E-6</v>
      </c>
      <c r="E294" s="12">
        <v>0</v>
      </c>
      <c r="F294" s="12"/>
      <c r="G294" s="12"/>
      <c r="H294" s="12"/>
      <c r="I294" s="12"/>
      <c r="J294" s="12" t="s">
        <v>208</v>
      </c>
      <c r="K294" s="12">
        <v>903.61560049081595</v>
      </c>
    </row>
    <row r="295" spans="1:11">
      <c r="A295" s="12">
        <v>30</v>
      </c>
      <c r="B295" s="12">
        <v>0</v>
      </c>
      <c r="C295" s="12">
        <f t="shared" si="31"/>
        <v>1.7283560663599623E-3</v>
      </c>
      <c r="D295" s="12">
        <f t="shared" si="32"/>
        <v>2.9872146921232826E-6</v>
      </c>
      <c r="E295" s="12">
        <v>0</v>
      </c>
      <c r="F295" s="12"/>
      <c r="G295" s="12"/>
      <c r="H295" s="12"/>
      <c r="I295" s="12"/>
      <c r="J295" s="12"/>
      <c r="K295" s="12"/>
    </row>
    <row r="296" spans="1:11">
      <c r="A296" s="12">
        <v>40</v>
      </c>
      <c r="B296" s="12">
        <v>0</v>
      </c>
      <c r="C296" s="12">
        <f t="shared" si="31"/>
        <v>2.0776112730732203E-3</v>
      </c>
      <c r="D296" s="12">
        <f t="shared" si="32"/>
        <v>4.316468602000927E-6</v>
      </c>
      <c r="E296" s="12">
        <v>0</v>
      </c>
      <c r="F296" s="12"/>
      <c r="G296" s="12" t="s">
        <v>134</v>
      </c>
      <c r="H296" s="12">
        <f>(100/20)*((B315-C315)^2/(B315))</f>
        <v>7.2132663988099449E-2</v>
      </c>
      <c r="I296" s="12"/>
      <c r="J296" s="12"/>
      <c r="K296" s="12"/>
    </row>
    <row r="297" spans="1:11">
      <c r="A297" s="12">
        <v>50</v>
      </c>
      <c r="B297" s="12">
        <v>0</v>
      </c>
      <c r="C297" s="12">
        <f t="shared" si="31"/>
        <v>2.4974417517402568E-3</v>
      </c>
      <c r="D297" s="12">
        <f t="shared" si="32"/>
        <v>6.2372153033354423E-6</v>
      </c>
      <c r="E297" s="12">
        <v>0</v>
      </c>
      <c r="F297" s="12"/>
      <c r="G297" s="12"/>
      <c r="H297" s="12"/>
      <c r="I297" s="12"/>
      <c r="J297" s="12"/>
      <c r="K297" s="12"/>
    </row>
    <row r="298" spans="1:11">
      <c r="A298" s="12">
        <v>60</v>
      </c>
      <c r="B298" s="12">
        <v>0</v>
      </c>
      <c r="C298" s="12">
        <f t="shared" si="31"/>
        <v>3.0021089046697873E-3</v>
      </c>
      <c r="D298" s="12">
        <f t="shared" si="32"/>
        <v>9.01265787549763E-6</v>
      </c>
      <c r="E298" s="12">
        <v>0</v>
      </c>
      <c r="F298" s="12"/>
      <c r="G298" s="12"/>
      <c r="H298" s="12"/>
      <c r="I298" s="12"/>
      <c r="J298" s="12" t="s">
        <v>12</v>
      </c>
      <c r="K298" s="12">
        <v>100</v>
      </c>
    </row>
    <row r="299" spans="1:11">
      <c r="A299" s="12">
        <v>80</v>
      </c>
      <c r="B299" s="12">
        <v>0</v>
      </c>
      <c r="C299" s="12">
        <f t="shared" si="31"/>
        <v>4.3379904567835831E-3</v>
      </c>
      <c r="D299" s="12">
        <f t="shared" si="32"/>
        <v>1.8818161203145439E-5</v>
      </c>
      <c r="E299" s="12">
        <v>0</v>
      </c>
      <c r="F299" s="12"/>
      <c r="G299" s="12"/>
      <c r="H299" s="12"/>
      <c r="I299" s="12"/>
      <c r="J299" s="12" t="s">
        <v>209</v>
      </c>
      <c r="K299" s="12">
        <v>12</v>
      </c>
    </row>
    <row r="300" spans="1:11">
      <c r="A300" s="12">
        <v>100</v>
      </c>
      <c r="B300" s="12">
        <v>0</v>
      </c>
      <c r="C300" s="12">
        <f t="shared" si="31"/>
        <v>6.2683139755102708E-3</v>
      </c>
      <c r="D300" s="12">
        <f t="shared" si="32"/>
        <v>3.9291760095577374E-5</v>
      </c>
      <c r="E300" s="12">
        <v>0</v>
      </c>
      <c r="F300" s="12"/>
      <c r="G300" s="12"/>
      <c r="H300" s="12"/>
      <c r="I300" s="12"/>
      <c r="J300" s="12" t="s">
        <v>210</v>
      </c>
      <c r="K300" s="12">
        <v>0.28870000000000001</v>
      </c>
    </row>
    <row r="301" spans="1:11">
      <c r="A301" s="12">
        <v>140</v>
      </c>
      <c r="B301" s="12">
        <v>0</v>
      </c>
      <c r="C301" s="12">
        <f t="shared" si="31"/>
        <v>1.3088052879913513E-2</v>
      </c>
      <c r="D301" s="12">
        <f t="shared" si="32"/>
        <v>1.712971281874124E-4</v>
      </c>
      <c r="E301" s="12">
        <v>0</v>
      </c>
      <c r="F301" s="12"/>
      <c r="G301" s="12"/>
      <c r="H301" s="12"/>
      <c r="I301" s="12"/>
      <c r="J301" s="12" t="s">
        <v>106</v>
      </c>
      <c r="K301" s="12">
        <v>23</v>
      </c>
    </row>
    <row r="302" spans="1:11">
      <c r="A302" s="12">
        <v>180</v>
      </c>
      <c r="B302" s="12">
        <v>0</v>
      </c>
      <c r="C302" s="12">
        <f t="shared" si="31"/>
        <v>2.7327464587232633E-2</v>
      </c>
      <c r="D302" s="12">
        <f t="shared" si="32"/>
        <v>7.4679032076645365E-4</v>
      </c>
      <c r="E302" s="12">
        <v>0</v>
      </c>
      <c r="F302" s="12"/>
      <c r="G302" s="12"/>
      <c r="H302" s="12"/>
      <c r="I302" s="12"/>
      <c r="J302" s="12" t="s">
        <v>107</v>
      </c>
      <c r="K302" s="12">
        <v>2</v>
      </c>
    </row>
    <row r="303" spans="1:11">
      <c r="A303" s="12">
        <v>230</v>
      </c>
      <c r="B303" s="12">
        <v>0.02</v>
      </c>
      <c r="C303" s="12">
        <f t="shared" si="31"/>
        <v>6.8589038390204651E-2</v>
      </c>
      <c r="D303" s="12">
        <f t="shared" si="32"/>
        <v>2.3608946516847809E-3</v>
      </c>
      <c r="E303" s="12">
        <f>(B303-C303)^2/B303</f>
        <v>0.11804473258423905</v>
      </c>
      <c r="F303" s="12"/>
      <c r="G303" s="12"/>
      <c r="H303" s="12"/>
      <c r="I303" s="12"/>
      <c r="J303" s="12"/>
      <c r="K303" s="12"/>
    </row>
    <row r="304" spans="1:11">
      <c r="A304" s="12">
        <v>255</v>
      </c>
      <c r="B304" s="12">
        <v>0.08</v>
      </c>
      <c r="C304" s="12">
        <f t="shared" si="31"/>
        <v>0.10866317767968069</v>
      </c>
      <c r="D304" s="12">
        <f t="shared" si="32"/>
        <v>8.21577754696945E-4</v>
      </c>
      <c r="E304" s="12">
        <f t="shared" ref="E304:E314" si="33">(B304-C304)^2/B304</f>
        <v>1.0269721933711812E-2</v>
      </c>
      <c r="F304" s="12"/>
      <c r="G304" s="12"/>
      <c r="H304" s="12"/>
      <c r="I304" s="12"/>
      <c r="J304" s="12"/>
      <c r="K304" s="12"/>
    </row>
    <row r="305" spans="1:11">
      <c r="A305" s="12">
        <v>280</v>
      </c>
      <c r="B305" s="12">
        <v>0.21</v>
      </c>
      <c r="C305" s="12">
        <f t="shared" si="31"/>
        <v>0.172151213380069</v>
      </c>
      <c r="D305" s="12">
        <f t="shared" si="32"/>
        <v>1.4325306486010672E-3</v>
      </c>
      <c r="E305" s="12">
        <f t="shared" si="33"/>
        <v>6.8215745171479394E-3</v>
      </c>
      <c r="F305" s="12"/>
      <c r="G305" s="12"/>
      <c r="H305" s="12"/>
      <c r="I305" s="12"/>
      <c r="J305" s="12"/>
      <c r="K305" s="12"/>
    </row>
    <row r="306" spans="1:11">
      <c r="A306" s="12">
        <v>293</v>
      </c>
      <c r="B306" s="12">
        <v>0.3</v>
      </c>
      <c r="C306" s="12">
        <f t="shared" si="31"/>
        <v>0.21868575043875793</v>
      </c>
      <c r="D306" s="12">
        <f t="shared" si="32"/>
        <v>6.6120071817079538E-3</v>
      </c>
      <c r="E306" s="12">
        <f t="shared" si="33"/>
        <v>2.2040023939026515E-2</v>
      </c>
      <c r="F306" s="12"/>
      <c r="G306" s="12"/>
      <c r="H306" s="12"/>
      <c r="I306" s="12"/>
      <c r="J306" s="12"/>
      <c r="K306" s="12"/>
    </row>
    <row r="307" spans="1:11">
      <c r="A307" s="12">
        <v>300</v>
      </c>
      <c r="B307" s="12">
        <v>0.35</v>
      </c>
      <c r="C307" s="12">
        <f t="shared" si="31"/>
        <v>0.24875523989313655</v>
      </c>
      <c r="D307" s="12">
        <f t="shared" si="32"/>
        <v>1.0250501449096323E-2</v>
      </c>
      <c r="E307" s="12">
        <f t="shared" si="33"/>
        <v>2.9287146997418068E-2</v>
      </c>
      <c r="F307" s="12"/>
      <c r="G307" s="12"/>
      <c r="H307" s="12"/>
      <c r="I307" s="12"/>
      <c r="J307" s="12"/>
      <c r="K307" s="12"/>
    </row>
    <row r="308" spans="1:11">
      <c r="A308" s="12">
        <v>315</v>
      </c>
      <c r="B308" s="12">
        <v>0.49</v>
      </c>
      <c r="C308" s="12">
        <f t="shared" si="31"/>
        <v>0.32784521536858924</v>
      </c>
      <c r="D308" s="12">
        <f t="shared" si="32"/>
        <v>2.6294174178859205E-2</v>
      </c>
      <c r="E308" s="12">
        <f t="shared" si="33"/>
        <v>5.3661579956855519E-2</v>
      </c>
      <c r="F308" s="12"/>
      <c r="G308" s="12"/>
      <c r="H308" s="12"/>
      <c r="I308" s="12"/>
      <c r="J308" s="12"/>
      <c r="K308" s="12"/>
    </row>
    <row r="309" spans="1:11">
      <c r="A309" s="12">
        <v>337</v>
      </c>
      <c r="B309" s="12">
        <v>0.68</v>
      </c>
      <c r="C309" s="12">
        <f t="shared" si="31"/>
        <v>0.49149286144355614</v>
      </c>
      <c r="D309" s="12">
        <f t="shared" si="32"/>
        <v>3.5534941286738342E-2</v>
      </c>
      <c r="E309" s="12">
        <f t="shared" si="33"/>
        <v>5.2257266598144614E-2</v>
      </c>
      <c r="F309" s="12"/>
      <c r="G309" s="12"/>
      <c r="H309" s="12"/>
      <c r="I309" s="12"/>
      <c r="J309" s="12"/>
      <c r="K309" s="12"/>
    </row>
    <row r="310" spans="1:11">
      <c r="A310" s="12">
        <v>354</v>
      </c>
      <c r="B310" s="12">
        <v>0.8</v>
      </c>
      <c r="C310" s="12">
        <f t="shared" si="31"/>
        <v>0.67204761094998056</v>
      </c>
      <c r="D310" s="12">
        <f t="shared" si="32"/>
        <v>1.6371813863607546E-2</v>
      </c>
      <c r="E310" s="12">
        <f t="shared" si="33"/>
        <v>2.0464767329509432E-2</v>
      </c>
      <c r="F310" s="12"/>
      <c r="G310" s="12"/>
      <c r="H310" s="12"/>
      <c r="I310" s="12"/>
      <c r="J310" s="12"/>
      <c r="K310" s="12"/>
    </row>
    <row r="311" spans="1:11">
      <c r="A311" s="12">
        <v>362</v>
      </c>
      <c r="B311" s="12">
        <v>0.84</v>
      </c>
      <c r="C311" s="12">
        <f t="shared" si="31"/>
        <v>0.77865468571670582</v>
      </c>
      <c r="D311" s="12">
        <f t="shared" si="32"/>
        <v>3.7632475845161334E-3</v>
      </c>
      <c r="E311" s="12">
        <f t="shared" si="33"/>
        <v>4.4800566482334925E-3</v>
      </c>
      <c r="F311" s="12"/>
      <c r="G311" s="12"/>
      <c r="H311" s="12"/>
      <c r="I311" s="12"/>
      <c r="J311" s="12"/>
      <c r="K311" s="12"/>
    </row>
    <row r="312" spans="1:11">
      <c r="A312" s="12">
        <v>370</v>
      </c>
      <c r="B312" s="12">
        <v>0.87</v>
      </c>
      <c r="C312" s="12">
        <f t="shared" si="31"/>
        <v>0.90217286649012152</v>
      </c>
      <c r="D312" s="12">
        <f t="shared" si="32"/>
        <v>1.0350933381911842E-3</v>
      </c>
      <c r="E312" s="12">
        <f t="shared" si="33"/>
        <v>1.1897624576910164E-3</v>
      </c>
      <c r="F312" s="12"/>
      <c r="G312" s="12"/>
      <c r="H312" s="12"/>
      <c r="I312" s="12"/>
      <c r="J312" s="12"/>
      <c r="K312" s="12"/>
    </row>
    <row r="313" spans="1:11">
      <c r="A313" s="12">
        <v>375</v>
      </c>
      <c r="B313" s="12">
        <v>0.89</v>
      </c>
      <c r="C313" s="12">
        <f t="shared" si="31"/>
        <v>0.98913438328589465</v>
      </c>
      <c r="D313" s="12">
        <f t="shared" si="32"/>
        <v>9.8276259494746651E-3</v>
      </c>
      <c r="E313" s="12">
        <f t="shared" si="33"/>
        <v>1.1042276347724343E-2</v>
      </c>
      <c r="F313" s="12"/>
      <c r="G313" s="12"/>
      <c r="H313" s="12"/>
      <c r="I313" s="12"/>
      <c r="J313" s="12"/>
      <c r="K313" s="12"/>
    </row>
    <row r="314" spans="1:11">
      <c r="A314" s="12">
        <v>380</v>
      </c>
      <c r="B314" s="12">
        <v>0.9</v>
      </c>
      <c r="C314" s="12">
        <f t="shared" si="31"/>
        <v>1.0844782242285282</v>
      </c>
      <c r="D314" s="12">
        <f t="shared" si="32"/>
        <v>3.4032215214511136E-2</v>
      </c>
      <c r="E314" s="12">
        <f t="shared" si="33"/>
        <v>3.7813572460567928E-2</v>
      </c>
      <c r="F314" s="12"/>
      <c r="G314" s="12"/>
      <c r="H314" s="12"/>
      <c r="I314" s="12"/>
      <c r="J314" s="12"/>
      <c r="K314" s="12"/>
    </row>
    <row r="315" spans="1:11">
      <c r="A315" s="12"/>
      <c r="B315" s="12">
        <f>SUM(B293:B314)</f>
        <v>6.43</v>
      </c>
      <c r="C315" s="12">
        <f>SUM(C293:C314)</f>
        <v>6.1254304580416878</v>
      </c>
      <c r="D315" s="12">
        <f>SUM(D293:D314)</f>
        <v>0.14933843143424932</v>
      </c>
      <c r="E315" s="12">
        <f>SUM(E293:E314)</f>
        <v>0.36737248177026977</v>
      </c>
      <c r="F315" s="12"/>
      <c r="G315" s="12"/>
      <c r="H315" s="12"/>
      <c r="I315" s="12"/>
      <c r="J315" s="12"/>
      <c r="K315" s="12"/>
    </row>
    <row r="320" spans="1:11">
      <c r="B320" t="s">
        <v>53</v>
      </c>
    </row>
    <row r="321" spans="1:11">
      <c r="A321" t="s">
        <v>29</v>
      </c>
      <c r="B321" t="s">
        <v>43</v>
      </c>
      <c r="C321" t="s">
        <v>99</v>
      </c>
      <c r="D321" t="s">
        <v>120</v>
      </c>
    </row>
    <row r="322" spans="1:11">
      <c r="A322">
        <v>0</v>
      </c>
      <c r="B322">
        <v>0</v>
      </c>
      <c r="C322">
        <f>EXP(($K$322*$K$327*A322)-(($K$322*$K$323*$K$328)/($K$329)))</f>
        <v>4.7589792460961719E-2</v>
      </c>
      <c r="D322">
        <f>(B322-C322)^2</f>
        <v>2.264788346477409E-3</v>
      </c>
      <c r="J322" s="6" t="s">
        <v>236</v>
      </c>
      <c r="K322" s="6">
        <v>9.1335618240545406E-5</v>
      </c>
    </row>
    <row r="323" spans="1:11">
      <c r="A323">
        <v>20</v>
      </c>
      <c r="B323">
        <v>0</v>
      </c>
      <c r="C323">
        <f t="shared" ref="C323:C339" si="34">EXP(($K$322*$K$327*A323)-(($K$322*$K$323*$K$328)/($K$329)))</f>
        <v>5.7127723865497762E-2</v>
      </c>
      <c r="D323">
        <f t="shared" ref="D323:D339" si="35">(B323-C323)^2</f>
        <v>3.2635768340525625E-3</v>
      </c>
      <c r="J323" s="6" t="s">
        <v>208</v>
      </c>
      <c r="K323" s="6">
        <v>2406.3204050570798</v>
      </c>
    </row>
    <row r="324" spans="1:11">
      <c r="A324">
        <v>30</v>
      </c>
      <c r="B324">
        <v>0</v>
      </c>
      <c r="C324">
        <f t="shared" si="34"/>
        <v>6.259122852410362E-2</v>
      </c>
      <c r="D324">
        <f t="shared" si="35"/>
        <v>3.9176618881565624E-3</v>
      </c>
      <c r="F324" s="6" t="s">
        <v>100</v>
      </c>
      <c r="G324" s="6">
        <f>(D340)</f>
        <v>0.15480327286509421</v>
      </c>
    </row>
    <row r="325" spans="1:11">
      <c r="A325">
        <v>40</v>
      </c>
      <c r="B325">
        <v>0</v>
      </c>
      <c r="C325">
        <f t="shared" si="34"/>
        <v>6.857724451582134E-2</v>
      </c>
      <c r="D325">
        <f t="shared" si="35"/>
        <v>4.7028384653827479E-3</v>
      </c>
    </row>
    <row r="326" spans="1:11">
      <c r="A326">
        <v>50</v>
      </c>
      <c r="B326">
        <v>0</v>
      </c>
      <c r="C326">
        <f t="shared" si="34"/>
        <v>7.5135743078947631E-2</v>
      </c>
      <c r="D326">
        <f t="shared" si="35"/>
        <v>5.6453798880256268E-3</v>
      </c>
    </row>
    <row r="327" spans="1:11">
      <c r="A327">
        <v>60</v>
      </c>
      <c r="B327">
        <v>0</v>
      </c>
      <c r="C327">
        <f t="shared" si="34"/>
        <v>8.2321474534066338E-2</v>
      </c>
      <c r="D327">
        <f t="shared" si="35"/>
        <v>6.7768251694629326E-3</v>
      </c>
      <c r="J327" t="s">
        <v>12</v>
      </c>
      <c r="K327">
        <v>100</v>
      </c>
    </row>
    <row r="328" spans="1:11">
      <c r="A328">
        <v>90</v>
      </c>
      <c r="B328">
        <v>0</v>
      </c>
      <c r="C328">
        <f t="shared" si="34"/>
        <v>0.10827116401546916</v>
      </c>
      <c r="D328">
        <f t="shared" si="35"/>
        <v>1.1722644957264623E-2</v>
      </c>
      <c r="J328" t="s">
        <v>209</v>
      </c>
      <c r="K328">
        <v>4</v>
      </c>
    </row>
    <row r="329" spans="1:11">
      <c r="A329">
        <v>150</v>
      </c>
      <c r="B329">
        <v>0.02</v>
      </c>
      <c r="C329">
        <f t="shared" si="34"/>
        <v>0.18728894181634856</v>
      </c>
      <c r="D329">
        <f t="shared" si="35"/>
        <v>2.7985590054033657E-2</v>
      </c>
      <c r="J329" t="s">
        <v>210</v>
      </c>
      <c r="K329">
        <v>0.28870000000000001</v>
      </c>
    </row>
    <row r="330" spans="1:11">
      <c r="A330">
        <v>210</v>
      </c>
      <c r="B330">
        <v>0.28999999999999998</v>
      </c>
      <c r="C330">
        <f t="shared" si="34"/>
        <v>0.32397497566088773</v>
      </c>
      <c r="D330">
        <f t="shared" si="35"/>
        <v>1.1542989711579152E-3</v>
      </c>
      <c r="J330" t="s">
        <v>106</v>
      </c>
      <c r="K330">
        <v>18</v>
      </c>
    </row>
    <row r="331" spans="1:11">
      <c r="A331">
        <v>235</v>
      </c>
      <c r="B331">
        <v>0.45</v>
      </c>
      <c r="C331">
        <f t="shared" si="34"/>
        <v>0.40707820741601058</v>
      </c>
      <c r="D331">
        <f t="shared" si="35"/>
        <v>1.8422802786230098E-3</v>
      </c>
      <c r="J331" t="s">
        <v>107</v>
      </c>
      <c r="K331">
        <v>2</v>
      </c>
    </row>
    <row r="332" spans="1:11">
      <c r="A332">
        <v>260</v>
      </c>
      <c r="B332">
        <v>0.63</v>
      </c>
      <c r="C332">
        <f t="shared" si="34"/>
        <v>0.51149835451021963</v>
      </c>
      <c r="D332">
        <f t="shared" si="35"/>
        <v>1.4042639983785585E-2</v>
      </c>
    </row>
    <row r="333" spans="1:11">
      <c r="A333">
        <v>280</v>
      </c>
      <c r="B333">
        <v>0.74</v>
      </c>
      <c r="C333">
        <f t="shared" si="34"/>
        <v>0.61401269564447691</v>
      </c>
      <c r="D333">
        <f t="shared" si="35"/>
        <v>1.5872800858771203E-2</v>
      </c>
    </row>
    <row r="334" spans="1:11">
      <c r="A334">
        <v>290</v>
      </c>
      <c r="B334">
        <v>0.79</v>
      </c>
      <c r="C334">
        <f t="shared" si="34"/>
        <v>0.67273481856670281</v>
      </c>
      <c r="D334">
        <f t="shared" si="35"/>
        <v>1.3751122776584117E-2</v>
      </c>
    </row>
    <row r="335" spans="1:11">
      <c r="A335">
        <v>300</v>
      </c>
      <c r="B335">
        <v>0.83</v>
      </c>
      <c r="C335">
        <f t="shared" si="34"/>
        <v>0.73707292914676314</v>
      </c>
      <c r="D335">
        <f t="shared" si="35"/>
        <v>8.6354404973624944E-3</v>
      </c>
    </row>
    <row r="336" spans="1:11">
      <c r="A336">
        <v>315</v>
      </c>
      <c r="B336">
        <v>0.87</v>
      </c>
      <c r="C336">
        <f t="shared" si="34"/>
        <v>0.84529887979718454</v>
      </c>
      <c r="D336">
        <f t="shared" si="35"/>
        <v>6.101453392739377E-4</v>
      </c>
    </row>
    <row r="337" spans="1:11">
      <c r="A337">
        <v>320</v>
      </c>
      <c r="B337">
        <v>0.88</v>
      </c>
      <c r="C337">
        <f t="shared" si="34"/>
        <v>0.88479685637567818</v>
      </c>
      <c r="D337">
        <f t="shared" si="35"/>
        <v>2.300983108888432E-5</v>
      </c>
    </row>
    <row r="338" spans="1:11">
      <c r="A338">
        <v>330</v>
      </c>
      <c r="B338">
        <v>0.89</v>
      </c>
      <c r="C338">
        <f t="shared" si="34"/>
        <v>0.96941587179645317</v>
      </c>
      <c r="D338">
        <f t="shared" si="35"/>
        <v>6.3068806931906836E-3</v>
      </c>
    </row>
    <row r="339" spans="1:11">
      <c r="A339">
        <v>340</v>
      </c>
      <c r="B339">
        <v>0.9</v>
      </c>
      <c r="C339">
        <f t="shared" si="34"/>
        <v>1.062127567157471</v>
      </c>
      <c r="D339">
        <f t="shared" si="35"/>
        <v>2.6285348032400273E-2</v>
      </c>
    </row>
    <row r="340" spans="1:11">
      <c r="D340" s="6">
        <f>SUM(D322:D339)</f>
        <v>0.15480327286509421</v>
      </c>
    </row>
    <row r="347" spans="1:11">
      <c r="B347" t="s">
        <v>53</v>
      </c>
    </row>
    <row r="348" spans="1:11">
      <c r="A348" t="s">
        <v>29</v>
      </c>
      <c r="B348" t="s">
        <v>43</v>
      </c>
      <c r="C348" t="s">
        <v>99</v>
      </c>
      <c r="D348" t="s">
        <v>120</v>
      </c>
      <c r="E348" t="s">
        <v>137</v>
      </c>
    </row>
    <row r="349" spans="1:11">
      <c r="A349">
        <v>0</v>
      </c>
      <c r="B349">
        <v>0</v>
      </c>
      <c r="C349">
        <f>EXP(($K$349*$K$354*A349)-(($K$349*$K$350*$K$355)/($K$356)))</f>
        <v>3.4671898862465307E-2</v>
      </c>
      <c r="D349">
        <f>(B349-C349)^2</f>
        <v>1.202140570729023E-3</v>
      </c>
      <c r="E349">
        <f>ABS(B349-C349)</f>
        <v>3.4671898862465307E-2</v>
      </c>
      <c r="J349" s="6" t="s">
        <v>236</v>
      </c>
      <c r="K349" s="6">
        <v>1.01140556738266E-4</v>
      </c>
    </row>
    <row r="350" spans="1:11">
      <c r="A350">
        <v>20</v>
      </c>
      <c r="B350">
        <v>0</v>
      </c>
      <c r="C350">
        <f t="shared" ref="C350:C366" si="36">EXP(($K$349*$K$354*A350)-(($K$349*$K$350*$K$355)/($K$356)))</f>
        <v>4.2445064562978606E-2</v>
      </c>
      <c r="D350">
        <f t="shared" ref="D350:D366" si="37">(B350-C350)^2</f>
        <v>1.8015835057554222E-3</v>
      </c>
      <c r="E350">
        <f t="shared" ref="E350:E366" si="38">ABS(B350-C350)</f>
        <v>4.2445064562978606E-2</v>
      </c>
      <c r="J350" s="6" t="s">
        <v>208</v>
      </c>
      <c r="K350" s="6">
        <v>2399.0353762713098</v>
      </c>
    </row>
    <row r="351" spans="1:11">
      <c r="A351">
        <v>30</v>
      </c>
      <c r="B351">
        <v>0</v>
      </c>
      <c r="C351">
        <f t="shared" si="36"/>
        <v>4.6962583927901834E-2</v>
      </c>
      <c r="D351">
        <f t="shared" si="37"/>
        <v>2.2054842891852237E-3</v>
      </c>
      <c r="E351">
        <f t="shared" si="38"/>
        <v>4.6962583927901834E-2</v>
      </c>
    </row>
    <row r="352" spans="1:11">
      <c r="A352">
        <v>40</v>
      </c>
      <c r="B352">
        <v>0</v>
      </c>
      <c r="C352">
        <f t="shared" si="36"/>
        <v>5.196091257943071E-2</v>
      </c>
      <c r="D352">
        <f t="shared" si="37"/>
        <v>2.6999364360872405E-3</v>
      </c>
      <c r="E352">
        <f t="shared" si="38"/>
        <v>5.196091257943071E-2</v>
      </c>
      <c r="G352" s="6" t="s">
        <v>132</v>
      </c>
      <c r="H352" s="6">
        <f>(E367)</f>
        <v>1.4460375516679047</v>
      </c>
      <c r="J352" t="s">
        <v>104</v>
      </c>
      <c r="K352">
        <f>1-(D367/E367)</f>
        <v>0.88607657002472473</v>
      </c>
    </row>
    <row r="353" spans="1:11">
      <c r="A353">
        <v>50</v>
      </c>
      <c r="B353">
        <v>0</v>
      </c>
      <c r="C353">
        <f t="shared" si="36"/>
        <v>5.7491224082394002E-2</v>
      </c>
      <c r="D353">
        <f t="shared" si="37"/>
        <v>3.3052408464920402E-3</v>
      </c>
      <c r="E353">
        <f t="shared" si="38"/>
        <v>5.7491224082394002E-2</v>
      </c>
    </row>
    <row r="354" spans="1:11">
      <c r="A354">
        <v>60</v>
      </c>
      <c r="B354">
        <v>0</v>
      </c>
      <c r="C354">
        <f t="shared" si="36"/>
        <v>6.3610138514011719E-2</v>
      </c>
      <c r="D354">
        <f t="shared" si="37"/>
        <v>4.046249721771757E-3</v>
      </c>
      <c r="E354">
        <f t="shared" si="38"/>
        <v>6.3610138514011719E-2</v>
      </c>
      <c r="J354" t="s">
        <v>12</v>
      </c>
      <c r="K354">
        <v>100</v>
      </c>
    </row>
    <row r="355" spans="1:11">
      <c r="A355">
        <v>90</v>
      </c>
      <c r="B355">
        <v>0</v>
      </c>
      <c r="C355">
        <f t="shared" si="36"/>
        <v>8.6159009648695301E-2</v>
      </c>
      <c r="D355">
        <f t="shared" si="37"/>
        <v>7.4233749436439702E-3</v>
      </c>
      <c r="E355">
        <f t="shared" si="38"/>
        <v>8.6159009648695301E-2</v>
      </c>
      <c r="J355" t="s">
        <v>209</v>
      </c>
      <c r="K355">
        <v>4</v>
      </c>
    </row>
    <row r="356" spans="1:11">
      <c r="A356">
        <v>150</v>
      </c>
      <c r="B356">
        <v>0.02</v>
      </c>
      <c r="C356">
        <f t="shared" si="36"/>
        <v>0.15806998514052217</v>
      </c>
      <c r="D356">
        <f t="shared" si="37"/>
        <v>1.9063320796704017E-2</v>
      </c>
      <c r="E356">
        <f t="shared" si="38"/>
        <v>0.13806998514052218</v>
      </c>
      <c r="J356" t="s">
        <v>210</v>
      </c>
      <c r="K356">
        <v>0.28870000000000001</v>
      </c>
    </row>
    <row r="357" spans="1:11">
      <c r="A357">
        <v>210</v>
      </c>
      <c r="B357">
        <v>0.28999999999999998</v>
      </c>
      <c r="C357">
        <f t="shared" si="36"/>
        <v>0.29000008593649468</v>
      </c>
      <c r="D357">
        <f t="shared" si="37"/>
        <v>7.3850811210007768E-15</v>
      </c>
      <c r="E357">
        <f t="shared" si="38"/>
        <v>8.5936494698124477E-8</v>
      </c>
      <c r="J357" t="s">
        <v>106</v>
      </c>
      <c r="K357">
        <v>18</v>
      </c>
    </row>
    <row r="358" spans="1:11">
      <c r="A358">
        <v>235</v>
      </c>
      <c r="B358">
        <v>0.45</v>
      </c>
      <c r="C358">
        <f t="shared" si="36"/>
        <v>0.37343076197820929</v>
      </c>
      <c r="D358">
        <f t="shared" si="37"/>
        <v>5.8628482112376415E-3</v>
      </c>
      <c r="E358">
        <f t="shared" si="38"/>
        <v>7.656923802179072E-2</v>
      </c>
      <c r="J358" t="s">
        <v>107</v>
      </c>
      <c r="K358">
        <v>2</v>
      </c>
    </row>
    <row r="359" spans="1:11">
      <c r="A359">
        <v>260</v>
      </c>
      <c r="B359">
        <v>0.63</v>
      </c>
      <c r="C359">
        <f t="shared" si="36"/>
        <v>0.48086376782027374</v>
      </c>
      <c r="D359">
        <f t="shared" si="37"/>
        <v>2.2241615748765223E-2</v>
      </c>
      <c r="E359">
        <f t="shared" si="38"/>
        <v>0.14913623217972627</v>
      </c>
    </row>
    <row r="360" spans="1:11">
      <c r="A360">
        <v>280</v>
      </c>
      <c r="B360">
        <v>0.74</v>
      </c>
      <c r="C360">
        <f t="shared" si="36"/>
        <v>0.58866962412676527</v>
      </c>
      <c r="D360">
        <f t="shared" si="37"/>
        <v>2.2900882661934501E-2</v>
      </c>
      <c r="E360">
        <f t="shared" si="38"/>
        <v>0.15133037587323472</v>
      </c>
    </row>
    <row r="361" spans="1:11">
      <c r="A361">
        <v>290</v>
      </c>
      <c r="B361">
        <v>0.79</v>
      </c>
      <c r="C361">
        <f t="shared" si="36"/>
        <v>0.65132299628947965</v>
      </c>
      <c r="D361">
        <f t="shared" si="37"/>
        <v>1.9231311358127685E-2</v>
      </c>
      <c r="E361">
        <f t="shared" si="38"/>
        <v>0.13867700371052039</v>
      </c>
    </row>
    <row r="362" spans="1:11">
      <c r="A362">
        <v>300</v>
      </c>
      <c r="B362">
        <v>0.83</v>
      </c>
      <c r="C362">
        <f t="shared" si="36"/>
        <v>0.7206447013888263</v>
      </c>
      <c r="D362">
        <f t="shared" si="37"/>
        <v>1.1958581334338959E-2</v>
      </c>
      <c r="E362">
        <f t="shared" si="38"/>
        <v>0.10935529861117366</v>
      </c>
    </row>
    <row r="363" spans="1:11">
      <c r="A363">
        <v>315</v>
      </c>
      <c r="B363">
        <v>0.87</v>
      </c>
      <c r="C363">
        <f t="shared" si="36"/>
        <v>0.83870334732098284</v>
      </c>
      <c r="D363">
        <f t="shared" si="37"/>
        <v>9.7948046891103177E-4</v>
      </c>
      <c r="E363">
        <f t="shared" si="38"/>
        <v>3.1296652679017156E-2</v>
      </c>
    </row>
    <row r="364" spans="1:11">
      <c r="A364">
        <v>320</v>
      </c>
      <c r="B364">
        <v>0.88</v>
      </c>
      <c r="C364">
        <f t="shared" si="36"/>
        <v>0.88220754792667466</v>
      </c>
      <c r="D364">
        <f t="shared" si="37"/>
        <v>4.8732678485655807E-6</v>
      </c>
      <c r="E364">
        <f t="shared" si="38"/>
        <v>2.2075479266746578E-3</v>
      </c>
    </row>
    <row r="365" spans="1:11">
      <c r="A365">
        <v>330</v>
      </c>
      <c r="B365">
        <v>0.89</v>
      </c>
      <c r="C365">
        <f t="shared" si="36"/>
        <v>0.97610279164168379</v>
      </c>
      <c r="D365">
        <f t="shared" si="37"/>
        <v>7.4136907284912089E-3</v>
      </c>
      <c r="E365">
        <f t="shared" si="38"/>
        <v>8.6102791641683774E-2</v>
      </c>
    </row>
    <row r="366" spans="1:11">
      <c r="A366">
        <v>340</v>
      </c>
      <c r="B366">
        <v>0.9</v>
      </c>
      <c r="C366">
        <f t="shared" si="36"/>
        <v>1.0799915077691893</v>
      </c>
      <c r="D366">
        <f t="shared" si="37"/>
        <v>3.239694286902612E-2</v>
      </c>
      <c r="E366">
        <f t="shared" si="38"/>
        <v>0.17999150776918926</v>
      </c>
    </row>
    <row r="367" spans="1:11">
      <c r="D367" s="6">
        <f>SUM(D349:D366)</f>
        <v>0.16473755775905699</v>
      </c>
      <c r="E367">
        <f>SUM(E349:E366)</f>
        <v>1.4460375516679047</v>
      </c>
    </row>
    <row r="375" spans="1:11">
      <c r="B375" t="s">
        <v>53</v>
      </c>
    </row>
    <row r="376" spans="1:11">
      <c r="A376" t="s">
        <v>29</v>
      </c>
      <c r="B376" t="s">
        <v>43</v>
      </c>
      <c r="C376" t="s">
        <v>99</v>
      </c>
      <c r="D376" t="s">
        <v>120</v>
      </c>
      <c r="E376" t="s">
        <v>119</v>
      </c>
    </row>
    <row r="377" spans="1:11">
      <c r="A377">
        <v>0</v>
      </c>
      <c r="B377">
        <v>0</v>
      </c>
      <c r="C377">
        <f>EXP(($K$377*$K$382*A377)-(($K$377*$K$378*$K$383)/($K$384)))</f>
        <v>4.7589792460961719E-2</v>
      </c>
      <c r="D377">
        <f>(B377-C377)^2</f>
        <v>2.264788346477409E-3</v>
      </c>
      <c r="E377">
        <v>0</v>
      </c>
      <c r="J377" s="6" t="s">
        <v>236</v>
      </c>
      <c r="K377" s="6">
        <v>9.1335618240545406E-5</v>
      </c>
    </row>
    <row r="378" spans="1:11">
      <c r="A378">
        <v>20</v>
      </c>
      <c r="B378">
        <v>0</v>
      </c>
      <c r="C378">
        <f t="shared" ref="C378:C394" si="39">EXP(($K$377*$K$382*A378)-(($K$377*$K$378*$K$383)/($K$384)))</f>
        <v>5.7127723865497762E-2</v>
      </c>
      <c r="D378">
        <f t="shared" ref="D378:D394" si="40">(B378-C378)^2</f>
        <v>3.2635768340525625E-3</v>
      </c>
      <c r="E378">
        <v>0</v>
      </c>
      <c r="J378" s="6" t="s">
        <v>208</v>
      </c>
      <c r="K378" s="6">
        <v>2406.3204050570798</v>
      </c>
    </row>
    <row r="379" spans="1:11">
      <c r="A379">
        <v>30</v>
      </c>
      <c r="B379">
        <v>0</v>
      </c>
      <c r="C379">
        <f t="shared" si="39"/>
        <v>6.259122852410362E-2</v>
      </c>
      <c r="D379">
        <f t="shared" si="40"/>
        <v>3.9176618881565624E-3</v>
      </c>
      <c r="E379">
        <v>0</v>
      </c>
    </row>
    <row r="380" spans="1:11">
      <c r="A380">
        <v>40</v>
      </c>
      <c r="B380">
        <v>0</v>
      </c>
      <c r="C380">
        <f t="shared" si="39"/>
        <v>6.857724451582134E-2</v>
      </c>
      <c r="D380">
        <f t="shared" si="40"/>
        <v>4.7028384653827479E-3</v>
      </c>
      <c r="E380">
        <v>0</v>
      </c>
      <c r="G380" s="6" t="s">
        <v>121</v>
      </c>
      <c r="H380" s="6">
        <f>(100)*(1/16)^(0.5)*(E395)^(0.5)</f>
        <v>170.44129042084469</v>
      </c>
    </row>
    <row r="381" spans="1:11">
      <c r="A381">
        <v>50</v>
      </c>
      <c r="B381">
        <v>0</v>
      </c>
      <c r="C381">
        <f t="shared" si="39"/>
        <v>7.5135743078947631E-2</v>
      </c>
      <c r="D381">
        <f t="shared" si="40"/>
        <v>5.6453798880256268E-3</v>
      </c>
      <c r="E381">
        <v>0</v>
      </c>
    </row>
    <row r="382" spans="1:11">
      <c r="A382">
        <v>60</v>
      </c>
      <c r="B382">
        <v>0</v>
      </c>
      <c r="C382">
        <f t="shared" si="39"/>
        <v>8.2321474534066338E-2</v>
      </c>
      <c r="D382">
        <f t="shared" si="40"/>
        <v>6.7768251694629326E-3</v>
      </c>
      <c r="E382">
        <v>0</v>
      </c>
      <c r="J382" t="s">
        <v>12</v>
      </c>
      <c r="K382">
        <v>100</v>
      </c>
    </row>
    <row r="383" spans="1:11">
      <c r="A383">
        <v>90</v>
      </c>
      <c r="B383">
        <v>0</v>
      </c>
      <c r="C383">
        <f t="shared" si="39"/>
        <v>0.10827116401546916</v>
      </c>
      <c r="D383">
        <f t="shared" si="40"/>
        <v>1.1722644957264623E-2</v>
      </c>
      <c r="E383">
        <v>0</v>
      </c>
      <c r="J383" t="s">
        <v>209</v>
      </c>
      <c r="K383">
        <v>4</v>
      </c>
    </row>
    <row r="384" spans="1:11">
      <c r="A384">
        <v>150</v>
      </c>
      <c r="B384">
        <v>0.02</v>
      </c>
      <c r="C384">
        <f t="shared" si="39"/>
        <v>0.18728894181634856</v>
      </c>
      <c r="D384">
        <f t="shared" si="40"/>
        <v>2.7985590054033657E-2</v>
      </c>
      <c r="E384">
        <f>((B384-C$102)/B384)^2</f>
        <v>42.768036372969689</v>
      </c>
      <c r="J384" t="s">
        <v>210</v>
      </c>
      <c r="K384">
        <v>0.28870000000000001</v>
      </c>
    </row>
    <row r="385" spans="1:11">
      <c r="A385">
        <v>210</v>
      </c>
      <c r="B385">
        <v>0.28999999999999998</v>
      </c>
      <c r="C385">
        <f t="shared" si="39"/>
        <v>0.32397497566088773</v>
      </c>
      <c r="D385">
        <f t="shared" si="40"/>
        <v>1.1542989711579152E-3</v>
      </c>
      <c r="E385">
        <f t="shared" ref="E385:E394" si="41">(B385-C$102)^2</f>
        <v>1.9378157054816728E-2</v>
      </c>
      <c r="J385" t="s">
        <v>106</v>
      </c>
      <c r="K385">
        <v>18</v>
      </c>
    </row>
    <row r="386" spans="1:11">
      <c r="A386">
        <v>235</v>
      </c>
      <c r="B386">
        <v>0.45</v>
      </c>
      <c r="C386">
        <f t="shared" si="39"/>
        <v>0.40707820741601058</v>
      </c>
      <c r="D386">
        <f t="shared" si="40"/>
        <v>1.8422802786230098E-3</v>
      </c>
      <c r="E386">
        <f t="shared" si="41"/>
        <v>8.952390076185604E-2</v>
      </c>
      <c r="J386" t="s">
        <v>107</v>
      </c>
      <c r="K386">
        <v>2</v>
      </c>
    </row>
    <row r="387" spans="1:11">
      <c r="A387">
        <v>260</v>
      </c>
      <c r="B387">
        <v>0.63</v>
      </c>
      <c r="C387">
        <f t="shared" si="39"/>
        <v>0.51149835451021963</v>
      </c>
      <c r="D387">
        <f t="shared" si="40"/>
        <v>1.4042639983785585E-2</v>
      </c>
      <c r="E387">
        <f t="shared" si="41"/>
        <v>0.22963786243227532</v>
      </c>
    </row>
    <row r="388" spans="1:11">
      <c r="A388">
        <v>280</v>
      </c>
      <c r="B388">
        <v>0.74</v>
      </c>
      <c r="C388">
        <f t="shared" si="39"/>
        <v>0.61401269564447691</v>
      </c>
      <c r="D388">
        <f t="shared" si="40"/>
        <v>1.5872800858771203E-2</v>
      </c>
      <c r="E388">
        <f t="shared" si="41"/>
        <v>0.34716306123086482</v>
      </c>
    </row>
    <row r="389" spans="1:11">
      <c r="A389">
        <v>290</v>
      </c>
      <c r="B389">
        <v>0.79</v>
      </c>
      <c r="C389">
        <f t="shared" si="39"/>
        <v>0.67273481856670281</v>
      </c>
      <c r="D389">
        <f t="shared" si="40"/>
        <v>1.3751122776584117E-2</v>
      </c>
      <c r="E389">
        <f t="shared" si="41"/>
        <v>0.40858360613931471</v>
      </c>
    </row>
    <row r="390" spans="1:11">
      <c r="A390">
        <v>300</v>
      </c>
      <c r="B390">
        <v>0.83</v>
      </c>
      <c r="C390">
        <f t="shared" si="39"/>
        <v>0.73707292914676314</v>
      </c>
      <c r="D390">
        <f t="shared" si="40"/>
        <v>8.6354404973624944E-3</v>
      </c>
      <c r="E390">
        <f t="shared" si="41"/>
        <v>0.46132004206607441</v>
      </c>
    </row>
    <row r="391" spans="1:11">
      <c r="A391">
        <v>315</v>
      </c>
      <c r="B391">
        <v>0.87</v>
      </c>
      <c r="C391">
        <f t="shared" si="39"/>
        <v>0.84529887979718454</v>
      </c>
      <c r="D391">
        <f t="shared" si="40"/>
        <v>6.101453392739377E-4</v>
      </c>
      <c r="E391">
        <f t="shared" si="41"/>
        <v>0.51725647799283436</v>
      </c>
    </row>
    <row r="392" spans="1:11">
      <c r="A392">
        <v>320</v>
      </c>
      <c r="B392">
        <v>0.88</v>
      </c>
      <c r="C392">
        <f t="shared" si="39"/>
        <v>0.88479685637567818</v>
      </c>
      <c r="D392">
        <f t="shared" si="40"/>
        <v>2.300983108888432E-5</v>
      </c>
      <c r="E392">
        <f t="shared" si="41"/>
        <v>0.53174058697452431</v>
      </c>
    </row>
    <row r="393" spans="1:11">
      <c r="A393">
        <v>330</v>
      </c>
      <c r="B393">
        <v>0.89</v>
      </c>
      <c r="C393">
        <f t="shared" si="39"/>
        <v>0.96941587179645317</v>
      </c>
      <c r="D393">
        <f t="shared" si="40"/>
        <v>6.3068806931906836E-3</v>
      </c>
      <c r="E393">
        <f t="shared" si="41"/>
        <v>0.54642469595621423</v>
      </c>
    </row>
    <row r="394" spans="1:11">
      <c r="A394">
        <v>340</v>
      </c>
      <c r="B394">
        <v>0.9</v>
      </c>
      <c r="C394">
        <f t="shared" si="39"/>
        <v>1.062127567157471</v>
      </c>
      <c r="D394">
        <f t="shared" si="40"/>
        <v>2.6285348032400273E-2</v>
      </c>
      <c r="E394">
        <f t="shared" si="41"/>
        <v>0.56130880493790425</v>
      </c>
    </row>
    <row r="395" spans="1:11">
      <c r="D395" s="6">
        <f>SUM(D377:D394)</f>
        <v>0.15480327286509421</v>
      </c>
      <c r="E395">
        <f>SUM(E377:E394)</f>
        <v>46.48037356851637</v>
      </c>
    </row>
    <row r="403" spans="1:11">
      <c r="B403" t="s">
        <v>53</v>
      </c>
    </row>
    <row r="404" spans="1:11">
      <c r="A404" t="s">
        <v>29</v>
      </c>
      <c r="B404" t="s">
        <v>43</v>
      </c>
      <c r="C404" t="s">
        <v>99</v>
      </c>
      <c r="D404" t="s">
        <v>120</v>
      </c>
      <c r="E404" t="s">
        <v>119</v>
      </c>
    </row>
    <row r="405" spans="1:11">
      <c r="A405">
        <v>0</v>
      </c>
      <c r="B405">
        <v>0</v>
      </c>
      <c r="C405">
        <f>EXP(($K$405*$K$410*A405)-(($K$405*$K$406*$K$411)/($K$412)))</f>
        <v>4.7589792460961719E-2</v>
      </c>
      <c r="D405">
        <f>(B405-C405)^2</f>
        <v>2.264788346477409E-3</v>
      </c>
      <c r="E405">
        <v>0</v>
      </c>
      <c r="J405" s="6" t="s">
        <v>236</v>
      </c>
      <c r="K405" s="6">
        <v>9.1335618240545406E-5</v>
      </c>
    </row>
    <row r="406" spans="1:11">
      <c r="A406">
        <v>20</v>
      </c>
      <c r="B406">
        <v>0</v>
      </c>
      <c r="C406">
        <f t="shared" ref="C406:C422" si="42">EXP(($K$405*$K$410*A406)-(($K$405*$K$406*$K$411)/($K$412)))</f>
        <v>5.7127723865497762E-2</v>
      </c>
      <c r="D406">
        <f t="shared" ref="D406:D422" si="43">(B406-C406)^2</f>
        <v>3.2635768340525625E-3</v>
      </c>
      <c r="E406">
        <v>0</v>
      </c>
      <c r="J406" s="6" t="s">
        <v>208</v>
      </c>
      <c r="K406" s="6">
        <v>2406.3204050570798</v>
      </c>
    </row>
    <row r="407" spans="1:11">
      <c r="A407">
        <v>30</v>
      </c>
      <c r="B407">
        <v>0</v>
      </c>
      <c r="C407">
        <f t="shared" si="42"/>
        <v>6.259122852410362E-2</v>
      </c>
      <c r="D407">
        <f t="shared" si="43"/>
        <v>3.9176618881565624E-3</v>
      </c>
      <c r="E407">
        <v>0</v>
      </c>
    </row>
    <row r="408" spans="1:11">
      <c r="A408">
        <v>40</v>
      </c>
      <c r="B408">
        <v>0</v>
      </c>
      <c r="C408">
        <f t="shared" si="42"/>
        <v>6.857724451582134E-2</v>
      </c>
      <c r="D408">
        <f t="shared" si="43"/>
        <v>4.7028384653827479E-3</v>
      </c>
      <c r="E408">
        <v>0</v>
      </c>
      <c r="G408" s="6" t="s">
        <v>134</v>
      </c>
      <c r="H408" s="6">
        <f>(100/16)*(E423)</f>
        <v>34.151278868362091</v>
      </c>
    </row>
    <row r="409" spans="1:11">
      <c r="A409">
        <v>50</v>
      </c>
      <c r="B409">
        <v>0</v>
      </c>
      <c r="C409">
        <f t="shared" si="42"/>
        <v>7.5135743078947631E-2</v>
      </c>
      <c r="D409">
        <f t="shared" si="43"/>
        <v>5.6453798880256268E-3</v>
      </c>
      <c r="E409">
        <v>0</v>
      </c>
    </row>
    <row r="410" spans="1:11">
      <c r="A410">
        <v>60</v>
      </c>
      <c r="B410">
        <v>0</v>
      </c>
      <c r="C410">
        <f t="shared" si="42"/>
        <v>8.2321474534066338E-2</v>
      </c>
      <c r="D410">
        <f t="shared" si="43"/>
        <v>6.7768251694629326E-3</v>
      </c>
      <c r="E410">
        <v>0</v>
      </c>
      <c r="J410" t="s">
        <v>12</v>
      </c>
      <c r="K410">
        <v>100</v>
      </c>
    </row>
    <row r="411" spans="1:11">
      <c r="A411">
        <v>90</v>
      </c>
      <c r="B411">
        <v>0</v>
      </c>
      <c r="C411">
        <f t="shared" si="42"/>
        <v>0.10827116401546916</v>
      </c>
      <c r="D411">
        <f t="shared" si="43"/>
        <v>1.1722644957264623E-2</v>
      </c>
      <c r="E411">
        <v>0</v>
      </c>
      <c r="J411" t="s">
        <v>209</v>
      </c>
      <c r="K411">
        <v>4</v>
      </c>
    </row>
    <row r="412" spans="1:11">
      <c r="A412">
        <v>150</v>
      </c>
      <c r="B412">
        <v>0.02</v>
      </c>
      <c r="C412">
        <f t="shared" si="42"/>
        <v>0.18728894181634856</v>
      </c>
      <c r="D412">
        <f t="shared" si="43"/>
        <v>2.7985590054033657E-2</v>
      </c>
      <c r="E412">
        <f>(B412-C$102)^2/B412</f>
        <v>0.85536072745939384</v>
      </c>
      <c r="J412" t="s">
        <v>210</v>
      </c>
      <c r="K412">
        <v>0.28870000000000001</v>
      </c>
    </row>
    <row r="413" spans="1:11">
      <c r="A413">
        <v>210</v>
      </c>
      <c r="B413">
        <v>0.28999999999999998</v>
      </c>
      <c r="C413">
        <f t="shared" si="42"/>
        <v>0.32397497566088773</v>
      </c>
      <c r="D413">
        <f t="shared" si="43"/>
        <v>1.1542989711579152E-3</v>
      </c>
      <c r="E413">
        <f t="shared" ref="E413:E422" si="44">(B413-C$102)^2/B413</f>
        <v>6.6821231223505959E-2</v>
      </c>
      <c r="J413" t="s">
        <v>106</v>
      </c>
      <c r="K413">
        <v>18</v>
      </c>
    </row>
    <row r="414" spans="1:11">
      <c r="A414">
        <v>235</v>
      </c>
      <c r="B414">
        <v>0.45</v>
      </c>
      <c r="C414">
        <f t="shared" si="42"/>
        <v>0.40707820741601058</v>
      </c>
      <c r="D414">
        <f t="shared" si="43"/>
        <v>1.8422802786230098E-3</v>
      </c>
      <c r="E414">
        <f t="shared" si="44"/>
        <v>0.1989420016930134</v>
      </c>
      <c r="J414" t="s">
        <v>107</v>
      </c>
      <c r="K414">
        <v>2</v>
      </c>
    </row>
    <row r="415" spans="1:11">
      <c r="A415">
        <v>260</v>
      </c>
      <c r="B415">
        <v>0.63</v>
      </c>
      <c r="C415">
        <f t="shared" si="42"/>
        <v>0.51149835451021963</v>
      </c>
      <c r="D415">
        <f t="shared" si="43"/>
        <v>1.4042639983785585E-2</v>
      </c>
      <c r="E415">
        <f t="shared" si="44"/>
        <v>0.36450454354329415</v>
      </c>
    </row>
    <row r="416" spans="1:11">
      <c r="A416">
        <v>280</v>
      </c>
      <c r="B416">
        <v>0.74</v>
      </c>
      <c r="C416">
        <f t="shared" si="42"/>
        <v>0.61401269564447691</v>
      </c>
      <c r="D416">
        <f t="shared" si="43"/>
        <v>1.5872800858771203E-2</v>
      </c>
      <c r="E416">
        <f t="shared" si="44"/>
        <v>0.46913927193360111</v>
      </c>
    </row>
    <row r="417" spans="1:11">
      <c r="A417">
        <v>290</v>
      </c>
      <c r="B417">
        <v>0.79</v>
      </c>
      <c r="C417">
        <f t="shared" si="42"/>
        <v>0.67273481856670281</v>
      </c>
      <c r="D417">
        <f t="shared" si="43"/>
        <v>1.3751122776584117E-2</v>
      </c>
      <c r="E417">
        <f t="shared" si="44"/>
        <v>0.51719443815103128</v>
      </c>
    </row>
    <row r="418" spans="1:11">
      <c r="A418">
        <v>300</v>
      </c>
      <c r="B418">
        <v>0.83</v>
      </c>
      <c r="C418">
        <f t="shared" si="42"/>
        <v>0.73707292914676314</v>
      </c>
      <c r="D418">
        <f t="shared" si="43"/>
        <v>8.6354404973624944E-3</v>
      </c>
      <c r="E418">
        <f t="shared" si="44"/>
        <v>0.55580727959768006</v>
      </c>
    </row>
    <row r="419" spans="1:11">
      <c r="A419">
        <v>315</v>
      </c>
      <c r="B419">
        <v>0.87</v>
      </c>
      <c r="C419">
        <f t="shared" si="42"/>
        <v>0.84529887979718454</v>
      </c>
      <c r="D419">
        <f t="shared" si="43"/>
        <v>6.101453392739377E-4</v>
      </c>
      <c r="E419">
        <f t="shared" si="44"/>
        <v>0.59454767585383261</v>
      </c>
    </row>
    <row r="420" spans="1:11">
      <c r="A420">
        <v>320</v>
      </c>
      <c r="B420">
        <v>0.88</v>
      </c>
      <c r="C420">
        <f t="shared" si="42"/>
        <v>0.88479685637567818</v>
      </c>
      <c r="D420">
        <f t="shared" si="43"/>
        <v>2.300983108888432E-5</v>
      </c>
      <c r="E420">
        <f t="shared" si="44"/>
        <v>0.60425066701650487</v>
      </c>
    </row>
    <row r="421" spans="1:11">
      <c r="A421">
        <v>330</v>
      </c>
      <c r="B421">
        <v>0.89</v>
      </c>
      <c r="C421">
        <f t="shared" si="42"/>
        <v>0.96941587179645317</v>
      </c>
      <c r="D421">
        <f t="shared" si="43"/>
        <v>6.3068806931906836E-3</v>
      </c>
      <c r="E421">
        <f t="shared" si="44"/>
        <v>0.61396033253507221</v>
      </c>
    </row>
    <row r="422" spans="1:11">
      <c r="A422">
        <v>340</v>
      </c>
      <c r="B422">
        <v>0.9</v>
      </c>
      <c r="C422">
        <f t="shared" si="42"/>
        <v>1.062127567157471</v>
      </c>
      <c r="D422">
        <f t="shared" si="43"/>
        <v>2.6285348032400273E-2</v>
      </c>
      <c r="E422">
        <f t="shared" si="44"/>
        <v>0.62367644993100468</v>
      </c>
    </row>
    <row r="423" spans="1:11">
      <c r="D423" s="6">
        <f>SUM(D405:D422)</f>
        <v>0.15480327286509421</v>
      </c>
      <c r="E423">
        <f>SUM(E405:E422)</f>
        <v>5.4642046189379343</v>
      </c>
    </row>
    <row r="429" spans="1:11" ht="16.8">
      <c r="A429" s="1" t="s">
        <v>109</v>
      </c>
    </row>
    <row r="430" spans="1:11">
      <c r="B430" t="s">
        <v>55</v>
      </c>
    </row>
    <row r="431" spans="1:11">
      <c r="A431" t="s">
        <v>29</v>
      </c>
      <c r="B431" t="s">
        <v>43</v>
      </c>
      <c r="C431" t="s">
        <v>99</v>
      </c>
      <c r="D431" t="s">
        <v>120</v>
      </c>
      <c r="J431" s="6" t="s">
        <v>236</v>
      </c>
      <c r="K431" s="6">
        <v>1.32411296913257E-4</v>
      </c>
    </row>
    <row r="432" spans="1:11">
      <c r="A432">
        <v>0</v>
      </c>
      <c r="B432">
        <v>0</v>
      </c>
      <c r="C432">
        <f>EXP(($K$431*$K$436*A432)-(($K$431*$K$432*$K$437)/($K$438)))</f>
        <v>0.22376396799461318</v>
      </c>
      <c r="D432">
        <f>(B432-C432)^2</f>
        <v>5.007031337269427E-2</v>
      </c>
      <c r="J432" s="6" t="s">
        <v>208</v>
      </c>
      <c r="K432" s="6">
        <v>816.07670881446495</v>
      </c>
    </row>
    <row r="433" spans="1:11">
      <c r="A433">
        <v>10</v>
      </c>
      <c r="B433">
        <v>0</v>
      </c>
      <c r="C433">
        <f t="shared" ref="C433:C440" si="45">EXP(($K$431*$K$436*A433)-(($K$431*$K$432*$K$437)/($K$438)))</f>
        <v>0.25544396714294965</v>
      </c>
      <c r="D433">
        <f t="shared" ref="D433:D440" si="46">(B433-C433)^2</f>
        <v>6.525162034972834E-2</v>
      </c>
    </row>
    <row r="434" spans="1:11">
      <c r="A434">
        <v>20</v>
      </c>
      <c r="B434">
        <v>0.08</v>
      </c>
      <c r="C434">
        <f t="shared" si="45"/>
        <v>0.29160914929475695</v>
      </c>
      <c r="D434">
        <f t="shared" si="46"/>
        <v>4.4778432065250728E-2</v>
      </c>
      <c r="G434" s="6" t="s">
        <v>100</v>
      </c>
      <c r="H434" s="6">
        <f>D441</f>
        <v>0.32907465788332235</v>
      </c>
    </row>
    <row r="435" spans="1:11">
      <c r="A435">
        <v>30</v>
      </c>
      <c r="B435">
        <v>0.32</v>
      </c>
      <c r="C435">
        <f t="shared" si="45"/>
        <v>0.33289451656857749</v>
      </c>
      <c r="D435">
        <f t="shared" si="46"/>
        <v>1.6626855753731928E-4</v>
      </c>
    </row>
    <row r="436" spans="1:11">
      <c r="A436">
        <v>48</v>
      </c>
      <c r="B436">
        <v>0.62</v>
      </c>
      <c r="C436">
        <f t="shared" si="45"/>
        <v>0.42249009687850003</v>
      </c>
      <c r="D436">
        <f t="shared" si="46"/>
        <v>3.9010161831064302E-2</v>
      </c>
      <c r="J436" t="s">
        <v>12</v>
      </c>
      <c r="K436">
        <v>100</v>
      </c>
    </row>
    <row r="437" spans="1:11">
      <c r="A437">
        <v>60</v>
      </c>
      <c r="B437">
        <v>0.74</v>
      </c>
      <c r="C437">
        <f t="shared" si="45"/>
        <v>0.49524845378186505</v>
      </c>
      <c r="D437">
        <f t="shared" si="46"/>
        <v>5.9903319376167843E-2</v>
      </c>
      <c r="J437" t="s">
        <v>209</v>
      </c>
      <c r="K437">
        <v>4</v>
      </c>
    </row>
    <row r="438" spans="1:11">
      <c r="A438">
        <v>85</v>
      </c>
      <c r="B438">
        <v>0.86</v>
      </c>
      <c r="C438">
        <f t="shared" si="45"/>
        <v>0.68958350938638202</v>
      </c>
      <c r="D438">
        <f t="shared" si="46"/>
        <v>2.9041780273061341E-2</v>
      </c>
      <c r="J438" t="s">
        <v>210</v>
      </c>
      <c r="K438">
        <v>0.28870000000000001</v>
      </c>
    </row>
    <row r="439" spans="1:11">
      <c r="A439">
        <v>100</v>
      </c>
      <c r="B439">
        <v>0.89</v>
      </c>
      <c r="C439">
        <f t="shared" si="45"/>
        <v>0.84109511504184509</v>
      </c>
      <c r="D439">
        <f t="shared" si="46"/>
        <v>2.3916877727703681E-3</v>
      </c>
      <c r="J439" t="s">
        <v>106</v>
      </c>
      <c r="K439">
        <v>9</v>
      </c>
    </row>
    <row r="440" spans="1:11">
      <c r="A440">
        <v>120</v>
      </c>
      <c r="B440">
        <v>0.9</v>
      </c>
      <c r="C440">
        <f t="shared" si="45"/>
        <v>1.0961149517121216</v>
      </c>
      <c r="D440">
        <f t="shared" si="46"/>
        <v>3.8461074285047775E-2</v>
      </c>
      <c r="J440" t="s">
        <v>107</v>
      </c>
      <c r="K440">
        <v>2</v>
      </c>
    </row>
    <row r="441" spans="1:11">
      <c r="D441">
        <f>SUM(D432:D440)</f>
        <v>0.32907465788332235</v>
      </c>
    </row>
    <row r="448" spans="1:11" ht="16.8">
      <c r="A448" s="1" t="s">
        <v>144</v>
      </c>
    </row>
    <row r="449" spans="1:11">
      <c r="B449" t="s">
        <v>55</v>
      </c>
    </row>
    <row r="450" spans="1:11">
      <c r="A450" t="s">
        <v>29</v>
      </c>
      <c r="B450" t="s">
        <v>43</v>
      </c>
      <c r="C450" t="s">
        <v>99</v>
      </c>
      <c r="D450" t="s">
        <v>120</v>
      </c>
      <c r="E450" t="s">
        <v>137</v>
      </c>
      <c r="J450" s="6" t="s">
        <v>236</v>
      </c>
      <c r="K450" s="6">
        <v>1.35081195349255E-4</v>
      </c>
    </row>
    <row r="451" spans="1:11">
      <c r="A451">
        <v>0</v>
      </c>
      <c r="B451">
        <v>0</v>
      </c>
      <c r="C451">
        <f>EXP(($K$450*$K$455*A451)-(($K$450*$K$451*$K$456)/($K$457)))</f>
        <v>0.23053657099285649</v>
      </c>
      <c r="D451">
        <f>(B451-C451)^2</f>
        <v>5.3147110565144359E-2</v>
      </c>
      <c r="E451">
        <f>ABS(B451-C451)</f>
        <v>0.23053657099285649</v>
      </c>
      <c r="J451" s="6" t="s">
        <v>208</v>
      </c>
      <c r="K451" s="6">
        <v>784.01498192339795</v>
      </c>
    </row>
    <row r="452" spans="1:11">
      <c r="A452">
        <v>10</v>
      </c>
      <c r="B452">
        <v>0</v>
      </c>
      <c r="C452">
        <f t="shared" ref="C452:C459" si="47">EXP(($K$450*$K$455*A452)-(($K$450*$K$451*$K$456)/($K$457)))</f>
        <v>0.26387901051815055</v>
      </c>
      <c r="D452">
        <f t="shared" ref="D452:D459" si="48">(B452-C452)^2</f>
        <v>6.9632132192038204E-2</v>
      </c>
      <c r="E452">
        <f t="shared" ref="E452:E459" si="49">ABS(B452-C452)</f>
        <v>0.26387901051815055</v>
      </c>
    </row>
    <row r="453" spans="1:11">
      <c r="A453">
        <v>20</v>
      </c>
      <c r="B453">
        <v>0.08</v>
      </c>
      <c r="C453">
        <f t="shared" si="47"/>
        <v>0.30204375770903552</v>
      </c>
      <c r="D453">
        <f t="shared" si="48"/>
        <v>4.9303430337548866E-2</v>
      </c>
      <c r="E453">
        <f t="shared" si="49"/>
        <v>0.22204375770903551</v>
      </c>
      <c r="G453" s="6" t="s">
        <v>132</v>
      </c>
      <c r="H453" s="6">
        <f>E460</f>
        <v>1.542113637448157</v>
      </c>
      <c r="J453" t="s">
        <v>104</v>
      </c>
      <c r="K453">
        <f>1-(D460/E460)</f>
        <v>0.77794401961892856</v>
      </c>
    </row>
    <row r="454" spans="1:11">
      <c r="A454">
        <v>30</v>
      </c>
      <c r="B454">
        <v>0.32</v>
      </c>
      <c r="C454">
        <f t="shared" si="47"/>
        <v>0.34572826156902459</v>
      </c>
      <c r="D454">
        <f t="shared" si="48"/>
        <v>6.6194344336414717E-4</v>
      </c>
      <c r="E454">
        <f t="shared" si="49"/>
        <v>2.572826156902458E-2</v>
      </c>
    </row>
    <row r="455" spans="1:11">
      <c r="A455">
        <v>48</v>
      </c>
      <c r="B455">
        <v>0.62</v>
      </c>
      <c r="C455">
        <f t="shared" si="47"/>
        <v>0.44089169112784399</v>
      </c>
      <c r="D455">
        <f t="shared" si="48"/>
        <v>3.207978630704364E-2</v>
      </c>
      <c r="E455">
        <f t="shared" si="49"/>
        <v>0.17910830887215601</v>
      </c>
      <c r="J455" t="s">
        <v>12</v>
      </c>
      <c r="K455">
        <v>100</v>
      </c>
    </row>
    <row r="456" spans="1:11">
      <c r="A456">
        <v>60</v>
      </c>
      <c r="B456">
        <v>0.74</v>
      </c>
      <c r="C456">
        <f t="shared" si="47"/>
        <v>0.51847752542152481</v>
      </c>
      <c r="D456">
        <f t="shared" si="48"/>
        <v>4.9072206743371184E-2</v>
      </c>
      <c r="E456">
        <f t="shared" si="49"/>
        <v>0.22152247457847518</v>
      </c>
      <c r="J456" t="s">
        <v>209</v>
      </c>
      <c r="K456">
        <v>4</v>
      </c>
    </row>
    <row r="457" spans="1:11">
      <c r="A457">
        <v>85</v>
      </c>
      <c r="B457">
        <v>0.86</v>
      </c>
      <c r="C457">
        <f t="shared" si="47"/>
        <v>0.72676244954222247</v>
      </c>
      <c r="D457">
        <f t="shared" si="48"/>
        <v>1.775224485198881E-2</v>
      </c>
      <c r="E457">
        <f t="shared" si="49"/>
        <v>0.13323755045777752</v>
      </c>
      <c r="J457" t="s">
        <v>210</v>
      </c>
      <c r="K457">
        <v>0.28870000000000001</v>
      </c>
    </row>
    <row r="458" spans="1:11">
      <c r="A458">
        <v>100</v>
      </c>
      <c r="B458">
        <v>0.89</v>
      </c>
      <c r="C458">
        <f t="shared" si="47"/>
        <v>0.8900000000204813</v>
      </c>
      <c r="D458">
        <f t="shared" si="48"/>
        <v>4.1948296708879139E-22</v>
      </c>
      <c r="E458">
        <f t="shared" si="49"/>
        <v>2.0481283335982425E-11</v>
      </c>
      <c r="J458" t="s">
        <v>106</v>
      </c>
      <c r="K458">
        <v>9</v>
      </c>
    </row>
    <row r="459" spans="1:11">
      <c r="A459">
        <v>120</v>
      </c>
      <c r="B459">
        <v>0.9</v>
      </c>
      <c r="C459">
        <f t="shared" si="47"/>
        <v>1.1660577027301999</v>
      </c>
      <c r="D459">
        <f t="shared" si="48"/>
        <v>7.0786701182071421E-2</v>
      </c>
      <c r="E459">
        <f t="shared" si="49"/>
        <v>0.26605770273019991</v>
      </c>
      <c r="J459" t="s">
        <v>107</v>
      </c>
      <c r="K459">
        <v>2</v>
      </c>
    </row>
    <row r="460" spans="1:11">
      <c r="D460">
        <f>SUM(D451:D459)</f>
        <v>0.34243555562257061</v>
      </c>
      <c r="E460">
        <f>SUM(E451:E459)</f>
        <v>1.542113637448157</v>
      </c>
    </row>
    <row r="467" spans="1:11" ht="16.8">
      <c r="A467" s="10" t="s">
        <v>145</v>
      </c>
    </row>
    <row r="468" spans="1:11">
      <c r="B468" t="s">
        <v>55</v>
      </c>
    </row>
    <row r="469" spans="1:11">
      <c r="A469" t="s">
        <v>29</v>
      </c>
      <c r="B469" t="s">
        <v>43</v>
      </c>
      <c r="C469" t="s">
        <v>99</v>
      </c>
      <c r="D469" t="s">
        <v>120</v>
      </c>
      <c r="E469" t="s">
        <v>119</v>
      </c>
      <c r="J469" s="6" t="s">
        <v>236</v>
      </c>
      <c r="K469" s="6">
        <v>2.34023624446718E-4</v>
      </c>
    </row>
    <row r="470" spans="1:11">
      <c r="A470">
        <v>0</v>
      </c>
      <c r="B470">
        <v>0</v>
      </c>
      <c r="C470">
        <f>EXP(($K$469*$K$474*A470)-(($K$469*$K$470*$K$475)/($K$476)))</f>
        <v>7.2361669224872943E-2</v>
      </c>
      <c r="D470">
        <f>(B470-C470)^2</f>
        <v>5.2362111730099243E-3</v>
      </c>
      <c r="E470">
        <v>0</v>
      </c>
      <c r="J470" s="6" t="s">
        <v>208</v>
      </c>
      <c r="K470" s="6">
        <v>809.90634950668903</v>
      </c>
    </row>
    <row r="471" spans="1:11">
      <c r="A471">
        <v>10</v>
      </c>
      <c r="B471">
        <v>0</v>
      </c>
      <c r="C471">
        <f t="shared" ref="C471:C478" si="50">EXP(($K$469*$K$474*A471)-(($K$469*$K$470*$K$475)/($K$476)))</f>
        <v>9.1441584994307018E-2</v>
      </c>
      <c r="D471">
        <f t="shared" ref="D471:D478" si="51">(B471-C471)^2</f>
        <v>8.3615634662710745E-3</v>
      </c>
      <c r="E471">
        <v>0</v>
      </c>
    </row>
    <row r="472" spans="1:11">
      <c r="A472">
        <v>20</v>
      </c>
      <c r="B472">
        <v>0.08</v>
      </c>
      <c r="C472">
        <f t="shared" si="50"/>
        <v>0.11555238506572409</v>
      </c>
      <c r="D472">
        <f t="shared" si="51"/>
        <v>1.263972083861521E-3</v>
      </c>
      <c r="E472">
        <f>((B472-C472)/B472)^2</f>
        <v>0.19749563810336265</v>
      </c>
      <c r="G472" s="6" t="s">
        <v>121</v>
      </c>
      <c r="H472" s="6">
        <f>(100)*(1/7)^(0.5)*E479^(0.5)</f>
        <v>47.05223881241858</v>
      </c>
    </row>
    <row r="473" spans="1:11">
      <c r="A473">
        <v>30</v>
      </c>
      <c r="B473">
        <v>0.32</v>
      </c>
      <c r="C473">
        <f t="shared" si="50"/>
        <v>0.1460205845645465</v>
      </c>
      <c r="D473">
        <f t="shared" si="51"/>
        <v>3.0268836995262116E-2</v>
      </c>
      <c r="E473">
        <f t="shared" ref="E473:E478" si="52">((B473-C473)/B473)^2</f>
        <v>0.29559411128185659</v>
      </c>
    </row>
    <row r="474" spans="1:11">
      <c r="A474">
        <v>48</v>
      </c>
      <c r="B474">
        <v>0.62</v>
      </c>
      <c r="C474">
        <f t="shared" si="50"/>
        <v>0.22251402335667977</v>
      </c>
      <c r="D474">
        <f t="shared" si="51"/>
        <v>0.15799510162809408</v>
      </c>
      <c r="E474">
        <f t="shared" si="52"/>
        <v>0.41101743399608243</v>
      </c>
      <c r="J474" t="s">
        <v>12</v>
      </c>
      <c r="K474">
        <v>100</v>
      </c>
    </row>
    <row r="475" spans="1:11">
      <c r="A475">
        <v>60</v>
      </c>
      <c r="B475">
        <v>0.74</v>
      </c>
      <c r="C475">
        <f t="shared" si="50"/>
        <v>0.2946589174209216</v>
      </c>
      <c r="D475">
        <f t="shared" si="51"/>
        <v>0.19832867983270552</v>
      </c>
      <c r="E475">
        <f t="shared" si="52"/>
        <v>0.36217801284277856</v>
      </c>
      <c r="J475" t="s">
        <v>209</v>
      </c>
      <c r="K475">
        <v>4</v>
      </c>
    </row>
    <row r="476" spans="1:11">
      <c r="A476">
        <v>85</v>
      </c>
      <c r="B476">
        <v>0.86</v>
      </c>
      <c r="C476">
        <f t="shared" si="50"/>
        <v>0.52894133955268652</v>
      </c>
      <c r="D476">
        <f t="shared" si="51"/>
        <v>0.10959983665716959</v>
      </c>
      <c r="E476">
        <f t="shared" si="52"/>
        <v>0.1481879889902239</v>
      </c>
      <c r="J476" t="s">
        <v>210</v>
      </c>
      <c r="K476">
        <v>0.28870000000000001</v>
      </c>
    </row>
    <row r="477" spans="1:11">
      <c r="A477">
        <v>100</v>
      </c>
      <c r="B477">
        <v>0.89</v>
      </c>
      <c r="C477">
        <f t="shared" si="50"/>
        <v>0.75138109495780347</v>
      </c>
      <c r="D477">
        <f t="shared" si="51"/>
        <v>1.92152008350975E-2</v>
      </c>
      <c r="E477">
        <f t="shared" si="52"/>
        <v>2.4258554267261076E-2</v>
      </c>
      <c r="J477" t="s">
        <v>106</v>
      </c>
      <c r="K477">
        <v>9</v>
      </c>
    </row>
    <row r="478" spans="1:11">
      <c r="A478">
        <v>120</v>
      </c>
      <c r="B478">
        <v>0.9</v>
      </c>
      <c r="C478">
        <f t="shared" si="50"/>
        <v>1.1998600715781369</v>
      </c>
      <c r="D478">
        <f t="shared" si="51"/>
        <v>8.9916062526845378E-2</v>
      </c>
      <c r="E478">
        <f t="shared" si="52"/>
        <v>0.11100748460104368</v>
      </c>
      <c r="J478" t="s">
        <v>107</v>
      </c>
      <c r="K478">
        <v>2</v>
      </c>
    </row>
    <row r="479" spans="1:11">
      <c r="D479">
        <f>SUM(D470:D478)</f>
        <v>0.62018546519831674</v>
      </c>
      <c r="E479">
        <f>SUM(E470:E478)</f>
        <v>1.5497392240826087</v>
      </c>
    </row>
    <row r="488" spans="1:11" ht="16.8">
      <c r="A488" s="1" t="s">
        <v>133</v>
      </c>
    </row>
    <row r="489" spans="1:11">
      <c r="B489" t="s">
        <v>55</v>
      </c>
    </row>
    <row r="490" spans="1:11">
      <c r="A490" t="s">
        <v>29</v>
      </c>
      <c r="B490" t="s">
        <v>43</v>
      </c>
      <c r="C490" t="s">
        <v>99</v>
      </c>
      <c r="D490" t="s">
        <v>120</v>
      </c>
      <c r="E490" t="s">
        <v>119</v>
      </c>
      <c r="J490" s="6" t="s">
        <v>236</v>
      </c>
      <c r="K490" s="6">
        <v>1.32411296913257E-4</v>
      </c>
    </row>
    <row r="491" spans="1:11">
      <c r="A491">
        <v>0</v>
      </c>
      <c r="B491">
        <v>0</v>
      </c>
      <c r="C491">
        <f>EXP(($K$490*$K$495*A491)-(($K$490*$K$491*$K$496)/($K$497)))</f>
        <v>0.22376396799461318</v>
      </c>
      <c r="D491">
        <f>(B491-C491)^2</f>
        <v>5.007031337269427E-2</v>
      </c>
      <c r="E491">
        <v>0</v>
      </c>
      <c r="J491" s="6" t="s">
        <v>208</v>
      </c>
      <c r="K491" s="6">
        <v>816.07670881446495</v>
      </c>
    </row>
    <row r="492" spans="1:11">
      <c r="A492">
        <v>10</v>
      </c>
      <c r="B492">
        <v>0</v>
      </c>
      <c r="C492">
        <f t="shared" ref="C492:C499" si="53">EXP(($K$490*$K$495*A492)-(($K$490*$K$491*$K$496)/($K$497)))</f>
        <v>0.25544396714294965</v>
      </c>
      <c r="D492">
        <f t="shared" ref="D492:D499" si="54">(B492-C492)^2</f>
        <v>6.525162034972834E-2</v>
      </c>
      <c r="E492">
        <v>0</v>
      </c>
    </row>
    <row r="493" spans="1:11">
      <c r="A493">
        <v>20</v>
      </c>
      <c r="B493">
        <v>0.08</v>
      </c>
      <c r="C493">
        <f t="shared" si="53"/>
        <v>0.29160914929475695</v>
      </c>
      <c r="D493">
        <f t="shared" si="54"/>
        <v>4.4778432065250728E-2</v>
      </c>
      <c r="E493">
        <f>(B493-C$121)^2/B493</f>
        <v>7.7148081752287392E-2</v>
      </c>
      <c r="G493" s="6" t="s">
        <v>134</v>
      </c>
      <c r="H493" s="6">
        <f>(100/7)*E500</f>
        <v>62.712870451282747</v>
      </c>
    </row>
    <row r="494" spans="1:11">
      <c r="A494">
        <v>30</v>
      </c>
      <c r="B494">
        <v>0.32</v>
      </c>
      <c r="C494">
        <f t="shared" si="53"/>
        <v>0.33289451656857749</v>
      </c>
      <c r="D494">
        <f t="shared" si="54"/>
        <v>1.6626855753731928E-4</v>
      </c>
      <c r="E494">
        <f t="shared" ref="E494:E499" si="55">(B494-C$121)^2/B494</f>
        <v>0.31712867145931189</v>
      </c>
    </row>
    <row r="495" spans="1:11">
      <c r="A495">
        <v>48</v>
      </c>
      <c r="B495">
        <v>0.62</v>
      </c>
      <c r="C495">
        <f t="shared" si="53"/>
        <v>0.42249009687850003</v>
      </c>
      <c r="D495">
        <f t="shared" si="54"/>
        <v>3.9010161831064302E-2</v>
      </c>
      <c r="E495">
        <f t="shared" si="55"/>
        <v>0.61712554076689652</v>
      </c>
      <c r="J495" t="s">
        <v>12</v>
      </c>
      <c r="K495">
        <v>100</v>
      </c>
    </row>
    <row r="496" spans="1:11">
      <c r="A496">
        <v>60</v>
      </c>
      <c r="B496">
        <v>0.74</v>
      </c>
      <c r="C496">
        <f t="shared" si="53"/>
        <v>0.49524845378186505</v>
      </c>
      <c r="D496">
        <f t="shared" si="54"/>
        <v>5.9903319376167843E-2</v>
      </c>
      <c r="E496">
        <f t="shared" si="55"/>
        <v>0.73712499924172192</v>
      </c>
      <c r="J496" t="s">
        <v>209</v>
      </c>
      <c r="K496">
        <v>4</v>
      </c>
    </row>
    <row r="497" spans="1:11">
      <c r="A497">
        <v>85</v>
      </c>
      <c r="B497">
        <v>0.86</v>
      </c>
      <c r="C497">
        <f t="shared" si="53"/>
        <v>0.68958350938638202</v>
      </c>
      <c r="D497">
        <f t="shared" si="54"/>
        <v>2.9041780273061341E-2</v>
      </c>
      <c r="E497">
        <f t="shared" si="55"/>
        <v>0.85712460883985186</v>
      </c>
      <c r="J497" t="s">
        <v>210</v>
      </c>
      <c r="K497">
        <v>0.28870000000000001</v>
      </c>
    </row>
    <row r="498" spans="1:11">
      <c r="A498">
        <v>100</v>
      </c>
      <c r="B498">
        <v>0.89</v>
      </c>
      <c r="C498">
        <f t="shared" si="53"/>
        <v>0.84109511504184509</v>
      </c>
      <c r="D498">
        <f t="shared" si="54"/>
        <v>2.3916877727703681E-3</v>
      </c>
      <c r="E498">
        <f t="shared" si="55"/>
        <v>0.88712452768890149</v>
      </c>
      <c r="J498" t="s">
        <v>106</v>
      </c>
      <c r="K498">
        <v>9</v>
      </c>
    </row>
    <row r="499" spans="1:11">
      <c r="A499">
        <v>120</v>
      </c>
      <c r="B499">
        <v>0.9</v>
      </c>
      <c r="C499">
        <f t="shared" si="53"/>
        <v>1.0961149517121216</v>
      </c>
      <c r="D499">
        <f t="shared" si="54"/>
        <v>3.8461074285047775E-2</v>
      </c>
      <c r="E499">
        <f t="shared" si="55"/>
        <v>0.89712450184082082</v>
      </c>
      <c r="J499" t="s">
        <v>107</v>
      </c>
      <c r="K499">
        <v>2</v>
      </c>
    </row>
    <row r="500" spans="1:11">
      <c r="D500">
        <f>SUM(D491:D499)</f>
        <v>0.32907465788332235</v>
      </c>
      <c r="E500">
        <f>SUM(E491:E499)</f>
        <v>4.3899009315897919</v>
      </c>
    </row>
    <row r="505" spans="1:11" ht="16.8">
      <c r="A505" s="1" t="s">
        <v>109</v>
      </c>
    </row>
    <row r="506" spans="1:11">
      <c r="A506" t="s">
        <v>63</v>
      </c>
      <c r="B506" t="s">
        <v>64</v>
      </c>
    </row>
    <row r="507" spans="1:11">
      <c r="A507" t="s">
        <v>29</v>
      </c>
      <c r="B507" t="s">
        <v>43</v>
      </c>
      <c r="C507" t="s">
        <v>99</v>
      </c>
      <c r="D507" t="s">
        <v>120</v>
      </c>
    </row>
    <row r="508" spans="1:11">
      <c r="A508">
        <v>0</v>
      </c>
      <c r="B508">
        <v>0</v>
      </c>
      <c r="C508">
        <f>EXP(($K$509*$K$514*A508)-(($K$509*$K$510*$K$515)/($K$516)))</f>
        <v>8.9618087163385915E-2</v>
      </c>
      <c r="D508">
        <f>(B508-C508)^2</f>
        <v>8.0314015468242357E-3</v>
      </c>
    </row>
    <row r="509" spans="1:11">
      <c r="A509">
        <v>10</v>
      </c>
      <c r="B509">
        <v>0</v>
      </c>
      <c r="C509">
        <f t="shared" ref="C509:C524" si="56">EXP(($K$509*$K$514*A509)-(($K$509*$K$510*$K$515)/($K$516)))</f>
        <v>9.5968812721988303E-2</v>
      </c>
      <c r="D509">
        <f t="shared" ref="D509:D524" si="57">(B509-C509)^2</f>
        <v>9.2100130152680641E-3</v>
      </c>
      <c r="J509" s="6" t="s">
        <v>236</v>
      </c>
      <c r="K509" s="6">
        <v>1.36932211872268E-4</v>
      </c>
    </row>
    <row r="510" spans="1:11">
      <c r="A510">
        <v>22</v>
      </c>
      <c r="B510">
        <v>0</v>
      </c>
      <c r="C510">
        <f t="shared" si="56"/>
        <v>0.10418650374513701</v>
      </c>
      <c r="D510">
        <f t="shared" si="57"/>
        <v>1.0854827562635448E-2</v>
      </c>
      <c r="J510" s="6" t="s">
        <v>208</v>
      </c>
      <c r="K510" s="6">
        <v>1271.43494198038</v>
      </c>
    </row>
    <row r="511" spans="1:11">
      <c r="A511">
        <v>30</v>
      </c>
      <c r="B511">
        <v>0</v>
      </c>
      <c r="C511">
        <f t="shared" si="56"/>
        <v>0.11005227531909867</v>
      </c>
      <c r="D511">
        <f t="shared" si="57"/>
        <v>1.2111503302910694E-2</v>
      </c>
    </row>
    <row r="512" spans="1:11">
      <c r="A512">
        <v>41</v>
      </c>
      <c r="B512">
        <v>0</v>
      </c>
      <c r="C512">
        <f t="shared" si="56"/>
        <v>0.11866070469763179</v>
      </c>
      <c r="D512">
        <f t="shared" si="57"/>
        <v>1.4080362839338575E-2</v>
      </c>
      <c r="G512" s="6" t="s">
        <v>100</v>
      </c>
      <c r="H512" s="6">
        <f>D525</f>
        <v>0.2978848856812143</v>
      </c>
      <c r="J512" t="s">
        <v>104</v>
      </c>
      <c r="K512" t="e">
        <f>1-(D525/E525)</f>
        <v>#DIV/0!</v>
      </c>
    </row>
    <row r="513" spans="1:11">
      <c r="A513">
        <v>50</v>
      </c>
      <c r="B513">
        <v>0</v>
      </c>
      <c r="C513">
        <f t="shared" si="56"/>
        <v>0.12620249182405188</v>
      </c>
      <c r="D513">
        <f t="shared" si="57"/>
        <v>1.5927068942599883E-2</v>
      </c>
    </row>
    <row r="514" spans="1:11">
      <c r="A514">
        <v>60</v>
      </c>
      <c r="B514">
        <v>0</v>
      </c>
      <c r="C514">
        <f t="shared" si="56"/>
        <v>0.13514574664855078</v>
      </c>
      <c r="D514">
        <f t="shared" si="57"/>
        <v>1.8264372837194273E-2</v>
      </c>
      <c r="J514" t="s">
        <v>12</v>
      </c>
      <c r="K514">
        <v>50</v>
      </c>
    </row>
    <row r="515" spans="1:11">
      <c r="A515">
        <v>80</v>
      </c>
      <c r="B515">
        <v>0.01</v>
      </c>
      <c r="C515">
        <f t="shared" si="56"/>
        <v>0.15497844035496497</v>
      </c>
      <c r="D515">
        <f t="shared" si="57"/>
        <v>2.1018748167758134E-2</v>
      </c>
      <c r="J515" t="s">
        <v>209</v>
      </c>
      <c r="K515">
        <v>4</v>
      </c>
    </row>
    <row r="516" spans="1:11">
      <c r="A516">
        <v>100</v>
      </c>
      <c r="B516">
        <v>0.05</v>
      </c>
      <c r="C516">
        <f t="shared" si="56"/>
        <v>0.17772158999067536</v>
      </c>
      <c r="D516">
        <f t="shared" si="57"/>
        <v>1.6312804549746179E-2</v>
      </c>
      <c r="J516" t="s">
        <v>210</v>
      </c>
      <c r="K516">
        <v>0.28870000000000001</v>
      </c>
    </row>
    <row r="517" spans="1:11">
      <c r="A517">
        <v>155</v>
      </c>
      <c r="B517">
        <v>0.26</v>
      </c>
      <c r="C517">
        <f t="shared" si="56"/>
        <v>0.25898802038281649</v>
      </c>
      <c r="D517">
        <f t="shared" si="57"/>
        <v>1.0241027455949091E-6</v>
      </c>
      <c r="J517" t="s">
        <v>106</v>
      </c>
      <c r="K517">
        <v>18</v>
      </c>
    </row>
    <row r="518" spans="1:11">
      <c r="A518">
        <v>210</v>
      </c>
      <c r="B518">
        <v>0.54</v>
      </c>
      <c r="C518">
        <f t="shared" si="56"/>
        <v>0.37741500458852201</v>
      </c>
      <c r="D518">
        <f t="shared" si="57"/>
        <v>2.6433880732950332E-2</v>
      </c>
      <c r="J518" t="s">
        <v>107</v>
      </c>
      <c r="K518">
        <v>2</v>
      </c>
    </row>
    <row r="519" spans="1:11">
      <c r="A519">
        <v>240</v>
      </c>
      <c r="B519">
        <v>0.66</v>
      </c>
      <c r="C519">
        <f t="shared" si="56"/>
        <v>0.46347094999707239</v>
      </c>
      <c r="D519">
        <f t="shared" si="57"/>
        <v>3.8623667495053235E-2</v>
      </c>
      <c r="J519" t="s">
        <v>8</v>
      </c>
      <c r="K519">
        <v>8</v>
      </c>
    </row>
    <row r="520" spans="1:11">
      <c r="A520">
        <v>280</v>
      </c>
      <c r="B520">
        <v>0.79</v>
      </c>
      <c r="C520">
        <f t="shared" si="56"/>
        <v>0.60948121706094238</v>
      </c>
      <c r="D520">
        <f t="shared" si="57"/>
        <v>3.2587030993798616E-2</v>
      </c>
    </row>
    <row r="521" spans="1:11">
      <c r="A521">
        <v>300</v>
      </c>
      <c r="B521">
        <v>0.83</v>
      </c>
      <c r="C521">
        <f t="shared" si="56"/>
        <v>0.69892283544362366</v>
      </c>
      <c r="D521">
        <f t="shared" si="57"/>
        <v>1.7181223068139351E-2</v>
      </c>
    </row>
    <row r="522" spans="1:11">
      <c r="A522">
        <v>320</v>
      </c>
      <c r="B522">
        <v>0.86</v>
      </c>
      <c r="C522">
        <f t="shared" si="56"/>
        <v>0.80149004797913226</v>
      </c>
      <c r="D522">
        <f t="shared" si="57"/>
        <v>3.4234144854842436E-3</v>
      </c>
    </row>
    <row r="523" spans="1:11">
      <c r="A523">
        <v>340</v>
      </c>
      <c r="B523">
        <v>0.88</v>
      </c>
      <c r="C523">
        <f t="shared" si="56"/>
        <v>0.91910904098855661</v>
      </c>
      <c r="D523">
        <f t="shared" si="57"/>
        <v>1.5295170870446009E-3</v>
      </c>
    </row>
    <row r="524" spans="1:11">
      <c r="A524">
        <v>370</v>
      </c>
      <c r="B524">
        <v>0.9</v>
      </c>
      <c r="C524">
        <f t="shared" si="56"/>
        <v>1.1286788686165008</v>
      </c>
      <c r="D524">
        <f t="shared" si="57"/>
        <v>5.229402495172282E-2</v>
      </c>
    </row>
    <row r="525" spans="1:11">
      <c r="D525">
        <f>SUM(D508:D524)</f>
        <v>0.2978848856812143</v>
      </c>
    </row>
    <row r="530" spans="1:11" ht="16.8">
      <c r="A530" s="1" t="s">
        <v>184</v>
      </c>
    </row>
    <row r="531" spans="1:11">
      <c r="A531" t="s">
        <v>63</v>
      </c>
      <c r="B531" t="s">
        <v>64</v>
      </c>
    </row>
    <row r="532" spans="1:11">
      <c r="A532" t="s">
        <v>29</v>
      </c>
      <c r="B532" t="s">
        <v>43</v>
      </c>
      <c r="C532" t="s">
        <v>99</v>
      </c>
      <c r="D532" t="s">
        <v>120</v>
      </c>
      <c r="E532" t="s">
        <v>137</v>
      </c>
    </row>
    <row r="533" spans="1:11">
      <c r="A533">
        <v>0</v>
      </c>
      <c r="B533">
        <v>0</v>
      </c>
      <c r="C533">
        <f>EXP(($K$534*$K$539*A533)-(($K$534*$K$535*$K$540)/($K$541)))</f>
        <v>7.6284667151112442E-2</v>
      </c>
      <c r="D533">
        <f>(B533-C533)^2</f>
        <v>5.8193504423560138E-3</v>
      </c>
      <c r="E533">
        <f>ABS(B533-C533)</f>
        <v>7.6284667151112442E-2</v>
      </c>
    </row>
    <row r="534" spans="1:11">
      <c r="A534">
        <v>10</v>
      </c>
      <c r="B534">
        <v>0</v>
      </c>
      <c r="C534">
        <f t="shared" ref="C534:C549" si="58">EXP(($K$534*$K$539*A534)-(($K$534*$K$535*$K$540)/($K$541)))</f>
        <v>8.2283766524716639E-2</v>
      </c>
      <c r="D534">
        <f t="shared" ref="D534:D549" si="59">(B534-C534)^2</f>
        <v>6.7706182334940791E-3</v>
      </c>
      <c r="E534">
        <f t="shared" ref="E534:E549" si="60">ABS(B534-C534)</f>
        <v>8.2283766524716639E-2</v>
      </c>
      <c r="J534" s="6" t="s">
        <v>236</v>
      </c>
      <c r="K534" s="6">
        <v>1.5140375465345199E-4</v>
      </c>
    </row>
    <row r="535" spans="1:11">
      <c r="A535">
        <v>22</v>
      </c>
      <c r="B535">
        <v>0</v>
      </c>
      <c r="C535">
        <f t="shared" si="58"/>
        <v>9.0108643602308816E-2</v>
      </c>
      <c r="D535">
        <f t="shared" si="59"/>
        <v>8.1195676518479101E-3</v>
      </c>
      <c r="E535">
        <f t="shared" si="60"/>
        <v>9.0108643602308816E-2</v>
      </c>
      <c r="J535" s="6" t="s">
        <v>208</v>
      </c>
      <c r="K535" s="6">
        <v>1226.6982660536401</v>
      </c>
    </row>
    <row r="536" spans="1:11">
      <c r="A536">
        <v>30</v>
      </c>
      <c r="B536">
        <v>0</v>
      </c>
      <c r="C536">
        <f t="shared" si="58"/>
        <v>9.5734390886290155E-2</v>
      </c>
      <c r="D536">
        <f t="shared" si="59"/>
        <v>9.165073598368996E-3</v>
      </c>
      <c r="E536">
        <f t="shared" si="60"/>
        <v>9.5734390886290155E-2</v>
      </c>
    </row>
    <row r="537" spans="1:11">
      <c r="A537">
        <v>41</v>
      </c>
      <c r="B537">
        <v>0</v>
      </c>
      <c r="C537">
        <f t="shared" si="58"/>
        <v>0.10404772211312507</v>
      </c>
      <c r="D537">
        <f t="shared" si="59"/>
        <v>1.0825928476930096E-2</v>
      </c>
      <c r="E537">
        <f t="shared" si="60"/>
        <v>0.10404772211312507</v>
      </c>
      <c r="G537" s="6" t="s">
        <v>132</v>
      </c>
      <c r="H537" s="6">
        <f>E550</f>
        <v>2.0142460501837132</v>
      </c>
    </row>
    <row r="538" spans="1:11">
      <c r="A538">
        <v>50</v>
      </c>
      <c r="B538">
        <v>0</v>
      </c>
      <c r="C538">
        <f t="shared" si="58"/>
        <v>0.11138373928976579</v>
      </c>
      <c r="D538">
        <f t="shared" si="59"/>
        <v>1.2406337378170516E-2</v>
      </c>
      <c r="E538">
        <f t="shared" si="60"/>
        <v>0.11138373928976579</v>
      </c>
    </row>
    <row r="539" spans="1:11">
      <c r="A539">
        <v>60</v>
      </c>
      <c r="B539">
        <v>0</v>
      </c>
      <c r="C539">
        <f t="shared" si="58"/>
        <v>0.12014306335261171</v>
      </c>
      <c r="D539">
        <f t="shared" si="59"/>
        <v>1.4434355671749671E-2</v>
      </c>
      <c r="E539">
        <f t="shared" si="60"/>
        <v>0.12014306335261171</v>
      </c>
      <c r="J539" t="s">
        <v>12</v>
      </c>
      <c r="K539">
        <v>50</v>
      </c>
    </row>
    <row r="540" spans="1:11">
      <c r="A540">
        <v>80</v>
      </c>
      <c r="B540">
        <v>0.01</v>
      </c>
      <c r="C540">
        <f t="shared" si="58"/>
        <v>0.13978240757635105</v>
      </c>
      <c r="D540">
        <f t="shared" si="59"/>
        <v>1.6843473316314101E-2</v>
      </c>
      <c r="E540">
        <f t="shared" si="60"/>
        <v>0.12978240757635104</v>
      </c>
      <c r="J540" t="s">
        <v>209</v>
      </c>
      <c r="K540">
        <v>4</v>
      </c>
    </row>
    <row r="541" spans="1:11">
      <c r="A541">
        <v>100</v>
      </c>
      <c r="B541">
        <v>0.05</v>
      </c>
      <c r="C541">
        <f t="shared" si="58"/>
        <v>0.1626321230922432</v>
      </c>
      <c r="D541">
        <f t="shared" si="59"/>
        <v>1.2685995152266224E-2</v>
      </c>
      <c r="E541">
        <f t="shared" si="60"/>
        <v>0.1126321230922432</v>
      </c>
      <c r="J541" t="s">
        <v>210</v>
      </c>
      <c r="K541">
        <v>0.28870000000000001</v>
      </c>
    </row>
    <row r="542" spans="1:11">
      <c r="A542">
        <v>155</v>
      </c>
      <c r="B542">
        <v>0.26</v>
      </c>
      <c r="C542">
        <f t="shared" si="58"/>
        <v>0.24662058484744495</v>
      </c>
      <c r="D542">
        <f t="shared" si="59"/>
        <v>1.7900874982441987E-4</v>
      </c>
      <c r="E542">
        <f t="shared" si="60"/>
        <v>1.3379415152555058E-2</v>
      </c>
      <c r="J542" t="s">
        <v>106</v>
      </c>
      <c r="K542">
        <v>18</v>
      </c>
    </row>
    <row r="543" spans="1:11">
      <c r="A543">
        <v>210</v>
      </c>
      <c r="B543">
        <v>0.54</v>
      </c>
      <c r="C543">
        <f t="shared" si="58"/>
        <v>0.3739833909442255</v>
      </c>
      <c r="D543">
        <f t="shared" si="59"/>
        <v>2.7561514482377879E-2</v>
      </c>
      <c r="E543">
        <f t="shared" si="60"/>
        <v>0.16601660905577453</v>
      </c>
      <c r="J543" t="s">
        <v>107</v>
      </c>
      <c r="K543">
        <v>2</v>
      </c>
    </row>
    <row r="544" spans="1:11">
      <c r="A544">
        <v>240</v>
      </c>
      <c r="B544">
        <v>0.66</v>
      </c>
      <c r="C544">
        <f t="shared" si="58"/>
        <v>0.46933510324836819</v>
      </c>
      <c r="D544">
        <f t="shared" si="59"/>
        <v>3.6353102853310428E-2</v>
      </c>
      <c r="E544">
        <f t="shared" si="60"/>
        <v>0.19066489675163184</v>
      </c>
      <c r="J544" t="s">
        <v>8</v>
      </c>
      <c r="K544">
        <v>8</v>
      </c>
    </row>
    <row r="545" spans="1:11">
      <c r="A545">
        <v>280</v>
      </c>
      <c r="B545">
        <v>0.79</v>
      </c>
      <c r="C545">
        <f t="shared" si="58"/>
        <v>0.63531728052396153</v>
      </c>
      <c r="D545">
        <f t="shared" si="59"/>
        <v>2.3926743704502824E-2</v>
      </c>
      <c r="E545">
        <f t="shared" si="60"/>
        <v>0.15468271947603851</v>
      </c>
    </row>
    <row r="546" spans="1:11">
      <c r="A546">
        <v>300</v>
      </c>
      <c r="B546">
        <v>0.83</v>
      </c>
      <c r="C546">
        <f t="shared" si="58"/>
        <v>0.73917025726120578</v>
      </c>
      <c r="D546">
        <f t="shared" si="59"/>
        <v>8.2500421659955341E-3</v>
      </c>
      <c r="E546">
        <f t="shared" si="60"/>
        <v>9.0829742738794184E-2</v>
      </c>
    </row>
    <row r="547" spans="1:11">
      <c r="A547">
        <v>320</v>
      </c>
      <c r="B547">
        <v>0.86</v>
      </c>
      <c r="C547">
        <f t="shared" si="58"/>
        <v>0.85999969773998641</v>
      </c>
      <c r="D547">
        <f t="shared" si="59"/>
        <v>9.1361115805638219E-14</v>
      </c>
      <c r="E547">
        <f t="shared" si="60"/>
        <v>3.0226001357380738E-7</v>
      </c>
    </row>
    <row r="548" spans="1:11">
      <c r="A548">
        <v>340</v>
      </c>
      <c r="B548">
        <v>0.88</v>
      </c>
      <c r="C548">
        <f t="shared" si="58"/>
        <v>1.0005806819842193</v>
      </c>
      <c r="D548">
        <f t="shared" si="59"/>
        <v>1.4539700867779438E-2</v>
      </c>
      <c r="E548">
        <f t="shared" si="60"/>
        <v>0.12058068198421934</v>
      </c>
    </row>
    <row r="549" spans="1:11">
      <c r="A549">
        <v>370</v>
      </c>
      <c r="B549">
        <v>0.9</v>
      </c>
      <c r="C549">
        <f t="shared" si="58"/>
        <v>1.2556911591761619</v>
      </c>
      <c r="D549">
        <f t="shared" si="59"/>
        <v>0.12651620071608174</v>
      </c>
      <c r="E549">
        <f t="shared" si="60"/>
        <v>0.3556911591761619</v>
      </c>
    </row>
    <row r="550" spans="1:11">
      <c r="D550" s="6">
        <f>SUM(D533:D549)</f>
        <v>0.33439701346146122</v>
      </c>
      <c r="E550">
        <f>SUM(E533:E549)</f>
        <v>2.0142460501837132</v>
      </c>
    </row>
    <row r="555" spans="1:11" ht="16.8">
      <c r="A555" s="10" t="s">
        <v>145</v>
      </c>
    </row>
    <row r="556" spans="1:11">
      <c r="A556" t="s">
        <v>63</v>
      </c>
      <c r="B556" t="s">
        <v>64</v>
      </c>
    </row>
    <row r="557" spans="1:11">
      <c r="A557" t="s">
        <v>29</v>
      </c>
      <c r="B557" t="s">
        <v>43</v>
      </c>
      <c r="C557" t="s">
        <v>99</v>
      </c>
      <c r="D557" t="s">
        <v>120</v>
      </c>
      <c r="E557" t="s">
        <v>119</v>
      </c>
    </row>
    <row r="558" spans="1:11">
      <c r="A558">
        <v>0</v>
      </c>
      <c r="B558">
        <v>0</v>
      </c>
      <c r="C558">
        <f>EXP(($K$559*$K$564*A558)-(($K$559*$K$560*$K$565)/($K$566)))</f>
        <v>4.2027271614300792E-3</v>
      </c>
      <c r="D558">
        <f>(B558-C558)^2</f>
        <v>1.7662915593422132E-5</v>
      </c>
      <c r="E558">
        <v>0</v>
      </c>
    </row>
    <row r="559" spans="1:11">
      <c r="A559">
        <v>10</v>
      </c>
      <c r="B559">
        <v>0</v>
      </c>
      <c r="C559">
        <f t="shared" ref="C559:C574" si="61">EXP(($K$559*$K$564*A559)-(($K$559*$K$560*$K$565)/($K$566)))</f>
        <v>4.9137531905882699E-3</v>
      </c>
      <c r="D559">
        <f t="shared" ref="D559:D574" si="62">(B559-C559)^2</f>
        <v>2.4144970418016402E-5</v>
      </c>
      <c r="E559">
        <v>0</v>
      </c>
      <c r="J559" s="6" t="s">
        <v>236</v>
      </c>
      <c r="K559" s="6">
        <v>3.1260881670498199E-4</v>
      </c>
    </row>
    <row r="560" spans="1:11">
      <c r="A560">
        <v>22</v>
      </c>
      <c r="B560">
        <v>0</v>
      </c>
      <c r="C560">
        <f t="shared" si="61"/>
        <v>5.9275047309630098E-3</v>
      </c>
      <c r="D560">
        <f t="shared" si="62"/>
        <v>3.5135312335588865E-5</v>
      </c>
      <c r="E560">
        <v>0</v>
      </c>
      <c r="J560" s="6" t="s">
        <v>208</v>
      </c>
      <c r="K560" s="6">
        <v>1263.3781927483701</v>
      </c>
    </row>
    <row r="561" spans="1:11">
      <c r="A561">
        <v>30</v>
      </c>
      <c r="B561">
        <v>0</v>
      </c>
      <c r="C561">
        <f t="shared" si="61"/>
        <v>6.7170351803283969E-3</v>
      </c>
      <c r="D561">
        <f t="shared" si="62"/>
        <v>4.5118561613769342E-5</v>
      </c>
      <c r="E561">
        <v>0</v>
      </c>
      <c r="G561" s="6" t="s">
        <v>121</v>
      </c>
      <c r="H561" s="6">
        <f>(100)*(1/16)^(0.5)*(E575)^(0.5)</f>
        <v>45.294977446686353</v>
      </c>
    </row>
    <row r="562" spans="1:11">
      <c r="A562">
        <v>41</v>
      </c>
      <c r="B562">
        <v>0</v>
      </c>
      <c r="C562">
        <f t="shared" si="61"/>
        <v>7.9771540535974982E-3</v>
      </c>
      <c r="D562">
        <f t="shared" si="62"/>
        <v>6.3634986794826998E-5</v>
      </c>
      <c r="E562">
        <v>0</v>
      </c>
    </row>
    <row r="563" spans="1:11">
      <c r="A563">
        <v>50</v>
      </c>
      <c r="B563">
        <v>0</v>
      </c>
      <c r="C563">
        <f t="shared" si="61"/>
        <v>9.1820976479219125E-3</v>
      </c>
      <c r="D563">
        <f t="shared" si="62"/>
        <v>8.4310917215973119E-5</v>
      </c>
      <c r="E563">
        <v>0</v>
      </c>
    </row>
    <row r="564" spans="1:11">
      <c r="A564">
        <v>60</v>
      </c>
      <c r="B564">
        <v>0</v>
      </c>
      <c r="C564">
        <f t="shared" si="61"/>
        <v>1.0735543822077821E-2</v>
      </c>
      <c r="D564">
        <f t="shared" si="62"/>
        <v>1.1525190115575326E-4</v>
      </c>
      <c r="E564">
        <v>0</v>
      </c>
      <c r="J564" t="s">
        <v>12</v>
      </c>
      <c r="K564">
        <v>50</v>
      </c>
    </row>
    <row r="565" spans="1:11">
      <c r="A565">
        <v>80</v>
      </c>
      <c r="B565">
        <v>0.01</v>
      </c>
      <c r="C565">
        <f t="shared" si="61"/>
        <v>1.4675345451003583E-2</v>
      </c>
      <c r="D565">
        <f t="shared" si="62"/>
        <v>2.1858855086219892E-5</v>
      </c>
      <c r="E565">
        <f>((B565-C565)/B565)^2</f>
        <v>0.21858855086219892</v>
      </c>
      <c r="J565" t="s">
        <v>209</v>
      </c>
      <c r="K565">
        <v>4</v>
      </c>
    </row>
    <row r="566" spans="1:11">
      <c r="A566">
        <v>100</v>
      </c>
      <c r="B566">
        <v>0.05</v>
      </c>
      <c r="C566">
        <f t="shared" si="61"/>
        <v>2.0061001815612586E-2</v>
      </c>
      <c r="D566">
        <f t="shared" si="62"/>
        <v>8.9634361228475303E-4</v>
      </c>
      <c r="E566">
        <f t="shared" ref="E566:E574" si="63">((B566-C566)/B566)^2</f>
        <v>0.35853744491390122</v>
      </c>
      <c r="J566" t="s">
        <v>210</v>
      </c>
      <c r="K566">
        <v>0.28870000000000001</v>
      </c>
    </row>
    <row r="567" spans="1:11">
      <c r="A567">
        <v>155</v>
      </c>
      <c r="B567">
        <v>0.26</v>
      </c>
      <c r="C567">
        <f t="shared" si="61"/>
        <v>4.739193033844849E-2</v>
      </c>
      <c r="D567">
        <f t="shared" si="62"/>
        <v>4.5202191285211142E-2</v>
      </c>
      <c r="E567">
        <f t="shared" si="63"/>
        <v>0.66867146871614114</v>
      </c>
      <c r="J567" t="s">
        <v>106</v>
      </c>
      <c r="K567">
        <v>18</v>
      </c>
    </row>
    <row r="568" spans="1:11">
      <c r="A568">
        <v>210</v>
      </c>
      <c r="B568">
        <v>0.54</v>
      </c>
      <c r="C568">
        <f t="shared" si="61"/>
        <v>0.11195827017254917</v>
      </c>
      <c r="D568">
        <f t="shared" si="62"/>
        <v>0.18321972247367643</v>
      </c>
      <c r="E568">
        <f t="shared" si="63"/>
        <v>0.62832552288640742</v>
      </c>
      <c r="J568" t="s">
        <v>107</v>
      </c>
      <c r="K568">
        <v>2</v>
      </c>
    </row>
    <row r="569" spans="1:11">
      <c r="A569">
        <v>240</v>
      </c>
      <c r="B569">
        <v>0.66</v>
      </c>
      <c r="C569">
        <f t="shared" si="61"/>
        <v>0.17893801110368274</v>
      </c>
      <c r="D569">
        <f t="shared" si="62"/>
        <v>0.23142063716088052</v>
      </c>
      <c r="E569">
        <f t="shared" si="63"/>
        <v>0.53126868035096531</v>
      </c>
      <c r="J569" t="s">
        <v>8</v>
      </c>
      <c r="K569">
        <v>8</v>
      </c>
    </row>
    <row r="570" spans="1:11">
      <c r="A570">
        <v>280</v>
      </c>
      <c r="B570">
        <v>0.79</v>
      </c>
      <c r="C570">
        <f t="shared" si="61"/>
        <v>0.3343729786888725</v>
      </c>
      <c r="D570">
        <f t="shared" si="62"/>
        <v>0.20759598254885067</v>
      </c>
      <c r="E570">
        <f t="shared" si="63"/>
        <v>0.33263256296883614</v>
      </c>
    </row>
    <row r="571" spans="1:11">
      <c r="A571">
        <v>300</v>
      </c>
      <c r="B571">
        <v>0.83</v>
      </c>
      <c r="C571">
        <f t="shared" si="61"/>
        <v>0.4570834093796774</v>
      </c>
      <c r="D571">
        <f t="shared" si="62"/>
        <v>0.13906678355988525</v>
      </c>
      <c r="E571">
        <f t="shared" si="63"/>
        <v>0.20186788149206744</v>
      </c>
    </row>
    <row r="572" spans="1:11">
      <c r="A572">
        <v>320</v>
      </c>
      <c r="B572">
        <v>0.86</v>
      </c>
      <c r="C572">
        <f t="shared" si="61"/>
        <v>0.62482693413019652</v>
      </c>
      <c r="D572">
        <f t="shared" si="62"/>
        <v>5.530637091060292E-2</v>
      </c>
      <c r="E572">
        <f t="shared" si="63"/>
        <v>7.4778760019744359E-2</v>
      </c>
    </row>
    <row r="573" spans="1:11">
      <c r="A573">
        <v>340</v>
      </c>
      <c r="B573">
        <v>0.88</v>
      </c>
      <c r="C573">
        <f t="shared" si="61"/>
        <v>0.85413009880270474</v>
      </c>
      <c r="D573">
        <f t="shared" si="62"/>
        <v>6.6925178795781894E-4</v>
      </c>
      <c r="E573">
        <f t="shared" si="63"/>
        <v>8.6421976750751409E-4</v>
      </c>
    </row>
    <row r="574" spans="1:11">
      <c r="A574">
        <v>370</v>
      </c>
      <c r="B574">
        <v>0.9</v>
      </c>
      <c r="C574">
        <f t="shared" si="61"/>
        <v>1.3651188149655922</v>
      </c>
      <c r="D574">
        <f t="shared" si="62"/>
        <v>0.21633551203499676</v>
      </c>
      <c r="E574">
        <f t="shared" si="63"/>
        <v>0.2670808790555515</v>
      </c>
    </row>
    <row r="575" spans="1:11">
      <c r="D575" s="6">
        <f>SUM(D558:D574)</f>
        <v>1.0801199137945598</v>
      </c>
      <c r="E575">
        <f>SUM(E558:E574)</f>
        <v>3.2826159710333207</v>
      </c>
    </row>
    <row r="582" spans="1:11" ht="16.8">
      <c r="A582" s="1" t="s">
        <v>125</v>
      </c>
    </row>
    <row r="583" spans="1:11">
      <c r="A583" t="s">
        <v>63</v>
      </c>
      <c r="B583" t="s">
        <v>64</v>
      </c>
    </row>
    <row r="584" spans="1:11">
      <c r="A584" t="s">
        <v>29</v>
      </c>
      <c r="B584" t="s">
        <v>43</v>
      </c>
      <c r="C584" t="s">
        <v>99</v>
      </c>
      <c r="D584" t="s">
        <v>120</v>
      </c>
      <c r="E584" t="s">
        <v>119</v>
      </c>
    </row>
    <row r="585" spans="1:11">
      <c r="A585">
        <v>0</v>
      </c>
      <c r="B585">
        <v>0</v>
      </c>
      <c r="C585">
        <f>EXP(($K$586*$K$591*A585)-((K$586*$K$587*$K$592)/($K$593)))</f>
        <v>2.4947138709645728E-2</v>
      </c>
      <c r="D585">
        <f>(B585-C585)^2</f>
        <v>6.2235972979830432E-4</v>
      </c>
      <c r="E585">
        <v>0</v>
      </c>
    </row>
    <row r="586" spans="1:11">
      <c r="A586">
        <v>10</v>
      </c>
      <c r="B586">
        <v>0</v>
      </c>
      <c r="C586">
        <f t="shared" ref="C586:C601" si="64">EXP(($K$586*$K$591*A586)-((K$586*$K$587*$K$592)/($K$593)))</f>
        <v>2.7729879772821223E-2</v>
      </c>
      <c r="D586">
        <f t="shared" ref="D586:D601" si="65">(B586-C586)^2</f>
        <v>7.6894623221511959E-4</v>
      </c>
      <c r="E586">
        <v>0</v>
      </c>
      <c r="J586" s="6" t="s">
        <v>236</v>
      </c>
      <c r="K586" s="6">
        <v>2.1150277867503899E-4</v>
      </c>
    </row>
    <row r="587" spans="1:11">
      <c r="A587">
        <v>22</v>
      </c>
      <c r="B587">
        <v>0</v>
      </c>
      <c r="C587">
        <f t="shared" si="64"/>
        <v>3.1481881541483264E-2</v>
      </c>
      <c r="D587">
        <f t="shared" si="65"/>
        <v>9.9110886539198473E-4</v>
      </c>
      <c r="E587">
        <v>0</v>
      </c>
      <c r="J587" s="6" t="s">
        <v>208</v>
      </c>
      <c r="K587" s="6">
        <v>1259.5467935995</v>
      </c>
    </row>
    <row r="588" spans="1:11">
      <c r="A588">
        <v>30</v>
      </c>
      <c r="B588">
        <v>0</v>
      </c>
      <c r="C588">
        <f t="shared" si="64"/>
        <v>3.4261192603190216E-2</v>
      </c>
      <c r="D588">
        <f t="shared" si="65"/>
        <v>1.1738293185928959E-3</v>
      </c>
      <c r="E588">
        <v>0</v>
      </c>
      <c r="G588" s="6" t="s">
        <v>134</v>
      </c>
      <c r="H588" s="6">
        <f>(100/16)^0.5*E602^0.5</f>
        <v>2.5070097809113396</v>
      </c>
    </row>
    <row r="589" spans="1:11">
      <c r="A589">
        <v>41</v>
      </c>
      <c r="B589">
        <v>0</v>
      </c>
      <c r="C589">
        <f t="shared" si="64"/>
        <v>3.8487743152409715E-2</v>
      </c>
      <c r="D589">
        <f t="shared" si="65"/>
        <v>1.4813063729658608E-3</v>
      </c>
      <c r="E589">
        <v>0</v>
      </c>
    </row>
    <row r="590" spans="1:11">
      <c r="A590">
        <v>50</v>
      </c>
      <c r="B590">
        <v>0</v>
      </c>
      <c r="C590">
        <f t="shared" si="64"/>
        <v>4.2330847742924463E-2</v>
      </c>
      <c r="D590">
        <f t="shared" si="65"/>
        <v>1.7919006706346532E-3</v>
      </c>
      <c r="E590">
        <v>0</v>
      </c>
    </row>
    <row r="591" spans="1:11">
      <c r="A591">
        <v>60</v>
      </c>
      <c r="B591">
        <v>0</v>
      </c>
      <c r="C591">
        <f t="shared" si="64"/>
        <v>4.7052663323631505E-2</v>
      </c>
      <c r="D591">
        <f t="shared" si="65"/>
        <v>2.2139531258470175E-3</v>
      </c>
      <c r="E591">
        <v>0</v>
      </c>
      <c r="J591" t="s">
        <v>12</v>
      </c>
      <c r="K591">
        <v>50</v>
      </c>
    </row>
    <row r="592" spans="1:11">
      <c r="A592">
        <v>80</v>
      </c>
      <c r="B592">
        <v>0.01</v>
      </c>
      <c r="C592">
        <f t="shared" si="64"/>
        <v>5.813513703741497E-2</v>
      </c>
      <c r="D592">
        <f t="shared" si="65"/>
        <v>2.3169914176107182E-3</v>
      </c>
      <c r="E592">
        <f>(B592-C592)^2/B592</f>
        <v>0.23169914176107181</v>
      </c>
      <c r="J592" t="s">
        <v>209</v>
      </c>
      <c r="K592">
        <v>4</v>
      </c>
    </row>
    <row r="593" spans="1:11">
      <c r="A593">
        <v>100</v>
      </c>
      <c r="B593">
        <v>0.05</v>
      </c>
      <c r="C593">
        <f t="shared" si="64"/>
        <v>7.1827903451782221E-2</v>
      </c>
      <c r="D593">
        <f t="shared" si="65"/>
        <v>4.764573691003261E-4</v>
      </c>
      <c r="E593">
        <f t="shared" ref="E593:E601" si="66">(B593-C593)^2/B593</f>
        <v>9.5291473820065219E-3</v>
      </c>
      <c r="J593" t="s">
        <v>210</v>
      </c>
      <c r="K593">
        <v>0.28870000000000001</v>
      </c>
    </row>
    <row r="594" spans="1:11">
      <c r="A594">
        <v>155</v>
      </c>
      <c r="B594">
        <v>0.26</v>
      </c>
      <c r="C594">
        <f t="shared" si="64"/>
        <v>0.12849701434249508</v>
      </c>
      <c r="D594">
        <f t="shared" si="65"/>
        <v>1.7293035236837947E-2</v>
      </c>
      <c r="E594">
        <f t="shared" si="66"/>
        <v>6.6511673987838249E-2</v>
      </c>
      <c r="J594" t="s">
        <v>106</v>
      </c>
      <c r="K594">
        <v>18</v>
      </c>
    </row>
    <row r="595" spans="1:11">
      <c r="A595">
        <v>210</v>
      </c>
      <c r="B595">
        <v>0.54</v>
      </c>
      <c r="C595">
        <f t="shared" si="64"/>
        <v>0.2298756040682641</v>
      </c>
      <c r="D595">
        <f t="shared" si="65"/>
        <v>9.6177140952024093E-2</v>
      </c>
      <c r="E595">
        <f t="shared" si="66"/>
        <v>0.17810581657782237</v>
      </c>
      <c r="J595" t="s">
        <v>107</v>
      </c>
      <c r="K595">
        <v>2</v>
      </c>
    </row>
    <row r="596" spans="1:11">
      <c r="A596">
        <v>240</v>
      </c>
      <c r="B596">
        <v>0.66</v>
      </c>
      <c r="C596">
        <f t="shared" si="64"/>
        <v>0.31570002626041982</v>
      </c>
      <c r="D596">
        <f t="shared" si="65"/>
        <v>0.11854247191707562</v>
      </c>
      <c r="E596">
        <f t="shared" si="66"/>
        <v>0.17960980593496306</v>
      </c>
      <c r="J596" t="s">
        <v>8</v>
      </c>
      <c r="K596">
        <v>8</v>
      </c>
    </row>
    <row r="597" spans="1:11">
      <c r="A597">
        <v>280</v>
      </c>
      <c r="B597">
        <v>0.79</v>
      </c>
      <c r="C597">
        <f t="shared" si="64"/>
        <v>0.48192959556807535</v>
      </c>
      <c r="D597">
        <f t="shared" si="65"/>
        <v>9.4907374086849641E-2</v>
      </c>
      <c r="E597">
        <f t="shared" si="66"/>
        <v>0.12013591656563245</v>
      </c>
    </row>
    <row r="598" spans="1:11">
      <c r="A598">
        <v>300</v>
      </c>
      <c r="B598">
        <v>0.83</v>
      </c>
      <c r="C598">
        <f t="shared" si="64"/>
        <v>0.59544011117995288</v>
      </c>
      <c r="D598">
        <f t="shared" si="65"/>
        <v>5.5018341443272847E-2</v>
      </c>
      <c r="E598">
        <f t="shared" si="66"/>
        <v>6.6287158365388982E-2</v>
      </c>
    </row>
    <row r="599" spans="1:11">
      <c r="A599">
        <v>320</v>
      </c>
      <c r="B599">
        <v>0.86</v>
      </c>
      <c r="C599">
        <f t="shared" si="64"/>
        <v>0.73568614433000223</v>
      </c>
      <c r="D599">
        <f t="shared" si="65"/>
        <v>1.5453934711541032E-2</v>
      </c>
      <c r="E599">
        <f t="shared" si="66"/>
        <v>1.7969691525047713E-2</v>
      </c>
    </row>
    <row r="600" spans="1:11">
      <c r="A600">
        <v>340</v>
      </c>
      <c r="B600">
        <v>0.88</v>
      </c>
      <c r="C600">
        <f t="shared" si="64"/>
        <v>0.90896480233185695</v>
      </c>
      <c r="D600">
        <f t="shared" si="65"/>
        <v>8.3895977412354534E-4</v>
      </c>
      <c r="E600">
        <f t="shared" si="66"/>
        <v>9.5336337968584693E-4</v>
      </c>
    </row>
    <row r="601" spans="1:11">
      <c r="A601">
        <v>370</v>
      </c>
      <c r="B601">
        <v>0.9</v>
      </c>
      <c r="C601">
        <f t="shared" si="64"/>
        <v>1.2483282561848039</v>
      </c>
      <c r="D601">
        <f t="shared" si="65"/>
        <v>0.12133257405674637</v>
      </c>
      <c r="E601">
        <f t="shared" si="66"/>
        <v>0.13481397117416263</v>
      </c>
    </row>
    <row r="602" spans="1:11">
      <c r="D602" s="6">
        <f>SUM(D585:D601)</f>
        <v>0.531400685280628</v>
      </c>
      <c r="E602">
        <f>SUM(E585:E601)</f>
        <v>1.0056156866536197</v>
      </c>
    </row>
    <row r="617" spans="1:11" ht="16.8">
      <c r="A617" s="1" t="s">
        <v>109</v>
      </c>
    </row>
    <row r="618" spans="1:11">
      <c r="B618" t="s">
        <v>66</v>
      </c>
    </row>
    <row r="619" spans="1:11">
      <c r="A619" t="s">
        <v>29</v>
      </c>
      <c r="B619" t="s">
        <v>43</v>
      </c>
      <c r="C619" t="s">
        <v>99</v>
      </c>
      <c r="D619" t="s">
        <v>120</v>
      </c>
      <c r="J619" s="6" t="s">
        <v>236</v>
      </c>
      <c r="K619" s="6">
        <v>1.2361006424066101E-4</v>
      </c>
    </row>
    <row r="620" spans="1:11">
      <c r="A620">
        <v>0</v>
      </c>
      <c r="B620">
        <v>0</v>
      </c>
      <c r="C620">
        <f>EXP(($K$619*$K$624*A620)-(($K$619*$K$620*$K$625)/($K$626)))</f>
        <v>0.19797710010306663</v>
      </c>
      <c r="D620">
        <f>(B620-C620)^2</f>
        <v>3.9194932165219666E-2</v>
      </c>
      <c r="J620" s="6" t="s">
        <v>208</v>
      </c>
      <c r="K620" s="6">
        <v>945.67471504894797</v>
      </c>
    </row>
    <row r="621" spans="1:11">
      <c r="A621">
        <v>10</v>
      </c>
      <c r="B621">
        <v>0</v>
      </c>
      <c r="C621">
        <f t="shared" ref="C621:C629" si="67">EXP(($K$619*$K$624*A621)-(($K$619*$K$620*$K$625)/($K$626)))</f>
        <v>0.23830859807082891</v>
      </c>
      <c r="D621">
        <f t="shared" ref="D621:D629" si="68">(B621-C621)^2</f>
        <v>5.6790987914483879E-2</v>
      </c>
    </row>
    <row r="622" spans="1:11">
      <c r="A622">
        <v>15</v>
      </c>
      <c r="B622">
        <v>0.01</v>
      </c>
      <c r="C622">
        <f t="shared" si="67"/>
        <v>0.26145809249114998</v>
      </c>
      <c r="D622">
        <f t="shared" si="68"/>
        <v>6.3231172279287734E-2</v>
      </c>
    </row>
    <row r="623" spans="1:11">
      <c r="A623">
        <v>25</v>
      </c>
      <c r="B623">
        <v>0.2</v>
      </c>
      <c r="C623">
        <f t="shared" si="67"/>
        <v>0.3147218109741064</v>
      </c>
      <c r="D623">
        <f t="shared" si="68"/>
        <v>1.3161093913178596E-2</v>
      </c>
      <c r="F623" s="6" t="s">
        <v>100</v>
      </c>
      <c r="G623" s="6">
        <f>D630</f>
        <v>0.36109539925581574</v>
      </c>
    </row>
    <row r="624" spans="1:11">
      <c r="A624">
        <v>40</v>
      </c>
      <c r="B624">
        <v>0.48</v>
      </c>
      <c r="C624">
        <f t="shared" si="67"/>
        <v>0.41563677980843172</v>
      </c>
      <c r="D624">
        <f t="shared" si="68"/>
        <v>4.1426241134282999E-3</v>
      </c>
      <c r="J624" t="s">
        <v>12</v>
      </c>
      <c r="K624">
        <v>150</v>
      </c>
    </row>
    <row r="625" spans="1:11">
      <c r="A625">
        <v>50</v>
      </c>
      <c r="B625">
        <v>0.69</v>
      </c>
      <c r="C625">
        <f t="shared" si="67"/>
        <v>0.50030947140480364</v>
      </c>
      <c r="D625">
        <f t="shared" si="68"/>
        <v>3.5982496638724985E-2</v>
      </c>
      <c r="J625" t="s">
        <v>209</v>
      </c>
      <c r="K625">
        <v>4</v>
      </c>
    </row>
    <row r="626" spans="1:11">
      <c r="A626">
        <v>60</v>
      </c>
      <c r="B626">
        <v>0.83</v>
      </c>
      <c r="C626">
        <f t="shared" si="67"/>
        <v>0.60223151399816577</v>
      </c>
      <c r="D626">
        <f t="shared" si="68"/>
        <v>5.187848321556774E-2</v>
      </c>
      <c r="J626" t="s">
        <v>210</v>
      </c>
      <c r="K626">
        <v>0.28870000000000001</v>
      </c>
    </row>
    <row r="627" spans="1:11">
      <c r="A627">
        <v>70</v>
      </c>
      <c r="B627">
        <v>0.88</v>
      </c>
      <c r="C627">
        <f t="shared" si="67"/>
        <v>0.7249169107955461</v>
      </c>
      <c r="D627">
        <f t="shared" si="68"/>
        <v>2.4050764557196607E-2</v>
      </c>
      <c r="J627" t="s">
        <v>106</v>
      </c>
      <c r="K627">
        <v>10</v>
      </c>
    </row>
    <row r="628" spans="1:11">
      <c r="A628">
        <v>75</v>
      </c>
      <c r="B628">
        <v>0.89</v>
      </c>
      <c r="C628">
        <f t="shared" si="67"/>
        <v>0.79533593938917746</v>
      </c>
      <c r="D628">
        <f t="shared" si="68"/>
        <v>8.9612843713294862E-3</v>
      </c>
      <c r="J628" t="s">
        <v>107</v>
      </c>
      <c r="K628">
        <v>2</v>
      </c>
    </row>
    <row r="629" spans="1:11">
      <c r="A629">
        <v>95</v>
      </c>
      <c r="B629">
        <v>0.9</v>
      </c>
      <c r="C629">
        <f t="shared" si="67"/>
        <v>1.1523916799092211</v>
      </c>
      <c r="D629">
        <f t="shared" si="68"/>
        <v>6.3701560087398704E-2</v>
      </c>
      <c r="J629" t="s">
        <v>8</v>
      </c>
      <c r="K629">
        <v>8</v>
      </c>
    </row>
    <row r="630" spans="1:11">
      <c r="D630" s="6">
        <f>SUM(D620:D629)</f>
        <v>0.36109539925581574</v>
      </c>
    </row>
    <row r="635" spans="1:11" ht="16.8">
      <c r="A635" s="1" t="s">
        <v>144</v>
      </c>
    </row>
    <row r="636" spans="1:11">
      <c r="B636" t="s">
        <v>66</v>
      </c>
    </row>
    <row r="637" spans="1:11">
      <c r="A637" t="s">
        <v>29</v>
      </c>
      <c r="B637" t="s">
        <v>43</v>
      </c>
      <c r="C637" t="s">
        <v>99</v>
      </c>
      <c r="D637" t="s">
        <v>120</v>
      </c>
      <c r="E637" t="s">
        <v>137</v>
      </c>
      <c r="J637" t="s">
        <v>236</v>
      </c>
      <c r="K637">
        <v>1.2361006424066101E-4</v>
      </c>
    </row>
    <row r="638" spans="1:11">
      <c r="A638">
        <v>0</v>
      </c>
      <c r="B638">
        <v>0</v>
      </c>
      <c r="C638">
        <f>EXP(($K$637*$K$642*A638)-(($K$637*$K$638*$K$643)/($K$644)))</f>
        <v>0.19797710010306663</v>
      </c>
      <c r="D638">
        <f>(B638-C638)^2</f>
        <v>3.9194932165219666E-2</v>
      </c>
      <c r="E638">
        <f>ABS(B638-C638)</f>
        <v>0.19797710010306663</v>
      </c>
      <c r="J638" t="s">
        <v>208</v>
      </c>
      <c r="K638">
        <v>945.67471504894797</v>
      </c>
    </row>
    <row r="639" spans="1:11">
      <c r="A639">
        <v>10</v>
      </c>
      <c r="B639">
        <v>0</v>
      </c>
      <c r="C639">
        <f t="shared" ref="C639:C647" si="69">EXP(($K$637*$K$642*A639)-(($K$637*$K$638*$K$643)/($K$644)))</f>
        <v>0.23830859807082891</v>
      </c>
      <c r="D639">
        <f t="shared" ref="D639:D647" si="70">(B639-C639)^2</f>
        <v>5.6790987914483879E-2</v>
      </c>
      <c r="E639">
        <f t="shared" ref="E639:E647" si="71">ABS(B639-C639)</f>
        <v>0.23830859807082891</v>
      </c>
    </row>
    <row r="640" spans="1:11">
      <c r="A640">
        <v>15</v>
      </c>
      <c r="B640">
        <v>0.01</v>
      </c>
      <c r="C640">
        <f t="shared" si="69"/>
        <v>0.26145809249114998</v>
      </c>
      <c r="D640">
        <f t="shared" si="70"/>
        <v>6.3231172279287734E-2</v>
      </c>
      <c r="E640">
        <f t="shared" si="71"/>
        <v>0.25145809249114998</v>
      </c>
      <c r="G640" s="6" t="s">
        <v>132</v>
      </c>
      <c r="H640" s="6">
        <f>E648</f>
        <v>1.7864266661522481</v>
      </c>
    </row>
    <row r="641" spans="1:11">
      <c r="A641">
        <v>25</v>
      </c>
      <c r="B641">
        <v>0.2</v>
      </c>
      <c r="C641">
        <f t="shared" si="69"/>
        <v>0.3147218109741064</v>
      </c>
      <c r="D641">
        <f t="shared" si="70"/>
        <v>1.3161093913178596E-2</v>
      </c>
      <c r="E641">
        <f t="shared" si="71"/>
        <v>0.11472181097410639</v>
      </c>
    </row>
    <row r="642" spans="1:11">
      <c r="A642">
        <v>40</v>
      </c>
      <c r="B642">
        <v>0.48</v>
      </c>
      <c r="C642">
        <f t="shared" si="69"/>
        <v>0.41563677980843172</v>
      </c>
      <c r="D642">
        <f t="shared" si="70"/>
        <v>4.1426241134282999E-3</v>
      </c>
      <c r="E642">
        <f t="shared" si="71"/>
        <v>6.436322019156826E-2</v>
      </c>
      <c r="J642" t="s">
        <v>12</v>
      </c>
      <c r="K642">
        <v>150</v>
      </c>
    </row>
    <row r="643" spans="1:11">
      <c r="A643">
        <v>50</v>
      </c>
      <c r="B643">
        <v>0.69</v>
      </c>
      <c r="C643">
        <f t="shared" si="69"/>
        <v>0.50030947140480364</v>
      </c>
      <c r="D643">
        <f t="shared" si="70"/>
        <v>3.5982496638724985E-2</v>
      </c>
      <c r="E643">
        <f t="shared" si="71"/>
        <v>0.18969052859519631</v>
      </c>
      <c r="J643" t="s">
        <v>209</v>
      </c>
      <c r="K643">
        <v>4</v>
      </c>
    </row>
    <row r="644" spans="1:11">
      <c r="A644">
        <v>60</v>
      </c>
      <c r="B644">
        <v>0.83</v>
      </c>
      <c r="C644">
        <f t="shared" si="69"/>
        <v>0.60223151399816577</v>
      </c>
      <c r="D644">
        <f t="shared" si="70"/>
        <v>5.187848321556774E-2</v>
      </c>
      <c r="E644">
        <f t="shared" si="71"/>
        <v>0.22776848600183419</v>
      </c>
      <c r="J644" t="s">
        <v>210</v>
      </c>
      <c r="K644">
        <v>0.28870000000000001</v>
      </c>
    </row>
    <row r="645" spans="1:11">
      <c r="A645">
        <v>70</v>
      </c>
      <c r="B645">
        <v>0.88</v>
      </c>
      <c r="C645">
        <f t="shared" si="69"/>
        <v>0.7249169107955461</v>
      </c>
      <c r="D645">
        <f t="shared" si="70"/>
        <v>2.4050764557196607E-2</v>
      </c>
      <c r="E645">
        <f t="shared" si="71"/>
        <v>0.15508308920445391</v>
      </c>
      <c r="J645" t="s">
        <v>106</v>
      </c>
      <c r="K645">
        <v>10</v>
      </c>
    </row>
    <row r="646" spans="1:11">
      <c r="A646">
        <v>75</v>
      </c>
      <c r="B646">
        <v>0.89</v>
      </c>
      <c r="C646">
        <f t="shared" si="69"/>
        <v>0.79533593938917746</v>
      </c>
      <c r="D646">
        <f t="shared" si="70"/>
        <v>8.9612843713294862E-3</v>
      </c>
      <c r="E646">
        <f t="shared" si="71"/>
        <v>9.4664060610822554E-2</v>
      </c>
      <c r="J646" t="s">
        <v>107</v>
      </c>
      <c r="K646">
        <v>2</v>
      </c>
    </row>
    <row r="647" spans="1:11">
      <c r="A647">
        <v>95</v>
      </c>
      <c r="B647">
        <v>0.9</v>
      </c>
      <c r="C647">
        <f t="shared" si="69"/>
        <v>1.1523916799092211</v>
      </c>
      <c r="D647">
        <f t="shared" si="70"/>
        <v>6.3701560087398704E-2</v>
      </c>
      <c r="E647">
        <f t="shared" si="71"/>
        <v>0.25239167990922107</v>
      </c>
      <c r="J647" t="s">
        <v>8</v>
      </c>
      <c r="K647">
        <v>8</v>
      </c>
    </row>
    <row r="648" spans="1:11">
      <c r="D648" s="6">
        <f>SUM(D638:D647)</f>
        <v>0.36109539925581574</v>
      </c>
      <c r="E648">
        <f>SUM(E638:E647)</f>
        <v>1.7864266661522481</v>
      </c>
    </row>
    <row r="656" spans="1:11" ht="16.8">
      <c r="A656" s="10" t="s">
        <v>145</v>
      </c>
    </row>
    <row r="657" spans="1:11">
      <c r="B657" t="s">
        <v>66</v>
      </c>
    </row>
    <row r="658" spans="1:11">
      <c r="A658" t="s">
        <v>29</v>
      </c>
      <c r="B658" t="s">
        <v>43</v>
      </c>
      <c r="C658" t="s">
        <v>99</v>
      </c>
      <c r="D658" t="s">
        <v>120</v>
      </c>
      <c r="E658" t="s">
        <v>119</v>
      </c>
      <c r="J658" t="s">
        <v>236</v>
      </c>
      <c r="K658">
        <v>3.7851830928583799E-4</v>
      </c>
    </row>
    <row r="659" spans="1:11">
      <c r="A659">
        <v>0</v>
      </c>
      <c r="B659">
        <v>0</v>
      </c>
      <c r="C659">
        <f>EXP(($K$658*$K$663*A659)-(($K$658*$K$659*$K$664)/($K$665)))</f>
        <v>5.6555421670158122E-3</v>
      </c>
      <c r="D659">
        <f>(B659-C659)^2</f>
        <v>3.1985157202893911E-5</v>
      </c>
      <c r="E659">
        <f>(B659-C$167)^2</f>
        <v>0</v>
      </c>
      <c r="J659" t="s">
        <v>208</v>
      </c>
      <c r="K659">
        <v>986.77983685575202</v>
      </c>
    </row>
    <row r="660" spans="1:11">
      <c r="A660">
        <v>10</v>
      </c>
      <c r="B660">
        <v>0</v>
      </c>
      <c r="C660">
        <f t="shared" ref="C660:C668" si="72">EXP(($K$658*$K$663*A660)-(($K$658*$K$659*$K$664)/($K$665)))</f>
        <v>9.9783070615309163E-3</v>
      </c>
      <c r="D660">
        <f t="shared" ref="D660:D668" si="73">(B660-C660)^2</f>
        <v>9.9566611814197749E-5</v>
      </c>
      <c r="E660">
        <f t="shared" ref="E660" si="74">(B660-C$167)^2</f>
        <v>0</v>
      </c>
    </row>
    <row r="661" spans="1:11">
      <c r="A661">
        <v>15</v>
      </c>
      <c r="B661">
        <v>0.01</v>
      </c>
      <c r="C661">
        <f t="shared" si="72"/>
        <v>1.3254036861005894E-2</v>
      </c>
      <c r="D661">
        <f t="shared" si="73"/>
        <v>1.0588755892785088E-5</v>
      </c>
      <c r="E661">
        <f>((B661-C661)/B661)^2</f>
        <v>0.10588755892785089</v>
      </c>
      <c r="G661" s="6" t="s">
        <v>121</v>
      </c>
      <c r="H661" s="6">
        <f>(100)*(1/8)^0.5*E669^0.5</f>
        <v>70.033748623806702</v>
      </c>
    </row>
    <row r="662" spans="1:11">
      <c r="A662">
        <v>25</v>
      </c>
      <c r="B662">
        <v>0.2</v>
      </c>
      <c r="C662">
        <f t="shared" si="72"/>
        <v>2.3384645662318588E-2</v>
      </c>
      <c r="D662">
        <f t="shared" si="73"/>
        <v>3.1192983387824759E-2</v>
      </c>
      <c r="E662">
        <f t="shared" ref="E662:E668" si="75">((B662-C662)/B662)^2</f>
        <v>0.77982458469561899</v>
      </c>
    </row>
    <row r="663" spans="1:11">
      <c r="A663">
        <v>40</v>
      </c>
      <c r="B663">
        <v>0.48</v>
      </c>
      <c r="C663">
        <f t="shared" si="72"/>
        <v>5.480304919262495E-2</v>
      </c>
      <c r="D663">
        <f t="shared" si="73"/>
        <v>0.18079244697588928</v>
      </c>
      <c r="E663">
        <f t="shared" si="75"/>
        <v>0.78468943999951968</v>
      </c>
      <c r="J663" t="s">
        <v>12</v>
      </c>
      <c r="K663">
        <v>150</v>
      </c>
    </row>
    <row r="664" spans="1:11">
      <c r="A664">
        <v>50</v>
      </c>
      <c r="B664">
        <v>0.69</v>
      </c>
      <c r="C664">
        <f t="shared" si="72"/>
        <v>9.669128734314443E-2</v>
      </c>
      <c r="D664">
        <f t="shared" si="73"/>
        <v>0.35201522851453509</v>
      </c>
      <c r="E664">
        <f t="shared" si="75"/>
        <v>0.73937246064804696</v>
      </c>
      <c r="J664" t="s">
        <v>209</v>
      </c>
      <c r="K664">
        <v>4</v>
      </c>
    </row>
    <row r="665" spans="1:11">
      <c r="A665">
        <v>60</v>
      </c>
      <c r="B665">
        <v>0.83</v>
      </c>
      <c r="C665">
        <f t="shared" si="72"/>
        <v>0.17059643917281672</v>
      </c>
      <c r="D665">
        <f t="shared" si="73"/>
        <v>0.43481305603156872</v>
      </c>
      <c r="E665">
        <f t="shared" si="75"/>
        <v>0.63117006246417295</v>
      </c>
      <c r="J665" t="s">
        <v>210</v>
      </c>
      <c r="K665">
        <v>0.28870000000000001</v>
      </c>
    </row>
    <row r="666" spans="1:11">
      <c r="A666">
        <v>70</v>
      </c>
      <c r="B666">
        <v>0.88</v>
      </c>
      <c r="C666">
        <f t="shared" si="72"/>
        <v>0.30099035660949874</v>
      </c>
      <c r="D666">
        <f t="shared" si="73"/>
        <v>0.33525216713919537</v>
      </c>
      <c r="E666">
        <f t="shared" si="75"/>
        <v>0.43291860426032458</v>
      </c>
      <c r="J666" t="s">
        <v>106</v>
      </c>
      <c r="K666">
        <v>10</v>
      </c>
    </row>
    <row r="667" spans="1:11">
      <c r="A667">
        <v>75</v>
      </c>
      <c r="B667">
        <v>0.89</v>
      </c>
      <c r="C667">
        <f t="shared" si="72"/>
        <v>0.3998010140106415</v>
      </c>
      <c r="D667">
        <f t="shared" si="73"/>
        <v>0.24029504586499531</v>
      </c>
      <c r="E667">
        <f t="shared" si="75"/>
        <v>0.30336453208558928</v>
      </c>
      <c r="J667" t="s">
        <v>107</v>
      </c>
      <c r="K667">
        <v>2</v>
      </c>
    </row>
    <row r="668" spans="1:11">
      <c r="A668">
        <v>95</v>
      </c>
      <c r="B668">
        <v>0.9</v>
      </c>
      <c r="C668">
        <f t="shared" si="72"/>
        <v>1.244540775973382</v>
      </c>
      <c r="D668">
        <f t="shared" si="73"/>
        <v>0.11870834630834017</v>
      </c>
      <c r="E668">
        <f t="shared" si="75"/>
        <v>0.14655351396091379</v>
      </c>
      <c r="J668" t="s">
        <v>8</v>
      </c>
      <c r="K668">
        <v>8</v>
      </c>
    </row>
    <row r="669" spans="1:11">
      <c r="D669" s="6">
        <f>SUM(D659:D668)</f>
        <v>1.6932114147472586</v>
      </c>
      <c r="E669">
        <f>SUM(E659:E668)</f>
        <v>3.9237807570420369</v>
      </c>
    </row>
    <row r="674" spans="1:11">
      <c r="A674" t="s">
        <v>242</v>
      </c>
    </row>
    <row r="675" spans="1:11">
      <c r="B675" t="s">
        <v>66</v>
      </c>
    </row>
    <row r="676" spans="1:11">
      <c r="A676" t="s">
        <v>29</v>
      </c>
      <c r="B676" t="s">
        <v>43</v>
      </c>
      <c r="C676" t="s">
        <v>99</v>
      </c>
      <c r="D676" t="s">
        <v>120</v>
      </c>
      <c r="E676" t="s">
        <v>243</v>
      </c>
      <c r="J676" t="s">
        <v>236</v>
      </c>
      <c r="K676">
        <v>2.41960482886307E-4</v>
      </c>
    </row>
    <row r="677" spans="1:11">
      <c r="A677">
        <v>0</v>
      </c>
      <c r="B677">
        <v>0</v>
      </c>
      <c r="C677">
        <f>EXP(($K$676*$K$681*A677)-(($K$676*$K$677*$K$682)/($K$683)))</f>
        <v>4.0275371992611129E-2</v>
      </c>
      <c r="D677">
        <f>(B677-C677)^2</f>
        <v>1.6221055891432049E-3</v>
      </c>
      <c r="E677">
        <f>(B677-C$167)^2</f>
        <v>0</v>
      </c>
      <c r="J677" t="s">
        <v>208</v>
      </c>
      <c r="K677">
        <v>958.12005358057604</v>
      </c>
    </row>
    <row r="678" spans="1:11">
      <c r="A678">
        <v>10</v>
      </c>
      <c r="B678">
        <v>0</v>
      </c>
      <c r="C678">
        <f t="shared" ref="C678:C686" si="76">EXP(($K$676*$K$681*A678)-(($K$676*$K$677*$K$682)/($K$683)))</f>
        <v>5.7897886983065937E-2</v>
      </c>
      <c r="D678">
        <f t="shared" ref="D678:D686" si="77">(B678-C678)^2</f>
        <v>3.352165317103876E-3</v>
      </c>
      <c r="E678">
        <f t="shared" ref="E678" si="78">(B678-C$167)^2</f>
        <v>0</v>
      </c>
    </row>
    <row r="679" spans="1:11">
      <c r="A679">
        <v>15</v>
      </c>
      <c r="B679">
        <v>0.01</v>
      </c>
      <c r="C679">
        <f t="shared" si="76"/>
        <v>6.9418350697340619E-2</v>
      </c>
      <c r="D679">
        <f t="shared" si="77"/>
        <v>3.5305403995921584E-3</v>
      </c>
      <c r="E679">
        <f>(B679-C679)^2/B679</f>
        <v>0.3530540399592158</v>
      </c>
      <c r="G679" s="6" t="s">
        <v>134</v>
      </c>
      <c r="H679" s="6">
        <f>(100/8)*E687</f>
        <v>19.329727392155842</v>
      </c>
      <c r="J679" t="s">
        <v>104</v>
      </c>
      <c r="K679">
        <f>1-(D687/E687)</f>
        <v>0.4298054599969191</v>
      </c>
    </row>
    <row r="680" spans="1:11">
      <c r="A680">
        <v>25</v>
      </c>
      <c r="B680">
        <v>0.2</v>
      </c>
      <c r="C680">
        <f t="shared" si="76"/>
        <v>9.979239481544247E-2</v>
      </c>
      <c r="D680">
        <f t="shared" si="77"/>
        <v>1.0041564136824164E-2</v>
      </c>
      <c r="E680">
        <f t="shared" ref="E680:E686" si="79">(B680-C680)^2/B680</f>
        <v>5.0207820684120816E-2</v>
      </c>
    </row>
    <row r="681" spans="1:11">
      <c r="A681">
        <v>40</v>
      </c>
      <c r="B681">
        <v>0.48</v>
      </c>
      <c r="C681">
        <f t="shared" si="76"/>
        <v>0.17200147677088518</v>
      </c>
      <c r="D681">
        <f t="shared" si="77"/>
        <v>9.4863090311315568E-2</v>
      </c>
      <c r="E681">
        <f t="shared" si="79"/>
        <v>0.19763143814857412</v>
      </c>
      <c r="J681" t="s">
        <v>12</v>
      </c>
      <c r="K681">
        <v>150</v>
      </c>
    </row>
    <row r="682" spans="1:11">
      <c r="A682">
        <v>50</v>
      </c>
      <c r="B682">
        <v>0.69</v>
      </c>
      <c r="C682">
        <f t="shared" si="76"/>
        <v>0.24726083386214609</v>
      </c>
      <c r="D682">
        <f t="shared" si="77"/>
        <v>0.19601796923244216</v>
      </c>
      <c r="E682">
        <f t="shared" si="79"/>
        <v>0.284084013380351</v>
      </c>
      <c r="J682" t="s">
        <v>209</v>
      </c>
      <c r="K682">
        <v>4</v>
      </c>
    </row>
    <row r="683" spans="1:11">
      <c r="A683">
        <v>60</v>
      </c>
      <c r="B683">
        <v>0.83</v>
      </c>
      <c r="C683">
        <f t="shared" si="76"/>
        <v>0.35544997118625132</v>
      </c>
      <c r="D683">
        <f t="shared" si="77"/>
        <v>0.22519772984712966</v>
      </c>
      <c r="E683">
        <f t="shared" si="79"/>
        <v>0.27132256608087912</v>
      </c>
      <c r="J683" t="s">
        <v>210</v>
      </c>
      <c r="K683">
        <v>0.28870000000000001</v>
      </c>
    </row>
    <row r="684" spans="1:11">
      <c r="A684">
        <v>70</v>
      </c>
      <c r="B684">
        <v>0.88</v>
      </c>
      <c r="C684">
        <f t="shared" si="76"/>
        <v>0.51097733532172385</v>
      </c>
      <c r="D684">
        <f t="shared" si="77"/>
        <v>0.13617772704625544</v>
      </c>
      <c r="E684">
        <f t="shared" si="79"/>
        <v>0.15474741709801754</v>
      </c>
      <c r="J684" t="s">
        <v>106</v>
      </c>
      <c r="K684">
        <v>10</v>
      </c>
    </row>
    <row r="685" spans="1:11">
      <c r="A685">
        <v>75</v>
      </c>
      <c r="B685">
        <v>0.89</v>
      </c>
      <c r="C685">
        <f t="shared" si="76"/>
        <v>0.61265109505862825</v>
      </c>
      <c r="D685">
        <f t="shared" si="77"/>
        <v>7.6922415072178077E-2</v>
      </c>
      <c r="E685">
        <f t="shared" si="79"/>
        <v>8.6429679856379865E-2</v>
      </c>
      <c r="J685" t="s">
        <v>107</v>
      </c>
      <c r="K685">
        <v>2</v>
      </c>
    </row>
    <row r="686" spans="1:11">
      <c r="A686">
        <v>95</v>
      </c>
      <c r="B686">
        <v>0.9</v>
      </c>
      <c r="C686">
        <f t="shared" si="76"/>
        <v>1.2660752580391579</v>
      </c>
      <c r="D686">
        <f t="shared" si="77"/>
        <v>0.13401109454843602</v>
      </c>
      <c r="E686">
        <f t="shared" si="79"/>
        <v>0.14890121616492891</v>
      </c>
      <c r="J686" t="s">
        <v>8</v>
      </c>
      <c r="K686">
        <v>8</v>
      </c>
    </row>
    <row r="687" spans="1:11">
      <c r="D687" s="6">
        <f>SUM(D677:D686)</f>
        <v>0.88173640150042032</v>
      </c>
      <c r="E687">
        <f>SUM(E677:E686)</f>
        <v>1.5463781913724675</v>
      </c>
    </row>
    <row r="691" spans="1:11">
      <c r="A691" s="13" t="s">
        <v>109</v>
      </c>
    </row>
    <row r="692" spans="1:11">
      <c r="B692" s="6" t="s">
        <v>111</v>
      </c>
    </row>
    <row r="693" spans="1:11">
      <c r="A693" t="s">
        <v>29</v>
      </c>
      <c r="B693" t="s">
        <v>43</v>
      </c>
      <c r="C693" t="s">
        <v>99</v>
      </c>
      <c r="D693" t="s">
        <v>120</v>
      </c>
    </row>
    <row r="694" spans="1:11">
      <c r="A694">
        <v>0</v>
      </c>
      <c r="B694">
        <v>0</v>
      </c>
      <c r="C694">
        <f>EXP(($K$694*$K$699*A694)-(($K$694*$K$695*$K$700)/($K$701)))</f>
        <v>6.9721373029220893E-2</v>
      </c>
      <c r="D694">
        <f>(B694-C694)^2</f>
        <v>4.8610698570797709E-3</v>
      </c>
      <c r="J694" s="6" t="s">
        <v>236</v>
      </c>
      <c r="K694" s="6">
        <v>1.8210543029654601E-4</v>
      </c>
    </row>
    <row r="695" spans="1:11">
      <c r="A695">
        <v>20</v>
      </c>
      <c r="B695">
        <v>0</v>
      </c>
      <c r="C695">
        <f t="shared" ref="C695:C707" si="80">EXP(($K$694*$K$699*A695)-(($K$694*$K$695*$K$700)/($K$701)))</f>
        <v>0.10035538886800936</v>
      </c>
      <c r="D695">
        <f t="shared" ref="D695:D707" si="81">(B695-C695)^2</f>
        <v>1.0071204074849377E-2</v>
      </c>
      <c r="J695" s="6" t="s">
        <v>208</v>
      </c>
      <c r="K695" s="6">
        <v>1055.54211334754</v>
      </c>
    </row>
    <row r="696" spans="1:11">
      <c r="A696">
        <v>30</v>
      </c>
      <c r="B696">
        <v>0</v>
      </c>
      <c r="C696">
        <f t="shared" si="80"/>
        <v>0.12040044210357816</v>
      </c>
      <c r="D696">
        <f t="shared" si="81"/>
        <v>1.4496266458737075E-2</v>
      </c>
    </row>
    <row r="697" spans="1:11">
      <c r="A697">
        <v>40</v>
      </c>
      <c r="B697">
        <v>0</v>
      </c>
      <c r="C697">
        <f t="shared" si="80"/>
        <v>0.1444493078274354</v>
      </c>
      <c r="D697">
        <f t="shared" si="81"/>
        <v>2.0865602531825189E-2</v>
      </c>
      <c r="F697" s="6" t="s">
        <v>100</v>
      </c>
      <c r="G697" s="6">
        <f>D708</f>
        <v>0.19121848636092365</v>
      </c>
    </row>
    <row r="698" spans="1:11">
      <c r="A698">
        <v>50</v>
      </c>
      <c r="B698">
        <v>0.01</v>
      </c>
      <c r="C698">
        <f t="shared" si="80"/>
        <v>0.17330171025347998</v>
      </c>
      <c r="D698">
        <f t="shared" si="81"/>
        <v>2.6667448571711529E-2</v>
      </c>
    </row>
    <row r="699" spans="1:11">
      <c r="A699">
        <v>60</v>
      </c>
      <c r="B699">
        <v>0.11</v>
      </c>
      <c r="C699">
        <f t="shared" si="80"/>
        <v>0.20791711105089036</v>
      </c>
      <c r="D699">
        <f t="shared" si="81"/>
        <v>9.5877606365523949E-3</v>
      </c>
      <c r="J699" t="s">
        <v>12</v>
      </c>
      <c r="K699">
        <v>100</v>
      </c>
    </row>
    <row r="700" spans="1:11">
      <c r="A700">
        <v>80</v>
      </c>
      <c r="B700">
        <v>0.32</v>
      </c>
      <c r="C700">
        <f t="shared" si="80"/>
        <v>0.29927125105640445</v>
      </c>
      <c r="D700">
        <f t="shared" si="81"/>
        <v>4.2968103276661381E-4</v>
      </c>
      <c r="J700" t="s">
        <v>209</v>
      </c>
      <c r="K700">
        <v>4</v>
      </c>
    </row>
    <row r="701" spans="1:11">
      <c r="A701">
        <v>96</v>
      </c>
      <c r="B701">
        <v>0.52</v>
      </c>
      <c r="C701">
        <f t="shared" si="80"/>
        <v>0.40050211395407481</v>
      </c>
      <c r="D701">
        <f t="shared" si="81"/>
        <v>1.4279744769444927E-2</v>
      </c>
      <c r="J701" t="s">
        <v>210</v>
      </c>
      <c r="K701">
        <v>0.28870000000000001</v>
      </c>
    </row>
    <row r="702" spans="1:11">
      <c r="A702">
        <v>105</v>
      </c>
      <c r="B702">
        <v>0.62</v>
      </c>
      <c r="C702">
        <f t="shared" si="80"/>
        <v>0.47182772617710311</v>
      </c>
      <c r="D702">
        <f t="shared" si="81"/>
        <v>2.1955022729847534E-2</v>
      </c>
      <c r="J702" t="s">
        <v>106</v>
      </c>
      <c r="K702">
        <v>14</v>
      </c>
    </row>
    <row r="703" spans="1:11">
      <c r="A703">
        <v>122</v>
      </c>
      <c r="B703">
        <v>0.81</v>
      </c>
      <c r="C703">
        <f t="shared" si="80"/>
        <v>0.64303114723405042</v>
      </c>
      <c r="D703">
        <f t="shared" si="81"/>
        <v>2.7878597793977368E-2</v>
      </c>
      <c r="J703" t="s">
        <v>107</v>
      </c>
      <c r="K703">
        <v>2</v>
      </c>
    </row>
    <row r="704" spans="1:11">
      <c r="A704">
        <v>132</v>
      </c>
      <c r="B704">
        <v>0.86</v>
      </c>
      <c r="C704">
        <f t="shared" si="80"/>
        <v>0.77147062341791761</v>
      </c>
      <c r="D704">
        <f t="shared" si="81"/>
        <v>7.837450518012155E-3</v>
      </c>
    </row>
    <row r="705" spans="1:11">
      <c r="A705">
        <v>138</v>
      </c>
      <c r="B705">
        <v>0.88</v>
      </c>
      <c r="C705">
        <f t="shared" si="80"/>
        <v>0.86054150840239851</v>
      </c>
      <c r="D705">
        <f t="shared" si="81"/>
        <v>3.786328952539278E-4</v>
      </c>
    </row>
    <row r="706" spans="1:11">
      <c r="A706">
        <v>143</v>
      </c>
      <c r="B706">
        <v>0.89</v>
      </c>
      <c r="C706">
        <f t="shared" si="80"/>
        <v>0.94257412851682698</v>
      </c>
      <c r="D706">
        <f t="shared" si="81"/>
        <v>2.7640389893038384E-3</v>
      </c>
    </row>
    <row r="707" spans="1:11">
      <c r="A707">
        <v>150</v>
      </c>
      <c r="B707">
        <v>0.9</v>
      </c>
      <c r="C707">
        <f t="shared" si="80"/>
        <v>1.0707218952025837</v>
      </c>
      <c r="D707">
        <f t="shared" si="81"/>
        <v>2.9145965501561948E-2</v>
      </c>
    </row>
    <row r="708" spans="1:11">
      <c r="D708" s="6">
        <f>SUM(D694:D707)</f>
        <v>0.19121848636092365</v>
      </c>
    </row>
    <row r="713" spans="1:11" ht="16.8">
      <c r="A713" s="1" t="s">
        <v>144</v>
      </c>
    </row>
    <row r="714" spans="1:11">
      <c r="B714" t="s">
        <v>111</v>
      </c>
    </row>
    <row r="715" spans="1:11">
      <c r="A715" t="s">
        <v>29</v>
      </c>
      <c r="B715" t="s">
        <v>43</v>
      </c>
      <c r="C715" t="s">
        <v>99</v>
      </c>
      <c r="D715" t="s">
        <v>120</v>
      </c>
      <c r="E715" t="s">
        <v>137</v>
      </c>
    </row>
    <row r="716" spans="1:11">
      <c r="A716">
        <v>0</v>
      </c>
      <c r="B716">
        <v>0</v>
      </c>
      <c r="C716">
        <f>EXP(($K$716*$K$721*A716)-(($K$716*$K$717*$K$722)/($K$723)))</f>
        <v>7.3265142291347202E-2</v>
      </c>
      <c r="D716">
        <f>(B716-C716)^2</f>
        <v>5.3677810749713523E-3</v>
      </c>
      <c r="E716">
        <f>ABS(B716-C716)</f>
        <v>7.3265142291347202E-2</v>
      </c>
      <c r="J716" s="6" t="s">
        <v>236</v>
      </c>
      <c r="K716" s="6">
        <v>1.8013311308567E-4</v>
      </c>
    </row>
    <row r="717" spans="1:11">
      <c r="A717">
        <v>20</v>
      </c>
      <c r="B717">
        <v>0</v>
      </c>
      <c r="C717">
        <f t="shared" ref="C717:C729" si="82">EXP(($K$716*$K$721*A717)-(($K$716*$K$717*$K$722)/($K$723)))</f>
        <v>0.10504104446110328</v>
      </c>
      <c r="D717">
        <f t="shared" ref="D717:D729" si="83">(B717-C717)^2</f>
        <v>1.1033621021479477E-2</v>
      </c>
      <c r="E717">
        <f t="shared" ref="E717:E729" si="84">ABS(B717-C717)</f>
        <v>0.10504104446110328</v>
      </c>
      <c r="J717" s="6" t="s">
        <v>208</v>
      </c>
      <c r="K717" s="6">
        <v>1047.2347530249899</v>
      </c>
    </row>
    <row r="718" spans="1:11">
      <c r="A718">
        <v>30</v>
      </c>
      <c r="B718">
        <v>0</v>
      </c>
      <c r="C718">
        <f t="shared" si="82"/>
        <v>0.12577370328077414</v>
      </c>
      <c r="D718">
        <f t="shared" si="83"/>
        <v>1.5819024436960216E-2</v>
      </c>
      <c r="E718">
        <f t="shared" si="84"/>
        <v>0.12577370328077414</v>
      </c>
    </row>
    <row r="719" spans="1:11">
      <c r="A719">
        <v>40</v>
      </c>
      <c r="B719">
        <v>0</v>
      </c>
      <c r="C719">
        <f t="shared" si="82"/>
        <v>0.15059850668962083</v>
      </c>
      <c r="D719">
        <f t="shared" si="83"/>
        <v>2.2679910217143769E-2</v>
      </c>
      <c r="E719">
        <f t="shared" si="84"/>
        <v>0.15059850668962083</v>
      </c>
      <c r="G719" s="6" t="s">
        <v>132</v>
      </c>
      <c r="H719" s="6">
        <f>E730</f>
        <v>1.4685277729885455</v>
      </c>
    </row>
    <row r="720" spans="1:11">
      <c r="A720">
        <v>50</v>
      </c>
      <c r="B720">
        <v>0.01</v>
      </c>
      <c r="C720">
        <f t="shared" si="82"/>
        <v>0.18032314884227979</v>
      </c>
      <c r="D720">
        <f t="shared" si="83"/>
        <v>2.9009975031549392E-2</v>
      </c>
      <c r="E720">
        <f t="shared" si="84"/>
        <v>0.17032314884227978</v>
      </c>
    </row>
    <row r="721" spans="1:11">
      <c r="A721">
        <v>60</v>
      </c>
      <c r="B721">
        <v>0.11</v>
      </c>
      <c r="C721">
        <f t="shared" si="82"/>
        <v>0.21591474393176041</v>
      </c>
      <c r="D721">
        <f t="shared" si="83"/>
        <v>1.1217932982130379E-2</v>
      </c>
      <c r="E721">
        <f t="shared" si="84"/>
        <v>0.10591474393176041</v>
      </c>
      <c r="J721" t="s">
        <v>12</v>
      </c>
      <c r="K721">
        <v>100</v>
      </c>
    </row>
    <row r="722" spans="1:11">
      <c r="A722">
        <v>80</v>
      </c>
      <c r="B722">
        <v>0.32</v>
      </c>
      <c r="C722">
        <f t="shared" si="82"/>
        <v>0.3095593553473836</v>
      </c>
      <c r="D722">
        <f t="shared" si="83"/>
        <v>1.0900706076220752E-4</v>
      </c>
      <c r="E722">
        <f t="shared" si="84"/>
        <v>1.0440644652616404E-2</v>
      </c>
      <c r="J722" t="s">
        <v>209</v>
      </c>
      <c r="K722">
        <v>4</v>
      </c>
    </row>
    <row r="723" spans="1:11">
      <c r="A723">
        <v>96</v>
      </c>
      <c r="B723">
        <v>0.52</v>
      </c>
      <c r="C723">
        <f t="shared" si="82"/>
        <v>0.41296499556046878</v>
      </c>
      <c r="D723">
        <f t="shared" si="83"/>
        <v>1.145649217537047E-2</v>
      </c>
      <c r="E723">
        <f t="shared" si="84"/>
        <v>0.10703500443953123</v>
      </c>
      <c r="J723" t="s">
        <v>210</v>
      </c>
      <c r="K723">
        <v>0.28870000000000001</v>
      </c>
    </row>
    <row r="724" spans="1:11">
      <c r="A724">
        <v>105</v>
      </c>
      <c r="B724">
        <v>0.62</v>
      </c>
      <c r="C724">
        <f t="shared" si="82"/>
        <v>0.48564729726113653</v>
      </c>
      <c r="D724">
        <f t="shared" si="83"/>
        <v>1.8050648733237411E-2</v>
      </c>
      <c r="E724">
        <f t="shared" si="84"/>
        <v>0.13435270273886346</v>
      </c>
      <c r="J724" t="s">
        <v>106</v>
      </c>
      <c r="K724">
        <v>14</v>
      </c>
    </row>
    <row r="725" spans="1:11">
      <c r="A725">
        <v>122</v>
      </c>
      <c r="B725">
        <v>0.81</v>
      </c>
      <c r="C725">
        <f t="shared" si="82"/>
        <v>0.65964969362547754</v>
      </c>
      <c r="D725">
        <f t="shared" si="83"/>
        <v>2.2605214626912784E-2</v>
      </c>
      <c r="E725">
        <f t="shared" si="84"/>
        <v>0.15035030637452251</v>
      </c>
      <c r="J725" t="s">
        <v>107</v>
      </c>
      <c r="K725">
        <v>2</v>
      </c>
    </row>
    <row r="726" spans="1:11">
      <c r="A726">
        <v>132</v>
      </c>
      <c r="B726">
        <v>0.86</v>
      </c>
      <c r="C726">
        <f t="shared" si="82"/>
        <v>0.78984919905310846</v>
      </c>
      <c r="D726">
        <f t="shared" si="83"/>
        <v>4.921134873490397E-3</v>
      </c>
      <c r="E726">
        <f t="shared" si="84"/>
        <v>7.0150800946891523E-2</v>
      </c>
    </row>
    <row r="727" spans="1:11">
      <c r="A727">
        <v>138</v>
      </c>
      <c r="B727">
        <v>0.88</v>
      </c>
      <c r="C727">
        <f t="shared" si="82"/>
        <v>0.88000000030305092</v>
      </c>
      <c r="D727">
        <f t="shared" si="83"/>
        <v>9.1839858715042965E-20</v>
      </c>
      <c r="E727">
        <f t="shared" si="84"/>
        <v>3.0305091769378123E-10</v>
      </c>
    </row>
    <row r="728" spans="1:11">
      <c r="A728">
        <v>143</v>
      </c>
      <c r="B728">
        <v>0.89</v>
      </c>
      <c r="C728">
        <f t="shared" si="82"/>
        <v>0.9629374576475731</v>
      </c>
      <c r="D728">
        <f t="shared" si="83"/>
        <v>5.3198727280915183E-3</v>
      </c>
      <c r="E728">
        <f t="shared" si="84"/>
        <v>7.293745764757309E-2</v>
      </c>
    </row>
    <row r="729" spans="1:11">
      <c r="A729">
        <v>150</v>
      </c>
      <c r="B729">
        <v>0.9</v>
      </c>
      <c r="C729">
        <f t="shared" si="82"/>
        <v>1.0923445663886107</v>
      </c>
      <c r="D729">
        <f t="shared" si="83"/>
        <v>3.6996432219222643E-2</v>
      </c>
      <c r="E729">
        <f t="shared" si="84"/>
        <v>0.19234456638861064</v>
      </c>
    </row>
    <row r="730" spans="1:11">
      <c r="D730" s="6">
        <f>SUM(D716:D729)</f>
        <v>0.194587047181322</v>
      </c>
      <c r="E730">
        <f>SUM(E716:E729)</f>
        <v>1.4685277729885455</v>
      </c>
    </row>
    <row r="735" spans="1:11" ht="16.8">
      <c r="A735" s="10" t="s">
        <v>145</v>
      </c>
    </row>
    <row r="736" spans="1:11">
      <c r="B736" t="s">
        <v>111</v>
      </c>
    </row>
    <row r="737" spans="1:11">
      <c r="A737" t="s">
        <v>29</v>
      </c>
      <c r="B737" t="s">
        <v>43</v>
      </c>
      <c r="C737" t="s">
        <v>99</v>
      </c>
      <c r="D737" t="s">
        <v>120</v>
      </c>
      <c r="E737" t="s">
        <v>119</v>
      </c>
    </row>
    <row r="738" spans="1:11">
      <c r="A738">
        <v>0</v>
      </c>
      <c r="B738">
        <v>0</v>
      </c>
      <c r="C738">
        <f>EXP(($K$738*$K$743*A738)-(($K$738*$K$739*$K$744)/($K$745)))</f>
        <v>1.4353237341150362E-3</v>
      </c>
      <c r="D738">
        <f>(B738-C738)^2</f>
        <v>2.0601542217139311E-6</v>
      </c>
      <c r="E738">
        <v>0</v>
      </c>
      <c r="J738" s="6" t="s">
        <v>236</v>
      </c>
      <c r="K738" s="6">
        <v>4.5404741350104602E-4</v>
      </c>
    </row>
    <row r="739" spans="1:11">
      <c r="A739">
        <v>20</v>
      </c>
      <c r="B739">
        <v>0</v>
      </c>
      <c r="C739">
        <f t="shared" ref="C739:C751" si="85">EXP(($K$738*$K$743*A739)-(($K$738*$K$739*$K$744)/($K$745)))</f>
        <v>3.5590200832391955E-3</v>
      </c>
      <c r="D739">
        <f t="shared" ref="D739:D751" si="86">(B739-C739)^2</f>
        <v>1.2666623952899931E-5</v>
      </c>
      <c r="E739">
        <v>0</v>
      </c>
      <c r="J739" s="6" t="s">
        <v>208</v>
      </c>
      <c r="K739" s="6">
        <v>1040.6047242438401</v>
      </c>
    </row>
    <row r="740" spans="1:11">
      <c r="A740">
        <v>30</v>
      </c>
      <c r="B740">
        <v>0</v>
      </c>
      <c r="C740">
        <f t="shared" si="85"/>
        <v>5.6042916088286324E-3</v>
      </c>
      <c r="D740">
        <f t="shared" si="86"/>
        <v>3.1408084436787018E-5</v>
      </c>
      <c r="E740">
        <v>0</v>
      </c>
    </row>
    <row r="741" spans="1:11">
      <c r="A741">
        <v>40</v>
      </c>
      <c r="B741">
        <v>0</v>
      </c>
      <c r="C741">
        <f t="shared" si="85"/>
        <v>8.824924755187499E-3</v>
      </c>
      <c r="D741">
        <f t="shared" si="86"/>
        <v>7.7879296934721133E-5</v>
      </c>
      <c r="E741">
        <v>0</v>
      </c>
      <c r="G741" s="6" t="s">
        <v>121</v>
      </c>
      <c r="H741" s="6">
        <f>(100)*(1/12)^0.5*E752^0.5</f>
        <v>52.146568697508265</v>
      </c>
    </row>
    <row r="742" spans="1:11">
      <c r="A742">
        <v>50</v>
      </c>
      <c r="B742">
        <v>0.01</v>
      </c>
      <c r="C742">
        <f t="shared" si="85"/>
        <v>1.3896367707211227E-2</v>
      </c>
      <c r="D742">
        <f t="shared" si="86"/>
        <v>1.5181681309798471E-5</v>
      </c>
      <c r="E742">
        <f t="shared" ref="E742:E751" si="87">((B742-C742)/B742)^2</f>
        <v>0.15181681309798467</v>
      </c>
    </row>
    <row r="743" spans="1:11">
      <c r="A743">
        <v>60</v>
      </c>
      <c r="B743">
        <v>0.11</v>
      </c>
      <c r="C743">
        <f t="shared" si="85"/>
        <v>2.1882230252502594E-2</v>
      </c>
      <c r="D743">
        <f t="shared" si="86"/>
        <v>7.7647413452729694E-3</v>
      </c>
      <c r="E743">
        <f t="shared" si="87"/>
        <v>0.64171416076636112</v>
      </c>
      <c r="J743" t="s">
        <v>12</v>
      </c>
      <c r="K743">
        <v>100</v>
      </c>
    </row>
    <row r="744" spans="1:11">
      <c r="A744">
        <v>80</v>
      </c>
      <c r="B744">
        <v>0.32</v>
      </c>
      <c r="C744">
        <f t="shared" si="85"/>
        <v>5.4259046292952411E-2</v>
      </c>
      <c r="D744">
        <f t="shared" si="86"/>
        <v>7.0618254477131215E-2</v>
      </c>
      <c r="E744">
        <f t="shared" si="87"/>
        <v>0.68963139137823437</v>
      </c>
      <c r="J744" t="s">
        <v>209</v>
      </c>
      <c r="K744">
        <v>4</v>
      </c>
    </row>
    <row r="745" spans="1:11">
      <c r="A745">
        <v>96</v>
      </c>
      <c r="B745">
        <v>0.52</v>
      </c>
      <c r="C745">
        <f t="shared" si="85"/>
        <v>0.11219580368357081</v>
      </c>
      <c r="D745">
        <f t="shared" si="86"/>
        <v>0.16630426253328875</v>
      </c>
      <c r="E745">
        <f t="shared" si="87"/>
        <v>0.61503055670594953</v>
      </c>
      <c r="J745" t="s">
        <v>210</v>
      </c>
      <c r="K745">
        <v>0.28870000000000001</v>
      </c>
    </row>
    <row r="746" spans="1:11">
      <c r="A746">
        <v>105</v>
      </c>
      <c r="B746">
        <v>0.62</v>
      </c>
      <c r="C746">
        <f t="shared" si="85"/>
        <v>0.16882932007675791</v>
      </c>
      <c r="D746">
        <f t="shared" si="86"/>
        <v>0.20355498242240058</v>
      </c>
      <c r="E746">
        <f t="shared" si="87"/>
        <v>0.52953949641623455</v>
      </c>
      <c r="J746" t="s">
        <v>106</v>
      </c>
      <c r="K746">
        <v>14</v>
      </c>
    </row>
    <row r="747" spans="1:11">
      <c r="A747">
        <v>122</v>
      </c>
      <c r="B747">
        <v>0.81</v>
      </c>
      <c r="C747">
        <f t="shared" si="85"/>
        <v>0.36531824111401201</v>
      </c>
      <c r="D747">
        <f t="shared" si="86"/>
        <v>0.19774186668593602</v>
      </c>
      <c r="E747">
        <f t="shared" si="87"/>
        <v>0.30138982881563176</v>
      </c>
      <c r="J747" t="s">
        <v>107</v>
      </c>
      <c r="K747">
        <v>2</v>
      </c>
    </row>
    <row r="748" spans="1:11">
      <c r="A748">
        <v>132</v>
      </c>
      <c r="B748">
        <v>0.86</v>
      </c>
      <c r="C748">
        <f t="shared" si="85"/>
        <v>0.57525664518417774</v>
      </c>
      <c r="D748">
        <f t="shared" si="86"/>
        <v>8.1078778111769237E-2</v>
      </c>
      <c r="E748">
        <f t="shared" si="87"/>
        <v>0.10962517321764365</v>
      </c>
    </row>
    <row r="749" spans="1:11">
      <c r="A749">
        <v>138</v>
      </c>
      <c r="B749">
        <v>0.88</v>
      </c>
      <c r="C749">
        <f t="shared" si="85"/>
        <v>0.75539797439047163</v>
      </c>
      <c r="D749">
        <f t="shared" si="86"/>
        <v>1.5525664785997565E-2</v>
      </c>
      <c r="E749">
        <f t="shared" si="87"/>
        <v>2.0048637378612559E-2</v>
      </c>
    </row>
    <row r="750" spans="1:11">
      <c r="A750">
        <v>143</v>
      </c>
      <c r="B750">
        <v>0.89</v>
      </c>
      <c r="C750">
        <f t="shared" si="85"/>
        <v>0.94791841224569751</v>
      </c>
      <c r="D750">
        <f t="shared" si="86"/>
        <v>3.3545424770625612E-3</v>
      </c>
      <c r="E750">
        <f t="shared" si="87"/>
        <v>4.2349987085753835E-3</v>
      </c>
    </row>
    <row r="751" spans="1:11">
      <c r="A751">
        <v>150</v>
      </c>
      <c r="B751">
        <v>0.9</v>
      </c>
      <c r="C751">
        <f t="shared" si="85"/>
        <v>1.3025792612853324</v>
      </c>
      <c r="D751">
        <f t="shared" si="86"/>
        <v>0.16207006161704393</v>
      </c>
      <c r="E751">
        <f t="shared" si="87"/>
        <v>0.20008649582351098</v>
      </c>
    </row>
    <row r="752" spans="1:11">
      <c r="D752" s="6">
        <f>SUM(D738:D751)</f>
        <v>0.90815235029675878</v>
      </c>
      <c r="E752">
        <f>SUM(E738:E751)</f>
        <v>3.2631175523087386</v>
      </c>
    </row>
    <row r="756" spans="1:11" ht="16.8">
      <c r="A756" s="1" t="s">
        <v>125</v>
      </c>
    </row>
    <row r="757" spans="1:11">
      <c r="B757" t="s">
        <v>111</v>
      </c>
    </row>
    <row r="758" spans="1:11">
      <c r="A758" t="s">
        <v>29</v>
      </c>
      <c r="B758" t="s">
        <v>43</v>
      </c>
      <c r="C758" t="s">
        <v>99</v>
      </c>
      <c r="D758" t="s">
        <v>120</v>
      </c>
      <c r="E758" t="s">
        <v>119</v>
      </c>
    </row>
    <row r="759" spans="1:11">
      <c r="A759">
        <v>0</v>
      </c>
      <c r="B759">
        <v>0</v>
      </c>
      <c r="C759">
        <f>EXP(($K$759*$K$764*A759)-(($K$759*$K$760*$K$765)/($K$766)))</f>
        <v>1.3210448572129002E-2</v>
      </c>
      <c r="D759">
        <f>(B759-C759)^2</f>
        <v>1.7451595147686518E-4</v>
      </c>
      <c r="J759" s="6" t="s">
        <v>236</v>
      </c>
      <c r="K759" s="6">
        <v>3.0002480458075502E-4</v>
      </c>
    </row>
    <row r="760" spans="1:11">
      <c r="A760">
        <v>20</v>
      </c>
      <c r="B760">
        <v>0</v>
      </c>
      <c r="C760">
        <f t="shared" ref="C760:C772" si="88">EXP(($K$759*$K$764*A760)-(($K$759*$K$760*$K$765)/($K$766)))</f>
        <v>2.4072200876948231E-2</v>
      </c>
      <c r="D760">
        <f t="shared" ref="D760:D772" si="89">(B760-C760)^2</f>
        <v>5.7947085506014715E-4</v>
      </c>
      <c r="J760" s="6" t="s">
        <v>208</v>
      </c>
      <c r="K760" s="6">
        <v>1040.8572047433499</v>
      </c>
    </row>
    <row r="761" spans="1:11">
      <c r="A761">
        <v>30</v>
      </c>
      <c r="B761">
        <v>0</v>
      </c>
      <c r="C761">
        <f t="shared" si="88"/>
        <v>3.2494878383325904E-2</v>
      </c>
      <c r="D761">
        <f t="shared" si="89"/>
        <v>1.0559171211471411E-3</v>
      </c>
    </row>
    <row r="762" spans="1:11">
      <c r="A762">
        <v>40</v>
      </c>
      <c r="B762">
        <v>0</v>
      </c>
      <c r="C762">
        <f t="shared" si="88"/>
        <v>4.386458581601059E-2</v>
      </c>
      <c r="D762">
        <f t="shared" si="89"/>
        <v>1.9241018888101575E-3</v>
      </c>
      <c r="G762" s="6" t="s">
        <v>134</v>
      </c>
      <c r="H762" s="6">
        <f>(100/12)*E773</f>
        <v>7.5076095502541005</v>
      </c>
    </row>
    <row r="763" spans="1:11">
      <c r="A763">
        <v>50</v>
      </c>
      <c r="B763">
        <v>0.01</v>
      </c>
      <c r="C763">
        <f t="shared" si="88"/>
        <v>5.9212466226599966E-2</v>
      </c>
      <c r="D763">
        <f t="shared" si="89"/>
        <v>2.4218668321042422E-3</v>
      </c>
      <c r="E763">
        <f>(B763-C763)^2/B763</f>
        <v>0.24218668321042422</v>
      </c>
    </row>
    <row r="764" spans="1:11">
      <c r="A764">
        <v>60</v>
      </c>
      <c r="B764">
        <v>0.11</v>
      </c>
      <c r="C764">
        <f t="shared" si="88"/>
        <v>7.993045167102672E-2</v>
      </c>
      <c r="D764">
        <f t="shared" si="89"/>
        <v>9.0417773670845979E-4</v>
      </c>
      <c r="E764">
        <f t="shared" ref="E764:E772" si="90">(B764-C764)^2/B764</f>
        <v>8.2197976064405428E-3</v>
      </c>
      <c r="J764" t="s">
        <v>12</v>
      </c>
      <c r="K764">
        <v>100</v>
      </c>
    </row>
    <row r="765" spans="1:11">
      <c r="A765">
        <v>80</v>
      </c>
      <c r="B765">
        <v>0.32</v>
      </c>
      <c r="C765">
        <f t="shared" si="88"/>
        <v>0.14565000410883619</v>
      </c>
      <c r="D765">
        <f t="shared" si="89"/>
        <v>3.039792106724884E-2</v>
      </c>
      <c r="E765">
        <f t="shared" si="90"/>
        <v>9.4993503335152621E-2</v>
      </c>
      <c r="J765" t="s">
        <v>209</v>
      </c>
      <c r="K765">
        <v>4</v>
      </c>
    </row>
    <row r="766" spans="1:11">
      <c r="A766">
        <v>96</v>
      </c>
      <c r="B766">
        <v>0.52</v>
      </c>
      <c r="C766">
        <f t="shared" si="88"/>
        <v>0.235390585157848</v>
      </c>
      <c r="D766">
        <f t="shared" si="89"/>
        <v>8.1002519016792188E-2</v>
      </c>
      <c r="E766">
        <f t="shared" si="90"/>
        <v>0.15577407503229265</v>
      </c>
      <c r="J766" t="s">
        <v>210</v>
      </c>
      <c r="K766">
        <v>0.28870000000000001</v>
      </c>
    </row>
    <row r="767" spans="1:11">
      <c r="A767">
        <v>105</v>
      </c>
      <c r="B767">
        <v>0.62</v>
      </c>
      <c r="C767">
        <f t="shared" si="88"/>
        <v>0.30836018238778162</v>
      </c>
      <c r="D767">
        <f t="shared" si="89"/>
        <v>9.7119375921376733E-2</v>
      </c>
      <c r="E767">
        <f t="shared" si="90"/>
        <v>0.15664415471189796</v>
      </c>
      <c r="J767" t="s">
        <v>106</v>
      </c>
      <c r="K767">
        <v>14</v>
      </c>
    </row>
    <row r="768" spans="1:11">
      <c r="A768">
        <v>122</v>
      </c>
      <c r="B768">
        <v>0.81</v>
      </c>
      <c r="C768">
        <f t="shared" si="88"/>
        <v>0.51353115061804877</v>
      </c>
      <c r="D768">
        <f t="shared" si="89"/>
        <v>8.7893778653858112E-2</v>
      </c>
      <c r="E768">
        <f t="shared" si="90"/>
        <v>0.10851083784426926</v>
      </c>
      <c r="J768" t="s">
        <v>107</v>
      </c>
      <c r="K768">
        <v>2</v>
      </c>
    </row>
    <row r="769" spans="1:11">
      <c r="A769">
        <v>132</v>
      </c>
      <c r="B769">
        <v>0.86</v>
      </c>
      <c r="C769">
        <f t="shared" si="88"/>
        <v>0.69321174123977469</v>
      </c>
      <c r="D769">
        <f t="shared" si="89"/>
        <v>2.7818323260267869E-2</v>
      </c>
      <c r="E769">
        <f t="shared" si="90"/>
        <v>3.2346887511939384E-2</v>
      </c>
    </row>
    <row r="770" spans="1:11">
      <c r="A770">
        <v>138</v>
      </c>
      <c r="B770">
        <v>0.88</v>
      </c>
      <c r="C770">
        <f t="shared" si="88"/>
        <v>0.82993748459106287</v>
      </c>
      <c r="D770">
        <f t="shared" si="89"/>
        <v>2.5062554490700682E-3</v>
      </c>
      <c r="E770">
        <f t="shared" si="90"/>
        <v>2.8480175557614412E-3</v>
      </c>
    </row>
    <row r="771" spans="1:11">
      <c r="A771">
        <v>143</v>
      </c>
      <c r="B771">
        <v>0.89</v>
      </c>
      <c r="C771">
        <f t="shared" si="88"/>
        <v>0.96426174790171126</v>
      </c>
      <c r="D771">
        <f t="shared" si="89"/>
        <v>5.5148072014173152E-3</v>
      </c>
      <c r="E771">
        <f t="shared" si="90"/>
        <v>6.1964125858621514E-3</v>
      </c>
    </row>
    <row r="772" spans="1:11">
      <c r="A772">
        <v>150</v>
      </c>
      <c r="B772">
        <v>0.9</v>
      </c>
      <c r="C772">
        <f t="shared" si="88"/>
        <v>1.1896092176930952</v>
      </c>
      <c r="D772">
        <f t="shared" si="89"/>
        <v>8.3873498972806618E-2</v>
      </c>
      <c r="E772">
        <f t="shared" si="90"/>
        <v>9.3192776636451799E-2</v>
      </c>
    </row>
    <row r="773" spans="1:11">
      <c r="D773">
        <f>SUM(D759:D772)</f>
        <v>0.42318652992814476</v>
      </c>
      <c r="E773">
        <f>SUM(E759:E772)</f>
        <v>0.900913146030492</v>
      </c>
    </row>
    <row r="777" spans="1:11" ht="16.8">
      <c r="A777" s="1" t="s">
        <v>109</v>
      </c>
    </row>
    <row r="778" spans="1:11">
      <c r="B778" t="s">
        <v>72</v>
      </c>
    </row>
    <row r="779" spans="1:11">
      <c r="A779" t="s">
        <v>29</v>
      </c>
      <c r="B779" t="s">
        <v>43</v>
      </c>
      <c r="C779" t="s">
        <v>99</v>
      </c>
      <c r="D779" t="s">
        <v>120</v>
      </c>
    </row>
    <row r="780" spans="1:11">
      <c r="A780">
        <v>0</v>
      </c>
      <c r="B780">
        <v>0</v>
      </c>
      <c r="C780">
        <f>EXP(($K$780*$K$785*A780)-($K$780*$K$781*$K$786/$K$787))</f>
        <v>1.7235105767014196E-2</v>
      </c>
      <c r="D780">
        <f>(B780-C780)^2</f>
        <v>2.9704887080016598E-4</v>
      </c>
      <c r="J780" s="6" t="s">
        <v>236</v>
      </c>
      <c r="K780" s="6">
        <v>2.1838945005092701E-4</v>
      </c>
    </row>
    <row r="781" spans="1:11">
      <c r="A781">
        <v>20</v>
      </c>
      <c r="B781">
        <v>0</v>
      </c>
      <c r="C781">
        <f t="shared" ref="C781:C793" si="91">EXP(($K$780*$K$785*A781)-($K$780*$K$781*$K$786/$K$787))</f>
        <v>2.6675011726905003E-2</v>
      </c>
      <c r="D781">
        <f t="shared" ref="D781:D793" si="92">(B781-C781)^2</f>
        <v>7.115562506305195E-4</v>
      </c>
      <c r="J781" s="6" t="s">
        <v>208</v>
      </c>
      <c r="K781" s="6">
        <v>2013.7666528570701</v>
      </c>
    </row>
    <row r="782" spans="1:11">
      <c r="A782">
        <v>40</v>
      </c>
      <c r="B782">
        <v>0</v>
      </c>
      <c r="C782">
        <f t="shared" si="91"/>
        <v>4.1285284827920696E-2</v>
      </c>
      <c r="D782">
        <f t="shared" si="92"/>
        <v>1.7044747433225388E-3</v>
      </c>
    </row>
    <row r="783" spans="1:11">
      <c r="A783">
        <v>50</v>
      </c>
      <c r="B783">
        <v>0</v>
      </c>
      <c r="C783">
        <f t="shared" si="91"/>
        <v>5.1361845273674774E-2</v>
      </c>
      <c r="D783">
        <f t="shared" si="92"/>
        <v>2.6380391499169075E-3</v>
      </c>
      <c r="G783" s="6" t="s">
        <v>100</v>
      </c>
      <c r="H783" s="6">
        <f>D794</f>
        <v>5.4535053488033711E-2</v>
      </c>
    </row>
    <row r="784" spans="1:11">
      <c r="A784">
        <v>60</v>
      </c>
      <c r="B784">
        <v>0</v>
      </c>
      <c r="C784">
        <f t="shared" si="91"/>
        <v>6.3897806710366628E-2</v>
      </c>
      <c r="D784">
        <f t="shared" si="92"/>
        <v>4.0829297023953744E-3</v>
      </c>
    </row>
    <row r="785" spans="1:11">
      <c r="A785">
        <v>70</v>
      </c>
      <c r="B785">
        <v>0</v>
      </c>
      <c r="C785">
        <f t="shared" si="91"/>
        <v>7.9493438770356167E-2</v>
      </c>
      <c r="D785">
        <f t="shared" si="92"/>
        <v>6.319206807536365E-3</v>
      </c>
      <c r="J785" t="s">
        <v>12</v>
      </c>
      <c r="K785">
        <v>100</v>
      </c>
    </row>
    <row r="786" spans="1:11">
      <c r="A786">
        <v>80</v>
      </c>
      <c r="B786">
        <v>0.01</v>
      </c>
      <c r="C786">
        <f t="shared" si="91"/>
        <v>9.889551978176353E-2</v>
      </c>
      <c r="D786">
        <f t="shared" si="92"/>
        <v>7.9024134372699117E-3</v>
      </c>
      <c r="J786" t="s">
        <v>209</v>
      </c>
      <c r="K786">
        <v>4</v>
      </c>
    </row>
    <row r="787" spans="1:11">
      <c r="A787">
        <v>100</v>
      </c>
      <c r="B787">
        <v>0.09</v>
      </c>
      <c r="C787">
        <f t="shared" si="91"/>
        <v>0.15306196466550151</v>
      </c>
      <c r="D787">
        <f t="shared" si="92"/>
        <v>3.9768113874729611E-3</v>
      </c>
      <c r="J787" t="s">
        <v>210</v>
      </c>
      <c r="K787">
        <v>0.43319999999999997</v>
      </c>
    </row>
    <row r="788" spans="1:11">
      <c r="A788">
        <v>115</v>
      </c>
      <c r="B788">
        <v>0.21</v>
      </c>
      <c r="C788">
        <f t="shared" si="91"/>
        <v>0.21239059575753128</v>
      </c>
      <c r="D788">
        <f t="shared" si="92"/>
        <v>5.7149480759265695E-6</v>
      </c>
      <c r="J788" t="s">
        <v>106</v>
      </c>
      <c r="K788">
        <v>17</v>
      </c>
    </row>
    <row r="789" spans="1:11">
      <c r="A789">
        <v>130</v>
      </c>
      <c r="B789">
        <v>0.36</v>
      </c>
      <c r="C789">
        <f t="shared" si="91"/>
        <v>0.29471570722890578</v>
      </c>
      <c r="D789">
        <f t="shared" si="92"/>
        <v>4.2620388826219435E-3</v>
      </c>
      <c r="J789" t="s">
        <v>107</v>
      </c>
      <c r="K789">
        <v>2</v>
      </c>
    </row>
    <row r="790" spans="1:11">
      <c r="A790">
        <v>140</v>
      </c>
      <c r="B790">
        <v>0.46</v>
      </c>
      <c r="C790">
        <f t="shared" si="91"/>
        <v>0.36664740518335115</v>
      </c>
      <c r="D790">
        <f t="shared" si="92"/>
        <v>8.7147069590014174E-3</v>
      </c>
    </row>
    <row r="791" spans="1:11">
      <c r="A791">
        <v>165</v>
      </c>
      <c r="B791">
        <v>0.72</v>
      </c>
      <c r="C791">
        <f t="shared" si="91"/>
        <v>0.63293913390191892</v>
      </c>
      <c r="D791">
        <f t="shared" si="92"/>
        <v>7.5795944057479997E-3</v>
      </c>
    </row>
    <row r="792" spans="1:11">
      <c r="A792">
        <v>180</v>
      </c>
      <c r="B792">
        <v>0.88</v>
      </c>
      <c r="C792">
        <f t="shared" si="91"/>
        <v>0.87827384171806266</v>
      </c>
      <c r="D792">
        <f t="shared" si="92"/>
        <v>2.9796224143008695E-6</v>
      </c>
    </row>
    <row r="793" spans="1:11">
      <c r="A793">
        <v>185</v>
      </c>
      <c r="B793">
        <v>0.9</v>
      </c>
      <c r="C793">
        <f t="shared" si="91"/>
        <v>0.97960865732335511</v>
      </c>
      <c r="D793">
        <f t="shared" si="92"/>
        <v>6.3375383208273788E-3</v>
      </c>
    </row>
    <row r="794" spans="1:11">
      <c r="D794">
        <f>SUM(D780:D793)</f>
        <v>5.4535053488033711E-2</v>
      </c>
    </row>
    <row r="798" spans="1:11" ht="16.8">
      <c r="A798" s="1" t="s">
        <v>184</v>
      </c>
    </row>
    <row r="799" spans="1:11">
      <c r="B799" t="s">
        <v>72</v>
      </c>
    </row>
    <row r="800" spans="1:11">
      <c r="A800" t="s">
        <v>29</v>
      </c>
      <c r="B800" t="s">
        <v>43</v>
      </c>
      <c r="C800" t="s">
        <v>99</v>
      </c>
      <c r="D800" t="s">
        <v>120</v>
      </c>
      <c r="E800" t="s">
        <v>137</v>
      </c>
    </row>
    <row r="801" spans="1:11">
      <c r="A801">
        <v>0</v>
      </c>
      <c r="B801">
        <v>0</v>
      </c>
      <c r="C801">
        <f>EXP(($K$801*$K$806*A801)-($K$801*$K$802*$K$807/$K$808))</f>
        <v>1.7258770768668233E-2</v>
      </c>
      <c r="D801">
        <f>(B801-C801)^2</f>
        <v>2.9786516844543709E-4</v>
      </c>
      <c r="E801">
        <f>ABS(B801-C801)</f>
        <v>1.7258770768668233E-2</v>
      </c>
      <c r="J801" s="6" t="s">
        <v>236</v>
      </c>
      <c r="K801" s="6">
        <v>2.18422334897034E-4</v>
      </c>
    </row>
    <row r="802" spans="1:11">
      <c r="A802">
        <v>20</v>
      </c>
      <c r="B802">
        <v>0</v>
      </c>
      <c r="C802">
        <f t="shared" ref="C802:C814" si="93">EXP(($K$801*$K$806*A802)-($K$801*$K$802*$K$807/$K$808))</f>
        <v>2.6713395251493573E-2</v>
      </c>
      <c r="D802">
        <f t="shared" ref="D802:D814" si="94">(B802-C802)^2</f>
        <v>7.1360548586251935E-4</v>
      </c>
      <c r="E802">
        <f t="shared" ref="E802:E814" si="95">ABS(B802-C802)</f>
        <v>2.6713395251493573E-2</v>
      </c>
      <c r="J802" s="6" t="s">
        <v>208</v>
      </c>
      <c r="K802" s="6">
        <v>2012.7831277094399</v>
      </c>
    </row>
    <row r="803" spans="1:11">
      <c r="A803">
        <v>40</v>
      </c>
      <c r="B803">
        <v>0</v>
      </c>
      <c r="C803">
        <f t="shared" si="93"/>
        <v>4.1347410857209305E-2</v>
      </c>
      <c r="D803">
        <f t="shared" si="94"/>
        <v>1.7096083845948699E-3</v>
      </c>
      <c r="E803">
        <f t="shared" si="95"/>
        <v>4.1347410857209305E-2</v>
      </c>
    </row>
    <row r="804" spans="1:11">
      <c r="A804">
        <v>50</v>
      </c>
      <c r="B804">
        <v>0</v>
      </c>
      <c r="C804">
        <f t="shared" si="93"/>
        <v>5.1440826090526671E-2</v>
      </c>
      <c r="D804">
        <f t="shared" si="94"/>
        <v>2.6461585888758097E-3</v>
      </c>
      <c r="E804">
        <f t="shared" si="95"/>
        <v>5.1440826090526671E-2</v>
      </c>
      <c r="G804" s="6" t="s">
        <v>132</v>
      </c>
      <c r="H804" s="6">
        <f>E815</f>
        <v>0.76035459768826053</v>
      </c>
    </row>
    <row r="805" spans="1:11">
      <c r="A805">
        <v>60</v>
      </c>
      <c r="B805">
        <v>0</v>
      </c>
      <c r="C805">
        <f t="shared" si="93"/>
        <v>6.3998169027176879E-2</v>
      </c>
      <c r="D805">
        <f t="shared" si="94"/>
        <v>4.0957656388311021E-3</v>
      </c>
      <c r="E805">
        <f t="shared" si="95"/>
        <v>6.3998169027176879E-2</v>
      </c>
    </row>
    <row r="806" spans="1:11">
      <c r="A806">
        <v>70</v>
      </c>
      <c r="B806">
        <v>0</v>
      </c>
      <c r="C806">
        <f t="shared" si="93"/>
        <v>7.9620914944547858E-2</v>
      </c>
      <c r="D806">
        <f t="shared" si="94"/>
        <v>6.3394900966069244E-3</v>
      </c>
      <c r="E806">
        <f t="shared" si="95"/>
        <v>7.9620914944547858E-2</v>
      </c>
      <c r="J806" t="s">
        <v>12</v>
      </c>
      <c r="K806">
        <v>100</v>
      </c>
    </row>
    <row r="807" spans="1:11">
      <c r="A807">
        <v>80</v>
      </c>
      <c r="B807">
        <v>0.01</v>
      </c>
      <c r="C807">
        <f t="shared" si="93"/>
        <v>9.9057366686769635E-2</v>
      </c>
      <c r="D807">
        <f t="shared" si="94"/>
        <v>7.9312145611817476E-3</v>
      </c>
      <c r="E807">
        <f t="shared" si="95"/>
        <v>8.905736668676964E-2</v>
      </c>
      <c r="J807" t="s">
        <v>209</v>
      </c>
      <c r="K807">
        <v>4</v>
      </c>
    </row>
    <row r="808" spans="1:11">
      <c r="A808">
        <v>100</v>
      </c>
      <c r="B808">
        <v>0.09</v>
      </c>
      <c r="C808">
        <f t="shared" si="93"/>
        <v>0.15332254100504517</v>
      </c>
      <c r="D808">
        <f t="shared" si="94"/>
        <v>4.009744199335627E-3</v>
      </c>
      <c r="E808">
        <f t="shared" si="95"/>
        <v>6.3322541005045169E-2</v>
      </c>
      <c r="J808" t="s">
        <v>210</v>
      </c>
      <c r="K808">
        <v>0.43319999999999997</v>
      </c>
    </row>
    <row r="809" spans="1:11">
      <c r="A809">
        <v>115</v>
      </c>
      <c r="B809">
        <v>0.21</v>
      </c>
      <c r="C809">
        <f t="shared" si="93"/>
        <v>0.21276266931639312</v>
      </c>
      <c r="D809">
        <f t="shared" si="94"/>
        <v>7.6323417517400808E-6</v>
      </c>
      <c r="E809">
        <f t="shared" si="95"/>
        <v>2.7626693163931293E-3</v>
      </c>
      <c r="J809" t="s">
        <v>106</v>
      </c>
      <c r="K809">
        <v>17</v>
      </c>
    </row>
    <row r="810" spans="1:11">
      <c r="A810">
        <v>130</v>
      </c>
      <c r="B810">
        <v>0.36</v>
      </c>
      <c r="C810">
        <f t="shared" si="93"/>
        <v>0.29524656425533191</v>
      </c>
      <c r="D810">
        <f t="shared" si="94"/>
        <v>4.1930074407388572E-3</v>
      </c>
      <c r="E810">
        <f t="shared" si="95"/>
        <v>6.4753435744668075E-2</v>
      </c>
      <c r="J810" t="s">
        <v>107</v>
      </c>
      <c r="K810">
        <v>2</v>
      </c>
    </row>
    <row r="811" spans="1:11">
      <c r="A811">
        <v>140</v>
      </c>
      <c r="B811">
        <v>0.46</v>
      </c>
      <c r="C811">
        <f t="shared" si="93"/>
        <v>0.36731990832833289</v>
      </c>
      <c r="D811">
        <f t="shared" si="94"/>
        <v>8.5895993922686237E-3</v>
      </c>
      <c r="E811">
        <f t="shared" si="95"/>
        <v>9.2680091671667131E-2</v>
      </c>
    </row>
    <row r="812" spans="1:11">
      <c r="A812">
        <v>165</v>
      </c>
      <c r="B812">
        <v>0.72</v>
      </c>
      <c r="C812">
        <f t="shared" si="93"/>
        <v>0.63415220107853365</v>
      </c>
      <c r="D812">
        <f t="shared" si="94"/>
        <v>7.3698445796605144E-3</v>
      </c>
      <c r="E812">
        <f t="shared" si="95"/>
        <v>8.5847798921466323E-2</v>
      </c>
    </row>
    <row r="813" spans="1:11">
      <c r="A813">
        <v>180</v>
      </c>
      <c r="B813">
        <v>0.88</v>
      </c>
      <c r="C813">
        <f t="shared" si="93"/>
        <v>0.88000051505730703</v>
      </c>
      <c r="D813">
        <f t="shared" si="94"/>
        <v>2.652840295216198E-13</v>
      </c>
      <c r="E813">
        <f t="shared" si="95"/>
        <v>5.1505730702672281E-7</v>
      </c>
    </row>
    <row r="814" spans="1:11">
      <c r="A814">
        <v>185</v>
      </c>
      <c r="B814">
        <v>0.9</v>
      </c>
      <c r="C814">
        <f t="shared" si="93"/>
        <v>0.98155069234532144</v>
      </c>
      <c r="D814">
        <f t="shared" si="94"/>
        <v>6.6505154220012656E-3</v>
      </c>
      <c r="E814">
        <f t="shared" si="95"/>
        <v>8.1550692345321418E-2</v>
      </c>
    </row>
    <row r="815" spans="1:11">
      <c r="D815" s="6">
        <f>SUM(D801:D814)</f>
        <v>5.4554051300420313E-2</v>
      </c>
      <c r="E815">
        <f>SUM(E801:E814)</f>
        <v>0.76035459768826053</v>
      </c>
    </row>
    <row r="822" spans="1:11" ht="16.8">
      <c r="A822" s="10" t="s">
        <v>141</v>
      </c>
    </row>
    <row r="823" spans="1:11">
      <c r="B823" t="s">
        <v>72</v>
      </c>
    </row>
    <row r="824" spans="1:11">
      <c r="A824" t="s">
        <v>29</v>
      </c>
      <c r="B824" t="s">
        <v>43</v>
      </c>
      <c r="C824" t="s">
        <v>99</v>
      </c>
      <c r="D824" t="s">
        <v>120</v>
      </c>
      <c r="E824" t="s">
        <v>119</v>
      </c>
    </row>
    <row r="825" spans="1:11">
      <c r="A825">
        <v>0</v>
      </c>
      <c r="B825">
        <v>0</v>
      </c>
      <c r="C825">
        <f>EXP(($K$825*$K$830*A825)-($K$825*$K$826*$K$831/$K$832))</f>
        <v>4.8036949945185181E-4</v>
      </c>
      <c r="D825">
        <f>(B825-C825)^2</f>
        <v>2.3075485600362267E-7</v>
      </c>
      <c r="E825">
        <v>0</v>
      </c>
      <c r="J825" s="6" t="s">
        <v>236</v>
      </c>
      <c r="K825" s="6">
        <v>4.2234883712604E-4</v>
      </c>
    </row>
    <row r="826" spans="1:11">
      <c r="A826">
        <v>20</v>
      </c>
      <c r="B826">
        <v>0</v>
      </c>
      <c r="C826">
        <f t="shared" ref="C826:C838" si="96">EXP(($K$825*$K$830*A826)-($K$825*$K$826*$K$831/$K$832))</f>
        <v>1.1179515009004594E-3</v>
      </c>
      <c r="D826">
        <f t="shared" ref="D826:D838" si="97">(B826-C826)^2</f>
        <v>1.24981555836559E-6</v>
      </c>
      <c r="E826">
        <v>0</v>
      </c>
      <c r="J826" s="6" t="s">
        <v>208</v>
      </c>
      <c r="K826" s="6">
        <v>1959.3173921437501</v>
      </c>
    </row>
    <row r="827" spans="1:11">
      <c r="A827">
        <v>40</v>
      </c>
      <c r="B827">
        <v>0</v>
      </c>
      <c r="C827">
        <f t="shared" si="96"/>
        <v>2.6017795879874771E-3</v>
      </c>
      <c r="D827">
        <f t="shared" si="97"/>
        <v>6.7692570244682861E-6</v>
      </c>
      <c r="E827">
        <v>0</v>
      </c>
    </row>
    <row r="828" spans="1:11">
      <c r="A828">
        <v>50</v>
      </c>
      <c r="B828">
        <v>0</v>
      </c>
      <c r="C828">
        <f t="shared" si="96"/>
        <v>3.9691203861084764E-3</v>
      </c>
      <c r="D828">
        <f t="shared" si="97"/>
        <v>1.5753916639421901E-5</v>
      </c>
      <c r="E828">
        <v>0</v>
      </c>
    </row>
    <row r="829" spans="1:11">
      <c r="A829">
        <v>60</v>
      </c>
      <c r="B829">
        <v>0</v>
      </c>
      <c r="C829">
        <f t="shared" si="96"/>
        <v>6.0550542836750581E-3</v>
      </c>
      <c r="D829">
        <f t="shared" si="97"/>
        <v>3.6663682378251673E-5</v>
      </c>
      <c r="E829">
        <v>0</v>
      </c>
      <c r="G829" s="6" t="s">
        <v>121</v>
      </c>
      <c r="H829" s="6">
        <f>(100)*(1/15)^0.5*E839^0.5</f>
        <v>37.416041957576212</v>
      </c>
    </row>
    <row r="830" spans="1:11">
      <c r="A830">
        <v>70</v>
      </c>
      <c r="B830">
        <v>0</v>
      </c>
      <c r="C830">
        <f t="shared" si="96"/>
        <v>9.2372311272217612E-3</v>
      </c>
      <c r="D830">
        <f t="shared" si="97"/>
        <v>8.5326438897714602E-5</v>
      </c>
      <c r="E830">
        <v>0</v>
      </c>
      <c r="J830" t="s">
        <v>12</v>
      </c>
      <c r="K830">
        <v>100</v>
      </c>
    </row>
    <row r="831" spans="1:11">
      <c r="A831">
        <v>80</v>
      </c>
      <c r="B831">
        <v>0.01</v>
      </c>
      <c r="C831">
        <f t="shared" si="96"/>
        <v>1.4091771089115078E-2</v>
      </c>
      <c r="D831">
        <f t="shared" si="97"/>
        <v>1.6742590645717987E-5</v>
      </c>
      <c r="E831">
        <f>(B831-C831)^2/B831^2</f>
        <v>0.16742590645717986</v>
      </c>
      <c r="J831" t="s">
        <v>209</v>
      </c>
      <c r="K831">
        <v>4</v>
      </c>
    </row>
    <row r="832" spans="1:11">
      <c r="A832">
        <v>100</v>
      </c>
      <c r="B832">
        <v>0.09</v>
      </c>
      <c r="C832">
        <f t="shared" si="96"/>
        <v>3.279541406646061E-2</v>
      </c>
      <c r="D832">
        <f t="shared" si="97"/>
        <v>3.2723646518276923E-3</v>
      </c>
      <c r="E832">
        <f t="shared" ref="E832:E838" si="98">(B832-C832)^2/B832^2</f>
        <v>0.40399563602811017</v>
      </c>
      <c r="J832" t="s">
        <v>210</v>
      </c>
      <c r="K832">
        <v>0.43319999999999997</v>
      </c>
    </row>
    <row r="833" spans="1:11">
      <c r="A833">
        <v>115</v>
      </c>
      <c r="B833">
        <v>0.21</v>
      </c>
      <c r="C833">
        <f t="shared" si="96"/>
        <v>6.1794350613073423E-2</v>
      </c>
      <c r="D833">
        <f t="shared" si="97"/>
        <v>2.1964914510200606E-2</v>
      </c>
      <c r="E833">
        <f t="shared" si="98"/>
        <v>0.4980706238140728</v>
      </c>
      <c r="J833" t="s">
        <v>106</v>
      </c>
      <c r="K833">
        <v>17</v>
      </c>
    </row>
    <row r="834" spans="1:11">
      <c r="A834">
        <v>130</v>
      </c>
      <c r="B834">
        <v>0.36</v>
      </c>
      <c r="C834">
        <f t="shared" si="96"/>
        <v>0.11643523573000465</v>
      </c>
      <c r="D834">
        <f t="shared" si="97"/>
        <v>5.9323794393898406E-2</v>
      </c>
      <c r="E834">
        <f t="shared" si="98"/>
        <v>0.45774532711341365</v>
      </c>
      <c r="J834" t="s">
        <v>107</v>
      </c>
      <c r="K834">
        <v>2</v>
      </c>
    </row>
    <row r="835" spans="1:11">
      <c r="A835">
        <v>140</v>
      </c>
      <c r="B835">
        <v>0.46</v>
      </c>
      <c r="C835">
        <f t="shared" si="96"/>
        <v>0.17762667903578461</v>
      </c>
      <c r="D835">
        <f t="shared" si="97"/>
        <v>7.9734692392359821E-2</v>
      </c>
      <c r="E835">
        <f t="shared" si="98"/>
        <v>0.3768180169771258</v>
      </c>
    </row>
    <row r="836" spans="1:11">
      <c r="A836">
        <v>165</v>
      </c>
      <c r="B836">
        <v>0.72</v>
      </c>
      <c r="C836">
        <f t="shared" si="96"/>
        <v>0.51058449182256682</v>
      </c>
      <c r="D836">
        <f t="shared" si="97"/>
        <v>4.385485506521257E-2</v>
      </c>
      <c r="E836">
        <f t="shared" si="98"/>
        <v>8.4596556838758816E-2</v>
      </c>
    </row>
    <row r="837" spans="1:11">
      <c r="A837">
        <v>180</v>
      </c>
      <c r="B837">
        <v>0.88</v>
      </c>
      <c r="C837">
        <f t="shared" si="96"/>
        <v>0.9620624713364615</v>
      </c>
      <c r="D837">
        <f t="shared" si="97"/>
        <v>6.7342492018475641E-3</v>
      </c>
      <c r="E837">
        <f t="shared" si="98"/>
        <v>8.6960862627163803E-3</v>
      </c>
    </row>
    <row r="838" spans="1:11">
      <c r="A838">
        <v>185</v>
      </c>
      <c r="B838">
        <v>0.9</v>
      </c>
      <c r="C838">
        <f t="shared" si="96"/>
        <v>1.1882700704788398</v>
      </c>
      <c r="D838">
        <f t="shared" si="97"/>
        <v>8.3099633533875256E-2</v>
      </c>
      <c r="E838">
        <f t="shared" si="98"/>
        <v>0.10259214016527808</v>
      </c>
    </row>
    <row r="839" spans="1:11">
      <c r="D839" s="6">
        <f>SUM(D825:D838)</f>
        <v>0.29814724020522188</v>
      </c>
      <c r="E839">
        <f>SUM(E825:E838)</f>
        <v>2.0999402936566556</v>
      </c>
    </row>
    <row r="845" spans="1:11" ht="16.8">
      <c r="A845" s="1" t="s">
        <v>133</v>
      </c>
    </row>
    <row r="846" spans="1:11">
      <c r="B846" t="s">
        <v>72</v>
      </c>
    </row>
    <row r="847" spans="1:11">
      <c r="A847" t="s">
        <v>29</v>
      </c>
      <c r="B847" t="s">
        <v>43</v>
      </c>
      <c r="C847" t="s">
        <v>99</v>
      </c>
      <c r="D847" t="s">
        <v>120</v>
      </c>
      <c r="E847" t="s">
        <v>119</v>
      </c>
    </row>
    <row r="848" spans="1:11">
      <c r="A848">
        <v>0</v>
      </c>
      <c r="B848">
        <v>0</v>
      </c>
      <c r="C848">
        <f>EXP(($K$848*$K$853*A848)-($K$848*$K$849*$K$854/$K$855))</f>
        <v>1.7235105767014196E-2</v>
      </c>
      <c r="D848">
        <f>(B848-C848)^2</f>
        <v>2.9704887080016598E-4</v>
      </c>
      <c r="E848">
        <v>0</v>
      </c>
      <c r="J848" s="6" t="s">
        <v>236</v>
      </c>
      <c r="K848" s="6">
        <v>2.1838945005092701E-4</v>
      </c>
    </row>
    <row r="849" spans="1:11">
      <c r="A849">
        <v>20</v>
      </c>
      <c r="B849">
        <v>0</v>
      </c>
      <c r="C849">
        <f t="shared" ref="C849:C861" si="99">EXP(($K$848*$K$853*A849)-($K$848*$K$849*$K$854/$K$855))</f>
        <v>2.6675011726905003E-2</v>
      </c>
      <c r="D849">
        <f t="shared" ref="D849:D861" si="100">(B849-C849)^2</f>
        <v>7.115562506305195E-4</v>
      </c>
      <c r="E849">
        <v>0</v>
      </c>
      <c r="J849" s="6" t="s">
        <v>208</v>
      </c>
      <c r="K849" s="6">
        <v>2013.7666528570701</v>
      </c>
    </row>
    <row r="850" spans="1:11">
      <c r="A850">
        <v>40</v>
      </c>
      <c r="B850">
        <v>0</v>
      </c>
      <c r="C850">
        <f t="shared" si="99"/>
        <v>4.1285284827920696E-2</v>
      </c>
      <c r="D850">
        <f t="shared" si="100"/>
        <v>1.7044747433225388E-3</v>
      </c>
      <c r="E850">
        <v>0</v>
      </c>
    </row>
    <row r="851" spans="1:11">
      <c r="A851">
        <v>50</v>
      </c>
      <c r="B851">
        <v>0</v>
      </c>
      <c r="C851">
        <f t="shared" si="99"/>
        <v>5.1361845273674774E-2</v>
      </c>
      <c r="D851">
        <f t="shared" si="100"/>
        <v>2.6380391499169075E-3</v>
      </c>
      <c r="E851">
        <v>0</v>
      </c>
      <c r="G851" s="6" t="s">
        <v>134</v>
      </c>
      <c r="H851" s="6">
        <f>(100/15)*E862</f>
        <v>31.387764931585192</v>
      </c>
    </row>
    <row r="852" spans="1:11">
      <c r="A852">
        <v>60</v>
      </c>
      <c r="B852">
        <v>0</v>
      </c>
      <c r="C852">
        <f t="shared" si="99"/>
        <v>6.3897806710366628E-2</v>
      </c>
      <c r="D852">
        <f t="shared" si="100"/>
        <v>4.0829297023953744E-3</v>
      </c>
      <c r="E852">
        <v>0</v>
      </c>
    </row>
    <row r="853" spans="1:11">
      <c r="A853">
        <v>70</v>
      </c>
      <c r="B853">
        <v>0</v>
      </c>
      <c r="C853">
        <f t="shared" si="99"/>
        <v>7.9493438770356167E-2</v>
      </c>
      <c r="D853">
        <f t="shared" si="100"/>
        <v>6.319206807536365E-3</v>
      </c>
      <c r="E853">
        <v>0</v>
      </c>
      <c r="J853" t="s">
        <v>12</v>
      </c>
      <c r="K853">
        <v>100</v>
      </c>
    </row>
    <row r="854" spans="1:11">
      <c r="A854">
        <v>80</v>
      </c>
      <c r="B854">
        <v>0.01</v>
      </c>
      <c r="C854">
        <f t="shared" si="99"/>
        <v>9.889551978176353E-2</v>
      </c>
      <c r="D854">
        <f t="shared" si="100"/>
        <v>7.9024134372699117E-3</v>
      </c>
      <c r="E854">
        <f>(B854-C$238)^2/B854</f>
        <v>2.8018958391784365</v>
      </c>
      <c r="J854" t="s">
        <v>209</v>
      </c>
      <c r="K854">
        <v>4</v>
      </c>
    </row>
    <row r="855" spans="1:11">
      <c r="A855">
        <v>100</v>
      </c>
      <c r="B855">
        <v>0.09</v>
      </c>
      <c r="C855">
        <f t="shared" si="99"/>
        <v>0.15306196466550151</v>
      </c>
      <c r="D855">
        <f t="shared" si="100"/>
        <v>3.9768113874729611E-3</v>
      </c>
      <c r="E855">
        <f t="shared" ref="E855:E861" si="101">(B855-C$238)^2/B855</f>
        <v>8.4853058128055686E-2</v>
      </c>
      <c r="J855" t="s">
        <v>210</v>
      </c>
      <c r="K855">
        <v>0.43319999999999997</v>
      </c>
    </row>
    <row r="856" spans="1:11">
      <c r="A856">
        <v>115</v>
      </c>
      <c r="B856">
        <v>0.21</v>
      </c>
      <c r="C856">
        <f t="shared" si="99"/>
        <v>0.21239059575753128</v>
      </c>
      <c r="D856">
        <f t="shared" si="100"/>
        <v>5.7149480759265695E-6</v>
      </c>
      <c r="E856">
        <f t="shared" si="101"/>
        <v>5.0642880530284663E-3</v>
      </c>
      <c r="J856" t="s">
        <v>106</v>
      </c>
      <c r="K856">
        <v>17</v>
      </c>
    </row>
    <row r="857" spans="1:11">
      <c r="A857">
        <v>130</v>
      </c>
      <c r="B857">
        <v>0.36</v>
      </c>
      <c r="C857">
        <f t="shared" si="99"/>
        <v>0.29471570722890578</v>
      </c>
      <c r="D857">
        <f t="shared" si="100"/>
        <v>4.2620388826219435E-3</v>
      </c>
      <c r="E857">
        <f t="shared" si="101"/>
        <v>9.2630297404582451E-2</v>
      </c>
      <c r="J857" t="s">
        <v>107</v>
      </c>
      <c r="K857">
        <v>2</v>
      </c>
    </row>
    <row r="858" spans="1:11">
      <c r="A858">
        <v>140</v>
      </c>
      <c r="B858">
        <v>0.46</v>
      </c>
      <c r="C858">
        <f t="shared" si="99"/>
        <v>0.36664740518335115</v>
      </c>
      <c r="D858">
        <f t="shared" si="100"/>
        <v>8.7147069590014174E-3</v>
      </c>
      <c r="E858">
        <f t="shared" si="101"/>
        <v>0.17362864807679457</v>
      </c>
    </row>
    <row r="859" spans="1:11">
      <c r="A859">
        <v>165</v>
      </c>
      <c r="B859">
        <v>0.72</v>
      </c>
      <c r="C859">
        <f t="shared" si="99"/>
        <v>0.63293913390191892</v>
      </c>
      <c r="D859">
        <f t="shared" si="100"/>
        <v>7.5795944057479997E-3</v>
      </c>
      <c r="E859">
        <f t="shared" si="101"/>
        <v>0.40892650395067021</v>
      </c>
    </row>
    <row r="860" spans="1:11">
      <c r="A860">
        <v>180</v>
      </c>
      <c r="B860">
        <v>0.88</v>
      </c>
      <c r="C860">
        <f t="shared" si="99"/>
        <v>0.87827384171806266</v>
      </c>
      <c r="D860">
        <f t="shared" si="100"/>
        <v>2.9796224143008695E-6</v>
      </c>
      <c r="E860">
        <f t="shared" si="101"/>
        <v>0.56098035968632254</v>
      </c>
    </row>
    <row r="861" spans="1:11">
      <c r="A861">
        <v>185</v>
      </c>
      <c r="B861">
        <v>0.9</v>
      </c>
      <c r="C861">
        <f t="shared" si="99"/>
        <v>0.97960865732335511</v>
      </c>
      <c r="D861">
        <f t="shared" si="100"/>
        <v>6.3375383208273788E-3</v>
      </c>
      <c r="E861">
        <f t="shared" si="101"/>
        <v>0.58018574525988786</v>
      </c>
    </row>
    <row r="862" spans="1:11">
      <c r="D862" s="6">
        <f>SUM(D848:D861)</f>
        <v>5.4535053488033711E-2</v>
      </c>
      <c r="E862">
        <f>SUM(E848:E861)</f>
        <v>4.7081647397377786</v>
      </c>
    </row>
    <row r="866" spans="1:5" ht="15.6">
      <c r="A866" s="4" t="s">
        <v>244</v>
      </c>
      <c r="B866" s="4"/>
      <c r="C866" s="4"/>
      <c r="D866" s="4"/>
      <c r="E866" s="4"/>
    </row>
    <row r="867" spans="1:5" ht="15.6">
      <c r="A867" s="4" t="s">
        <v>245</v>
      </c>
      <c r="B867" s="4"/>
      <c r="C867" s="4"/>
      <c r="D867" s="4"/>
      <c r="E867" s="4"/>
    </row>
    <row r="868" spans="1:5" ht="15.6">
      <c r="A868" s="4" t="s">
        <v>195</v>
      </c>
      <c r="B868" s="4" t="s">
        <v>246</v>
      </c>
      <c r="C868" s="4" t="s">
        <v>155</v>
      </c>
      <c r="D868" s="4" t="s">
        <v>156</v>
      </c>
    </row>
    <row r="869" spans="1:5" ht="15.6">
      <c r="A869" s="4" t="s">
        <v>100</v>
      </c>
      <c r="B869" s="4">
        <v>1.11E-4</v>
      </c>
      <c r="C869" s="4">
        <v>701.11969999999997</v>
      </c>
      <c r="D869" s="4">
        <v>0.2661</v>
      </c>
    </row>
    <row r="870" spans="1:5" ht="15.6">
      <c r="A870" s="4" t="s">
        <v>157</v>
      </c>
      <c r="B870" s="4">
        <v>1.83E-4</v>
      </c>
      <c r="C870" s="4">
        <v>692.68389999999999</v>
      </c>
      <c r="D870" s="4">
        <v>9.2288999999999994</v>
      </c>
    </row>
    <row r="871" spans="1:5" ht="15.6">
      <c r="A871" s="4" t="s">
        <v>121</v>
      </c>
      <c r="B871" s="4">
        <v>2.8400000000000002E-4</v>
      </c>
      <c r="C871" s="4">
        <v>694.745</v>
      </c>
      <c r="D871" s="4">
        <v>52.736989999999999</v>
      </c>
    </row>
    <row r="872" spans="1:5" ht="15.6">
      <c r="A872" s="4" t="s">
        <v>129</v>
      </c>
      <c r="B872" s="4">
        <v>1.1E-4</v>
      </c>
      <c r="C872" s="4">
        <v>692.86400000000003</v>
      </c>
      <c r="D872" s="4">
        <v>13.183999999999999</v>
      </c>
    </row>
    <row r="873" spans="1:5" ht="15.6">
      <c r="A873" s="4" t="s">
        <v>132</v>
      </c>
      <c r="B873" s="4">
        <v>1.1E-4</v>
      </c>
      <c r="C873" s="4">
        <v>721.80510000000004</v>
      </c>
      <c r="D873" s="5">
        <v>1.7514000000000001</v>
      </c>
    </row>
    <row r="874" spans="1:5" ht="15.6">
      <c r="A874" s="4"/>
      <c r="B874" s="4"/>
      <c r="C874" s="4"/>
      <c r="D874" s="4"/>
    </row>
    <row r="875" spans="1:5" ht="15.6">
      <c r="A875" s="4"/>
      <c r="B875" s="4"/>
      <c r="C875" s="4"/>
      <c r="D875" s="4"/>
    </row>
    <row r="876" spans="1:5" ht="15.6">
      <c r="A876" s="4"/>
      <c r="B876" s="4"/>
      <c r="C876" s="4"/>
      <c r="D876" s="4"/>
    </row>
    <row r="877" spans="1:5" ht="15.6">
      <c r="A877" s="4" t="s">
        <v>247</v>
      </c>
      <c r="B877" s="4"/>
      <c r="C877" s="4"/>
      <c r="D877" s="4"/>
      <c r="E877" s="4"/>
    </row>
    <row r="878" spans="1:5" ht="15.6">
      <c r="A878" s="4" t="s">
        <v>195</v>
      </c>
      <c r="B878" s="4" t="s">
        <v>246</v>
      </c>
      <c r="C878" s="4" t="s">
        <v>155</v>
      </c>
      <c r="D878" s="4" t="s">
        <v>156</v>
      </c>
    </row>
    <row r="879" spans="1:5" ht="15.6">
      <c r="A879" s="4" t="s">
        <v>100</v>
      </c>
      <c r="B879" s="4">
        <v>1.01E-4</v>
      </c>
      <c r="C879" s="4">
        <v>1054.9090000000001</v>
      </c>
      <c r="D879" s="4">
        <v>0.23480000000000001</v>
      </c>
    </row>
    <row r="880" spans="1:5" ht="15.6">
      <c r="A880" s="4" t="s">
        <v>157</v>
      </c>
      <c r="B880" s="4">
        <v>1.6100000000000001E-4</v>
      </c>
      <c r="C880" s="4">
        <v>1042.018</v>
      </c>
      <c r="D880" s="4">
        <v>1.0075000000000001</v>
      </c>
    </row>
    <row r="881" spans="1:5" ht="15.6">
      <c r="A881" s="4" t="s">
        <v>121</v>
      </c>
      <c r="B881" s="4">
        <v>2.43E-4</v>
      </c>
      <c r="C881" s="4">
        <v>1042.0250000000001</v>
      </c>
      <c r="D881" s="4">
        <v>46.733710000000002</v>
      </c>
    </row>
    <row r="882" spans="1:5" ht="15.6">
      <c r="A882" s="4" t="s">
        <v>129</v>
      </c>
      <c r="B882" s="4">
        <v>1.6100000000000001E-4</v>
      </c>
      <c r="C882" s="4">
        <v>1042.018</v>
      </c>
      <c r="D882" s="4">
        <v>3.0074999999999998</v>
      </c>
    </row>
    <row r="883" spans="1:5" ht="15.6">
      <c r="A883" s="4" t="s">
        <v>132</v>
      </c>
      <c r="B883" s="4">
        <v>1.12E-4</v>
      </c>
      <c r="C883" s="4">
        <v>1026.93</v>
      </c>
      <c r="D883" s="5">
        <v>1.8427020000000001</v>
      </c>
    </row>
    <row r="884" spans="1:5" ht="15.6">
      <c r="A884" s="4"/>
      <c r="B884" s="4"/>
      <c r="C884" s="4"/>
      <c r="D884" s="4"/>
    </row>
    <row r="885" spans="1:5" ht="15.6">
      <c r="A885" s="4"/>
      <c r="B885" s="4"/>
      <c r="C885" s="4"/>
      <c r="D885" s="4"/>
    </row>
    <row r="886" spans="1:5" ht="15.6">
      <c r="A886" s="4"/>
      <c r="B886" s="4"/>
      <c r="C886" s="4"/>
      <c r="D886" s="4"/>
    </row>
    <row r="887" spans="1:5" ht="15.6">
      <c r="A887" s="4" t="s">
        <v>248</v>
      </c>
      <c r="B887" s="4"/>
      <c r="C887" s="4"/>
      <c r="D887" s="4"/>
      <c r="E887" s="4"/>
    </row>
    <row r="888" spans="1:5" ht="15.6">
      <c r="A888" s="4" t="s">
        <v>195</v>
      </c>
      <c r="B888" s="4" t="s">
        <v>246</v>
      </c>
      <c r="C888" s="4" t="s">
        <v>155</v>
      </c>
      <c r="D888" s="4" t="s">
        <v>156</v>
      </c>
    </row>
    <row r="889" spans="1:5" ht="15.6">
      <c r="A889" s="4" t="s">
        <v>100</v>
      </c>
      <c r="B889" s="4">
        <v>1.36E-4</v>
      </c>
      <c r="C889" s="4">
        <v>913.29349999999999</v>
      </c>
      <c r="D889" s="4">
        <v>7.7799999999999994E-2</v>
      </c>
    </row>
    <row r="890" spans="1:5" ht="15.6">
      <c r="A890" s="4" t="s">
        <v>157</v>
      </c>
      <c r="B890" s="4">
        <v>1.84E-4</v>
      </c>
      <c r="C890" s="4">
        <v>903.61559999999997</v>
      </c>
      <c r="D890" s="4">
        <v>1.7493000000000001</v>
      </c>
    </row>
    <row r="891" spans="1:5" ht="15.6">
      <c r="A891" s="4" t="s">
        <v>121</v>
      </c>
      <c r="B891" s="4">
        <v>2.4600000000000002E-4</v>
      </c>
      <c r="C891" s="4">
        <v>894.69970000000001</v>
      </c>
      <c r="D891" s="4">
        <v>28.970369999999999</v>
      </c>
    </row>
    <row r="892" spans="1:5" ht="15.6">
      <c r="A892" s="4" t="s">
        <v>129</v>
      </c>
      <c r="B892" s="4">
        <v>1.84E-4</v>
      </c>
      <c r="C892" s="4">
        <v>903.61559999999997</v>
      </c>
      <c r="D892" s="14">
        <v>70837</v>
      </c>
    </row>
    <row r="893" spans="1:5" ht="15.6">
      <c r="A893" s="4" t="s">
        <v>132</v>
      </c>
      <c r="B893" s="4">
        <v>1.3799999999999999E-4</v>
      </c>
      <c r="C893" s="4">
        <v>914.3895</v>
      </c>
      <c r="D893" s="5">
        <v>0.96730000000000005</v>
      </c>
    </row>
    <row r="894" spans="1:5" ht="15.6">
      <c r="A894" s="4"/>
      <c r="B894" s="4"/>
      <c r="C894" s="4"/>
      <c r="D894" s="4"/>
    </row>
    <row r="895" spans="1:5" ht="15.6">
      <c r="A895" s="4"/>
      <c r="B895" s="4"/>
      <c r="C895" s="4"/>
      <c r="D895" s="4"/>
    </row>
    <row r="896" spans="1:5" ht="15.6">
      <c r="A896" s="4"/>
      <c r="B896" s="4"/>
      <c r="C896" s="4"/>
      <c r="D896" s="4"/>
    </row>
    <row r="897" spans="1:8" ht="15.6">
      <c r="A897" s="4" t="s">
        <v>249</v>
      </c>
      <c r="B897" s="4"/>
      <c r="C897" s="4"/>
      <c r="D897" s="4"/>
      <c r="E897" s="4"/>
    </row>
    <row r="898" spans="1:8" ht="15.6">
      <c r="A898" s="4" t="s">
        <v>195</v>
      </c>
      <c r="B898" s="4" t="s">
        <v>246</v>
      </c>
      <c r="C898" s="4" t="s">
        <v>155</v>
      </c>
      <c r="D898" s="4" t="s">
        <v>156</v>
      </c>
    </row>
    <row r="899" spans="1:8" ht="15.6">
      <c r="A899" s="4" t="s">
        <v>100</v>
      </c>
      <c r="B899" s="4" t="s">
        <v>250</v>
      </c>
      <c r="C899" s="4">
        <v>2406.3200000000002</v>
      </c>
      <c r="D899" s="4">
        <v>0.154803</v>
      </c>
    </row>
    <row r="900" spans="1:8" ht="15.6">
      <c r="A900" s="4" t="s">
        <v>157</v>
      </c>
      <c r="B900" s="4" t="s">
        <v>250</v>
      </c>
      <c r="C900" s="4">
        <v>2406.3200000000002</v>
      </c>
      <c r="D900" s="4">
        <v>34.151800000000001</v>
      </c>
    </row>
    <row r="901" spans="1:8" ht="15.6">
      <c r="A901" s="4" t="s">
        <v>121</v>
      </c>
      <c r="B901" s="4" t="s">
        <v>250</v>
      </c>
      <c r="C901" s="4">
        <v>2406.3200000000002</v>
      </c>
      <c r="D901" s="4">
        <v>170.44130000000001</v>
      </c>
    </row>
    <row r="902" spans="1:8" ht="15.6">
      <c r="A902" s="4" t="s">
        <v>129</v>
      </c>
      <c r="B902" s="4" t="s">
        <v>250</v>
      </c>
      <c r="C902" s="4">
        <v>2406.3200000000002</v>
      </c>
      <c r="D902" s="4">
        <v>7.0407999999999999</v>
      </c>
    </row>
    <row r="903" spans="1:8" ht="15.6">
      <c r="A903" s="4" t="s">
        <v>132</v>
      </c>
      <c r="B903" s="4">
        <v>1.01E-4</v>
      </c>
      <c r="C903" s="4">
        <v>2399.0349999999999</v>
      </c>
      <c r="D903" s="5">
        <v>1.4460379999999999</v>
      </c>
    </row>
    <row r="904" spans="1:8" ht="15.6">
      <c r="A904" s="4"/>
      <c r="B904" s="4"/>
      <c r="C904" s="4"/>
      <c r="D904" s="4"/>
    </row>
    <row r="905" spans="1:8" ht="15.6">
      <c r="A905" s="4"/>
      <c r="B905" s="4"/>
      <c r="C905" s="4"/>
      <c r="D905" s="4"/>
    </row>
    <row r="906" spans="1:8" ht="15.6">
      <c r="A906" s="4"/>
      <c r="B906" s="4"/>
      <c r="C906" s="4"/>
      <c r="D906" s="4"/>
    </row>
    <row r="907" spans="1:8" ht="15.6">
      <c r="A907" s="4"/>
      <c r="B907" s="4"/>
      <c r="C907" s="4"/>
      <c r="D907" s="4"/>
    </row>
    <row r="908" spans="1:8" ht="15.6">
      <c r="A908" s="4"/>
      <c r="B908" s="4"/>
      <c r="C908" s="4"/>
      <c r="D908" s="4"/>
    </row>
    <row r="909" spans="1:8" ht="15.6">
      <c r="A909" s="4" t="s">
        <v>251</v>
      </c>
      <c r="B909" s="4"/>
      <c r="C909" s="4"/>
      <c r="D909" s="4"/>
      <c r="E909" s="4"/>
    </row>
    <row r="910" spans="1:8" ht="15.6">
      <c r="A910" s="4" t="s">
        <v>195</v>
      </c>
      <c r="B910" s="4" t="s">
        <v>246</v>
      </c>
      <c r="C910" s="4" t="s">
        <v>155</v>
      </c>
      <c r="D910" s="4" t="s">
        <v>156</v>
      </c>
    </row>
    <row r="911" spans="1:8" ht="15.6">
      <c r="A911" s="4" t="s">
        <v>100</v>
      </c>
      <c r="B911" s="4">
        <v>1.3200000000000001E-4</v>
      </c>
      <c r="C911" s="4">
        <v>816.07669999999996</v>
      </c>
      <c r="D911" s="4">
        <v>0.3291</v>
      </c>
      <c r="H911">
        <v>1111</v>
      </c>
    </row>
    <row r="912" spans="1:8" ht="15.6">
      <c r="A912" s="4" t="s">
        <v>157</v>
      </c>
      <c r="B912" s="4">
        <v>1.3200000000000001E-4</v>
      </c>
      <c r="C912" s="4">
        <v>816.07669999999996</v>
      </c>
      <c r="D912" s="4">
        <v>92.712869999999995</v>
      </c>
    </row>
    <row r="913" spans="1:17" ht="15.6">
      <c r="A913" s="4" t="s">
        <v>121</v>
      </c>
      <c r="B913" s="4">
        <v>2.34E-4</v>
      </c>
      <c r="C913" s="4">
        <v>809.90629999999999</v>
      </c>
      <c r="D913" s="4">
        <v>47.052239999999998</v>
      </c>
    </row>
    <row r="914" spans="1:17" ht="15.6">
      <c r="A914" s="4" t="s">
        <v>129</v>
      </c>
      <c r="B914" s="4">
        <v>1.3200000000000001E-4</v>
      </c>
      <c r="C914" s="4">
        <v>816.07669999999996</v>
      </c>
      <c r="D914" s="4">
        <v>1.7008000000000001</v>
      </c>
    </row>
    <row r="915" spans="1:17" ht="15.6">
      <c r="A915" s="4" t="s">
        <v>132</v>
      </c>
      <c r="B915" s="4">
        <v>1.35E-4</v>
      </c>
      <c r="C915" s="4">
        <v>784.01499999999999</v>
      </c>
      <c r="D915" s="5">
        <v>1.5421</v>
      </c>
    </row>
    <row r="916" spans="1:17" ht="15.6">
      <c r="A916" s="4"/>
      <c r="B916" s="4"/>
      <c r="C916" s="4"/>
      <c r="D916" s="4"/>
    </row>
    <row r="917" spans="1:17" ht="15.6">
      <c r="A917" s="4"/>
      <c r="B917" s="4"/>
      <c r="C917" s="4"/>
      <c r="D917" s="4"/>
    </row>
    <row r="918" spans="1:17" ht="15.6">
      <c r="A918" s="4"/>
      <c r="B918" s="4"/>
      <c r="C918" s="4"/>
      <c r="D918" s="4"/>
    </row>
    <row r="919" spans="1:17" ht="15.6">
      <c r="A919" s="4"/>
      <c r="B919" s="4"/>
      <c r="C919" s="4"/>
      <c r="D919" s="4"/>
    </row>
    <row r="920" spans="1:17" ht="15.6">
      <c r="A920" s="4" t="s">
        <v>252</v>
      </c>
      <c r="B920" s="4"/>
      <c r="C920" s="4"/>
      <c r="D920" s="4"/>
      <c r="E920" s="4"/>
    </row>
    <row r="921" spans="1:17" ht="15.6">
      <c r="A921" s="4" t="s">
        <v>195</v>
      </c>
      <c r="B921" s="4" t="s">
        <v>246</v>
      </c>
      <c r="C921" s="4" t="s">
        <v>155</v>
      </c>
      <c r="D921" s="4" t="s">
        <v>156</v>
      </c>
      <c r="E921" s="4"/>
    </row>
    <row r="922" spans="1:17" ht="15.6">
      <c r="A922" s="4" t="s">
        <v>100</v>
      </c>
      <c r="B922" s="4">
        <v>1.37E-4</v>
      </c>
      <c r="C922" s="4">
        <v>1271.4349999999999</v>
      </c>
      <c r="D922" s="4">
        <v>0.29780000000000001</v>
      </c>
    </row>
    <row r="923" spans="1:17" ht="15.6">
      <c r="A923" s="4" t="s">
        <v>157</v>
      </c>
      <c r="B923" s="4">
        <v>2.12E-4</v>
      </c>
      <c r="C923" s="4">
        <v>1259.547</v>
      </c>
      <c r="D923" s="4">
        <v>2.5070000000000001</v>
      </c>
    </row>
    <row r="924" spans="1:17" ht="15.6">
      <c r="A924" s="4" t="s">
        <v>121</v>
      </c>
      <c r="B924" s="4">
        <v>3.1300000000000002E-4</v>
      </c>
      <c r="C924" s="4">
        <v>1263.3779999999999</v>
      </c>
      <c r="D924" s="4">
        <v>45.294980000000002</v>
      </c>
      <c r="Q924" t="s">
        <v>253</v>
      </c>
    </row>
    <row r="925" spans="1:17" ht="15.6">
      <c r="A925" s="4" t="s">
        <v>129</v>
      </c>
      <c r="B925" s="4">
        <v>2.12E-4</v>
      </c>
      <c r="C925" s="4">
        <v>1259.547</v>
      </c>
      <c r="D925" s="4">
        <v>0.78310000000000002</v>
      </c>
    </row>
    <row r="926" spans="1:17" ht="15.6">
      <c r="A926" s="4" t="s">
        <v>132</v>
      </c>
      <c r="B926" s="4">
        <v>1.5100000000000001E-4</v>
      </c>
      <c r="C926" s="4">
        <v>1226.6980000000001</v>
      </c>
      <c r="D926" s="5">
        <v>2.0142000000000002</v>
      </c>
    </row>
    <row r="927" spans="1:17" ht="15.6">
      <c r="A927" s="4" t="s">
        <v>6</v>
      </c>
      <c r="B927" s="4">
        <v>1.36932211872268E-4</v>
      </c>
      <c r="C927" s="4">
        <v>1271.43494198038</v>
      </c>
      <c r="D927" s="4">
        <v>0.88039999999999996</v>
      </c>
    </row>
    <row r="928" spans="1:17" ht="15.6">
      <c r="A928" s="4"/>
      <c r="D928" s="4"/>
    </row>
    <row r="929" spans="1:5" ht="15.6">
      <c r="A929" s="4"/>
      <c r="C929" s="4"/>
      <c r="D929" s="4"/>
    </row>
    <row r="930" spans="1:5" ht="15.6">
      <c r="A930" s="4" t="s">
        <v>254</v>
      </c>
      <c r="C930" s="4"/>
      <c r="D930" s="4"/>
      <c r="E930" s="4"/>
    </row>
    <row r="931" spans="1:5" ht="15.6">
      <c r="A931" s="4" t="s">
        <v>195</v>
      </c>
      <c r="B931" s="4" t="s">
        <v>246</v>
      </c>
      <c r="C931" s="4" t="s">
        <v>155</v>
      </c>
      <c r="D931" s="4" t="s">
        <v>156</v>
      </c>
      <c r="E931" s="4"/>
    </row>
    <row r="932" spans="1:5" ht="15.6">
      <c r="A932" s="4" t="s">
        <v>100</v>
      </c>
      <c r="B932" s="4">
        <v>1.2400000000000001E-4</v>
      </c>
      <c r="C932" s="4">
        <v>945.67470000000003</v>
      </c>
      <c r="D932" s="4">
        <v>0.361095</v>
      </c>
    </row>
    <row r="933" spans="1:5" ht="15.6">
      <c r="A933" s="4" t="s">
        <v>157</v>
      </c>
      <c r="B933" s="4">
        <v>2.42E-4</v>
      </c>
      <c r="C933" s="4">
        <v>958.12009999999998</v>
      </c>
      <c r="D933" s="4">
        <v>19.329730000000001</v>
      </c>
    </row>
    <row r="934" spans="1:5" ht="15.6">
      <c r="A934" s="4" t="s">
        <v>121</v>
      </c>
      <c r="B934" s="4">
        <v>3.79E-4</v>
      </c>
      <c r="C934" s="4">
        <v>986.77980000000002</v>
      </c>
      <c r="D934" s="4">
        <v>70.033749999999998</v>
      </c>
    </row>
    <row r="935" spans="1:5" ht="15.6">
      <c r="A935" s="4" t="s">
        <v>129</v>
      </c>
      <c r="B935" s="4">
        <v>2.42E-4</v>
      </c>
      <c r="C935" s="4">
        <v>958.12009999999998</v>
      </c>
      <c r="D935" s="4">
        <v>3.9003000000000001</v>
      </c>
    </row>
    <row r="936" spans="1:5" ht="15.6">
      <c r="A936" s="4" t="s">
        <v>132</v>
      </c>
      <c r="B936" s="4">
        <v>1.2400000000000001E-4</v>
      </c>
      <c r="C936" s="4">
        <v>945.67470000000003</v>
      </c>
      <c r="D936" s="5">
        <v>1.786427</v>
      </c>
    </row>
    <row r="937" spans="1:5" ht="15.6">
      <c r="A937" s="4"/>
      <c r="B937" s="4">
        <v>1.2361006424066101E-4</v>
      </c>
      <c r="C937" s="4">
        <v>945.67471504894797</v>
      </c>
      <c r="D937" s="4">
        <v>0.74939999999999996</v>
      </c>
    </row>
    <row r="938" spans="1:5" ht="15.6">
      <c r="A938" s="4"/>
      <c r="D938" s="4"/>
    </row>
    <row r="939" spans="1:5" ht="15.6">
      <c r="A939" s="4" t="s">
        <v>255</v>
      </c>
      <c r="B939" s="4"/>
      <c r="C939" s="4"/>
      <c r="D939" s="4"/>
      <c r="E939" s="4"/>
    </row>
    <row r="940" spans="1:5" ht="15.6">
      <c r="A940" s="4" t="s">
        <v>195</v>
      </c>
      <c r="B940" s="4" t="s">
        <v>246</v>
      </c>
      <c r="C940" s="4" t="s">
        <v>155</v>
      </c>
      <c r="D940" s="4" t="s">
        <v>156</v>
      </c>
      <c r="E940" s="4"/>
    </row>
    <row r="941" spans="1:5" ht="15.6">
      <c r="A941" s="4" t="s">
        <v>100</v>
      </c>
      <c r="B941" s="4">
        <v>2.0000000000000001E-4</v>
      </c>
      <c r="C941" s="4">
        <v>1055.54</v>
      </c>
      <c r="D941" s="4">
        <v>0.19120000000000001</v>
      </c>
    </row>
    <row r="942" spans="1:5" ht="15.6">
      <c r="A942" s="4" t="s">
        <v>157</v>
      </c>
      <c r="B942" s="4">
        <v>2.9999999999999997E-4</v>
      </c>
      <c r="C942" s="4">
        <v>1040.8599999999999</v>
      </c>
      <c r="D942" s="4">
        <v>7.5076000000000001</v>
      </c>
    </row>
    <row r="943" spans="1:5" ht="15.6">
      <c r="A943" s="4" t="s">
        <v>121</v>
      </c>
      <c r="B943" s="4">
        <v>4.0000000000000002E-4</v>
      </c>
      <c r="C943" s="4">
        <v>1040.6099999999999</v>
      </c>
      <c r="D943" s="4">
        <v>52.146599999999999</v>
      </c>
    </row>
    <row r="944" spans="1:5" ht="15.6">
      <c r="A944" s="4" t="s">
        <v>129</v>
      </c>
      <c r="B944" s="4">
        <v>2.0000000000000001E-4</v>
      </c>
      <c r="C944" s="4">
        <v>1040.8599999999999</v>
      </c>
      <c r="D944" s="4">
        <v>0.96409999999999996</v>
      </c>
    </row>
    <row r="945" spans="1:14" ht="15.6">
      <c r="A945" s="4" t="s">
        <v>132</v>
      </c>
      <c r="B945" s="4">
        <v>2.0000000000000001E-4</v>
      </c>
      <c r="C945" s="4">
        <v>1047.24</v>
      </c>
      <c r="D945" s="4">
        <v>1.4684999999999999</v>
      </c>
    </row>
    <row r="946" spans="1:14" ht="15.6">
      <c r="A946" s="4" t="s">
        <v>6</v>
      </c>
      <c r="B946" s="4">
        <v>2.0000000000000001E-4</v>
      </c>
      <c r="C946" s="4">
        <v>1055.54211334754</v>
      </c>
      <c r="D946" s="4">
        <v>0.90659999999999996</v>
      </c>
    </row>
    <row r="947" spans="1:14" ht="15.6">
      <c r="A947" s="4"/>
      <c r="D947" s="4"/>
    </row>
    <row r="948" spans="1:14" ht="15.6">
      <c r="A948" s="4"/>
      <c r="B948" s="4"/>
      <c r="C948" s="4"/>
      <c r="D948" s="4"/>
    </row>
    <row r="949" spans="1:14" ht="15.6">
      <c r="A949" s="4"/>
      <c r="B949" s="4"/>
      <c r="C949" s="4"/>
      <c r="D949" s="4"/>
    </row>
    <row r="950" spans="1:14" ht="15.6">
      <c r="A950" s="4"/>
      <c r="B950" s="4"/>
      <c r="C950" s="4"/>
      <c r="D950" s="4"/>
    </row>
    <row r="951" spans="1:14" ht="15.6">
      <c r="A951" s="4"/>
      <c r="B951" s="4"/>
      <c r="C951" s="4"/>
      <c r="D951" s="4"/>
    </row>
    <row r="952" spans="1:14" ht="15.6">
      <c r="A952" s="4"/>
      <c r="B952" s="4"/>
      <c r="C952" s="4"/>
      <c r="D952" s="4"/>
    </row>
    <row r="953" spans="1:14" ht="15.6">
      <c r="A953" s="4" t="s">
        <v>256</v>
      </c>
      <c r="B953" s="4"/>
      <c r="C953" s="4"/>
      <c r="D953" s="4"/>
      <c r="E953" s="4"/>
      <c r="N953" t="s">
        <v>257</v>
      </c>
    </row>
    <row r="954" spans="1:14" ht="15.6">
      <c r="A954" s="4" t="s">
        <v>195</v>
      </c>
      <c r="B954" s="4" t="s">
        <v>246</v>
      </c>
      <c r="C954" s="4" t="s">
        <v>155</v>
      </c>
      <c r="D954" s="4" t="s">
        <v>156</v>
      </c>
      <c r="E954" s="4"/>
    </row>
    <row r="955" spans="1:14" ht="15.6">
      <c r="A955" s="4" t="s">
        <v>100</v>
      </c>
      <c r="B955" s="4">
        <v>2.1800000000000001E-4</v>
      </c>
      <c r="C955" s="4">
        <v>2013.7670000000001</v>
      </c>
      <c r="D955" s="4">
        <v>5.4535E-2</v>
      </c>
    </row>
    <row r="956" spans="1:14" ht="15.6">
      <c r="A956" s="4" t="s">
        <v>157</v>
      </c>
      <c r="B956" s="4">
        <v>2.1800000000000001E-4</v>
      </c>
      <c r="C956" s="4">
        <v>2013.7670000000001</v>
      </c>
      <c r="D956" s="4">
        <v>31.38776</v>
      </c>
    </row>
    <row r="957" spans="1:14" ht="15.6">
      <c r="A957" s="4" t="s">
        <v>121</v>
      </c>
      <c r="B957" s="4">
        <v>4.2200000000000001E-4</v>
      </c>
      <c r="C957" s="4">
        <v>1959.317</v>
      </c>
      <c r="D957" s="4">
        <v>37.416040000000002</v>
      </c>
    </row>
    <row r="958" spans="1:14" ht="15.6">
      <c r="A958" s="4" t="s">
        <v>129</v>
      </c>
      <c r="B958" s="4">
        <v>2.1800000000000001E-4</v>
      </c>
      <c r="C958" s="4">
        <v>2013.7670000000001</v>
      </c>
      <c r="D958" s="4">
        <v>3.0516000000000001</v>
      </c>
    </row>
    <row r="959" spans="1:14" ht="15.6">
      <c r="A959" s="4" t="s">
        <v>132</v>
      </c>
      <c r="B959" s="4">
        <v>2.1800000000000001E-4</v>
      </c>
      <c r="C959" s="4">
        <v>2012.7829999999999</v>
      </c>
      <c r="D959" s="5">
        <v>0.760355</v>
      </c>
    </row>
    <row r="960" spans="1:14" ht="15.6">
      <c r="B960" s="15">
        <v>2.1838945005092701E-4</v>
      </c>
      <c r="C960" s="15">
        <v>2013.7666528570701</v>
      </c>
      <c r="D960" s="4">
        <v>0.96499999999999997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1"/>
  <sheetViews>
    <sheetView topLeftCell="A39" workbookViewId="0">
      <selection activeCell="L39" sqref="L39"/>
    </sheetView>
  </sheetViews>
  <sheetFormatPr defaultColWidth="9" defaultRowHeight="14.4"/>
  <sheetData>
    <row r="3" spans="1:11">
      <c r="A3" t="s">
        <v>258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100</v>
      </c>
      <c r="E5" t="s">
        <v>101</v>
      </c>
    </row>
    <row r="6" spans="1:11" ht="15.6">
      <c r="A6">
        <v>0</v>
      </c>
      <c r="B6">
        <v>0</v>
      </c>
      <c r="C6">
        <f>1-(1/(1+(($K$15*$K$14*A6)/($K$7*$K$13))^($K$6)))</f>
        <v>0</v>
      </c>
      <c r="D6">
        <f>(B6-C6)^2</f>
        <v>0</v>
      </c>
      <c r="E6">
        <f>(B6-C$20)^2</f>
        <v>0.15428946801576204</v>
      </c>
      <c r="J6" t="s">
        <v>21</v>
      </c>
      <c r="K6" s="4">
        <v>3.4077957335003202</v>
      </c>
    </row>
    <row r="7" spans="1:11" ht="15.6">
      <c r="A7">
        <v>10</v>
      </c>
      <c r="B7">
        <v>0</v>
      </c>
      <c r="C7">
        <f t="shared" ref="C7:C19" si="0">1-(1/(1+(($K$15*$K$14*A7)/($K$7*$K$13))^($K$6)))</f>
        <v>3.8148203066334929E-4</v>
      </c>
      <c r="D7">
        <f t="shared" ref="D7:D19" si="1">(B7-C7)^2</f>
        <v>1.4552853971903256E-7</v>
      </c>
      <c r="E7">
        <f t="shared" ref="E7:E19" si="2">(B7-C$20)^2</f>
        <v>0.15428946801576204</v>
      </c>
      <c r="J7" t="s">
        <v>103</v>
      </c>
      <c r="K7" s="4">
        <v>20143.275178577998</v>
      </c>
    </row>
    <row r="8" spans="1:11" ht="15.6">
      <c r="A8">
        <v>15</v>
      </c>
      <c r="B8">
        <v>0</v>
      </c>
      <c r="C8">
        <f t="shared" si="0"/>
        <v>1.5172718172515864E-3</v>
      </c>
      <c r="D8">
        <f t="shared" si="1"/>
        <v>2.3021137674259314E-6</v>
      </c>
      <c r="E8">
        <f t="shared" si="2"/>
        <v>0.15428946801576204</v>
      </c>
      <c r="K8" s="4"/>
    </row>
    <row r="9" spans="1:11" ht="15.6">
      <c r="A9">
        <v>20</v>
      </c>
      <c r="B9">
        <v>0</v>
      </c>
      <c r="C9">
        <f t="shared" si="0"/>
        <v>4.0339736043760732E-3</v>
      </c>
      <c r="D9">
        <f t="shared" si="1"/>
        <v>1.6272943040802887E-5</v>
      </c>
      <c r="E9">
        <f t="shared" si="2"/>
        <v>0.15428946801576204</v>
      </c>
      <c r="K9" s="4"/>
    </row>
    <row r="10" spans="1:11" ht="15.6">
      <c r="A10">
        <v>25</v>
      </c>
      <c r="B10">
        <v>0</v>
      </c>
      <c r="C10">
        <f t="shared" si="0"/>
        <v>8.5899644676808995E-3</v>
      </c>
      <c r="D10">
        <f t="shared" si="1"/>
        <v>7.37874895560204E-5</v>
      </c>
      <c r="E10">
        <f t="shared" si="2"/>
        <v>0.15428946801576204</v>
      </c>
      <c r="J10" s="6" t="s">
        <v>104</v>
      </c>
      <c r="K10" s="7">
        <f>1-(D20/E20)</f>
        <v>0.99889625671803151</v>
      </c>
    </row>
    <row r="11" spans="1:11" ht="15.6">
      <c r="A11">
        <v>40</v>
      </c>
      <c r="B11">
        <v>0.01</v>
      </c>
      <c r="C11">
        <f t="shared" si="0"/>
        <v>4.1215290208116095E-2</v>
      </c>
      <c r="D11">
        <f t="shared" si="1"/>
        <v>9.7439434277690848E-4</v>
      </c>
      <c r="E11">
        <f t="shared" si="2"/>
        <v>0.14653352840255823</v>
      </c>
      <c r="K11" s="4"/>
    </row>
    <row r="12" spans="1:11" ht="15.6">
      <c r="A12">
        <v>70</v>
      </c>
      <c r="B12">
        <v>0.24</v>
      </c>
      <c r="C12">
        <f t="shared" si="0"/>
        <v>0.22447063488464714</v>
      </c>
      <c r="D12">
        <f t="shared" si="1"/>
        <v>2.4116118088593822E-4</v>
      </c>
      <c r="E12">
        <f t="shared" si="2"/>
        <v>2.3346917298870624E-2</v>
      </c>
      <c r="K12" s="4"/>
    </row>
    <row r="13" spans="1:11" ht="15.6">
      <c r="A13">
        <v>92</v>
      </c>
      <c r="B13">
        <v>0.43</v>
      </c>
      <c r="C13">
        <f t="shared" si="0"/>
        <v>0.42348748381784995</v>
      </c>
      <c r="D13">
        <f t="shared" si="1"/>
        <v>4.2412867022766143E-5</v>
      </c>
      <c r="E13">
        <f t="shared" si="2"/>
        <v>1.384064647998241E-3</v>
      </c>
      <c r="J13" s="8" t="s">
        <v>105</v>
      </c>
      <c r="K13" s="9">
        <v>4</v>
      </c>
    </row>
    <row r="14" spans="1:11" ht="15.6">
      <c r="A14">
        <v>110</v>
      </c>
      <c r="B14">
        <v>0.56000000000000005</v>
      </c>
      <c r="C14">
        <f t="shared" si="0"/>
        <v>0.57455790311309507</v>
      </c>
      <c r="D14">
        <f t="shared" si="1"/>
        <v>2.1193254305026157E-4</v>
      </c>
      <c r="E14">
        <f t="shared" si="2"/>
        <v>2.7956849676348736E-2</v>
      </c>
      <c r="J14" s="8" t="s">
        <v>8</v>
      </c>
      <c r="K14" s="9">
        <v>8</v>
      </c>
    </row>
    <row r="15" spans="1:11" ht="15.6">
      <c r="A15">
        <v>130</v>
      </c>
      <c r="B15">
        <v>0.7</v>
      </c>
      <c r="C15">
        <f t="shared" si="0"/>
        <v>0.70469538646567398</v>
      </c>
      <c r="D15">
        <f t="shared" si="1"/>
        <v>2.2046654062034793E-5</v>
      </c>
      <c r="E15">
        <f t="shared" si="2"/>
        <v>9.437369509149536E-2</v>
      </c>
      <c r="J15" s="8" t="s">
        <v>12</v>
      </c>
      <c r="K15" s="9">
        <v>100</v>
      </c>
    </row>
    <row r="16" spans="1:11" ht="15.6">
      <c r="A16">
        <v>160</v>
      </c>
      <c r="B16">
        <v>0.85</v>
      </c>
      <c r="C16">
        <f t="shared" si="0"/>
        <v>0.8288289941349356</v>
      </c>
      <c r="D16">
        <f t="shared" si="1"/>
        <v>4.4821148933859011E-4</v>
      </c>
      <c r="E16">
        <f t="shared" si="2"/>
        <v>0.20903460089343823</v>
      </c>
      <c r="J16" s="8" t="s">
        <v>210</v>
      </c>
      <c r="K16" s="9">
        <v>0.28870000000000001</v>
      </c>
    </row>
    <row r="17" spans="1:11" ht="15.6">
      <c r="A17">
        <v>180</v>
      </c>
      <c r="B17">
        <v>0.88</v>
      </c>
      <c r="C17">
        <f t="shared" si="0"/>
        <v>0.87854585184140355</v>
      </c>
      <c r="D17">
        <f t="shared" si="1"/>
        <v>2.1145468671494688E-6</v>
      </c>
      <c r="E17">
        <f t="shared" si="2"/>
        <v>0.23736678205382683</v>
      </c>
      <c r="J17" s="8" t="s">
        <v>106</v>
      </c>
      <c r="K17" s="9">
        <v>14</v>
      </c>
    </row>
    <row r="18" spans="1:11" ht="15.6">
      <c r="A18">
        <v>190</v>
      </c>
      <c r="B18">
        <v>0.89</v>
      </c>
      <c r="C18">
        <f t="shared" si="0"/>
        <v>0.8968756179373264</v>
      </c>
      <c r="D18">
        <f t="shared" si="1"/>
        <v>4.7274122020084312E-5</v>
      </c>
      <c r="E18">
        <f t="shared" si="2"/>
        <v>0.24721084244062302</v>
      </c>
      <c r="K18" s="4"/>
    </row>
    <row r="19" spans="1:11" ht="15.6">
      <c r="A19">
        <v>200</v>
      </c>
      <c r="B19">
        <v>0.9</v>
      </c>
      <c r="C19">
        <f t="shared" si="0"/>
        <v>0.91195787491964753</v>
      </c>
      <c r="D19">
        <f t="shared" si="1"/>
        <v>1.429907725939348E-4</v>
      </c>
      <c r="E19">
        <f t="shared" si="2"/>
        <v>0.25725490282741925</v>
      </c>
      <c r="K19" s="4"/>
    </row>
    <row r="20" spans="1:11" ht="15.6">
      <c r="C20">
        <f>AVERAGE(C6:C19)</f>
        <v>0.39279698066019048</v>
      </c>
      <c r="D20">
        <f>SUM(D6:D19)</f>
        <v>2.2250465935216364E-3</v>
      </c>
      <c r="E20">
        <f>SUM(E6:E19)</f>
        <v>2.0159095234113886</v>
      </c>
      <c r="K20" s="4"/>
    </row>
    <row r="21" spans="1:11" ht="15.6">
      <c r="K21" s="4"/>
    </row>
    <row r="22" spans="1:11" ht="15.6">
      <c r="K22" s="4"/>
    </row>
    <row r="23" spans="1:11" ht="15.6">
      <c r="K23" s="4"/>
    </row>
    <row r="24" spans="1:11" ht="15.6">
      <c r="K24" s="4"/>
    </row>
    <row r="25" spans="1:11" ht="15.6">
      <c r="K25" s="4"/>
    </row>
    <row r="26" spans="1:11" ht="15.6">
      <c r="B26" t="s">
        <v>130</v>
      </c>
      <c r="K26" s="4"/>
    </row>
    <row r="27" spans="1:11" ht="15.6">
      <c r="A27" t="s">
        <v>29</v>
      </c>
      <c r="B27" t="s">
        <v>43</v>
      </c>
      <c r="C27" t="s">
        <v>99</v>
      </c>
      <c r="D27" t="s">
        <v>100</v>
      </c>
      <c r="E27" t="s">
        <v>101</v>
      </c>
      <c r="K27" s="4"/>
    </row>
    <row r="28" spans="1:11" ht="15.6">
      <c r="A28">
        <v>0</v>
      </c>
      <c r="B28">
        <v>0</v>
      </c>
      <c r="C28">
        <f>1-(1/(1+(($K$38*$K$37*A28)/($K$30*$K$36))^($K$29)))</f>
        <v>0</v>
      </c>
      <c r="D28">
        <f>(B28-C28)^2</f>
        <v>0</v>
      </c>
      <c r="E28">
        <f>(B28-C$46)^2</f>
        <v>0.10012657827057095</v>
      </c>
      <c r="K28" s="4"/>
    </row>
    <row r="29" spans="1:11" ht="15.6">
      <c r="A29">
        <v>20</v>
      </c>
      <c r="B29">
        <v>0</v>
      </c>
      <c r="C29">
        <f t="shared" ref="C29:C45" si="3">1-(1/(1+(($K$38*$K$37*A29)/($K$30*$K$36))^($K$29)))</f>
        <v>1.3861160761408087E-6</v>
      </c>
      <c r="D29">
        <f t="shared" ref="D29:D45" si="4">(B29-C29)^2</f>
        <v>1.9213177765359921E-12</v>
      </c>
      <c r="E29">
        <f t="shared" ref="E29:E45" si="5">(B29-C$46)^2</f>
        <v>0.10012657827057095</v>
      </c>
      <c r="J29" t="s">
        <v>21</v>
      </c>
      <c r="K29" s="4">
        <v>5.8835702285599503</v>
      </c>
    </row>
    <row r="30" spans="1:11" ht="15.6">
      <c r="A30">
        <v>30</v>
      </c>
      <c r="B30">
        <v>0</v>
      </c>
      <c r="C30">
        <f t="shared" si="3"/>
        <v>1.5060484763296245E-5</v>
      </c>
      <c r="D30">
        <f t="shared" si="4"/>
        <v>2.2681820130547833E-10</v>
      </c>
      <c r="E30">
        <f t="shared" si="5"/>
        <v>0.10012657827057095</v>
      </c>
      <c r="J30" t="s">
        <v>103</v>
      </c>
      <c r="K30" s="4">
        <v>19802.403916456198</v>
      </c>
    </row>
    <row r="31" spans="1:11" ht="15.6">
      <c r="A31">
        <v>40</v>
      </c>
      <c r="B31">
        <v>0</v>
      </c>
      <c r="C31">
        <f t="shared" si="3"/>
        <v>8.182684087421066E-5</v>
      </c>
      <c r="D31">
        <f t="shared" si="4"/>
        <v>6.6956318874533925E-9</v>
      </c>
      <c r="E31">
        <f t="shared" si="5"/>
        <v>0.10012657827057095</v>
      </c>
      <c r="K31" s="4"/>
    </row>
    <row r="32" spans="1:11" ht="15.6">
      <c r="A32">
        <v>50</v>
      </c>
      <c r="B32">
        <v>0</v>
      </c>
      <c r="C32">
        <f t="shared" si="3"/>
        <v>3.0407177794977702E-4</v>
      </c>
      <c r="D32">
        <f t="shared" si="4"/>
        <v>9.2459646145538506E-8</v>
      </c>
      <c r="E32">
        <f t="shared" si="5"/>
        <v>0.10012657827057095</v>
      </c>
      <c r="K32" s="4"/>
    </row>
    <row r="33" spans="1:11" ht="15.6">
      <c r="A33">
        <v>60</v>
      </c>
      <c r="B33">
        <v>0</v>
      </c>
      <c r="C33">
        <f t="shared" si="3"/>
        <v>8.8836334236652714E-4</v>
      </c>
      <c r="D33">
        <f t="shared" si="4"/>
        <v>7.8918942806062753E-7</v>
      </c>
      <c r="E33">
        <f t="shared" si="5"/>
        <v>0.10012657827057095</v>
      </c>
      <c r="J33" s="6" t="s">
        <v>104</v>
      </c>
      <c r="K33" s="7">
        <f>1-(D46/E46)</f>
        <v>0.99842276485137071</v>
      </c>
    </row>
    <row r="34" spans="1:11" ht="15.6">
      <c r="A34">
        <v>70</v>
      </c>
      <c r="B34">
        <v>0</v>
      </c>
      <c r="C34">
        <f t="shared" si="3"/>
        <v>2.1973912237218673E-3</v>
      </c>
      <c r="D34">
        <f t="shared" si="4"/>
        <v>4.8285281900898859E-6</v>
      </c>
      <c r="E34">
        <f t="shared" si="5"/>
        <v>0.10012657827057095</v>
      </c>
      <c r="K34" s="4"/>
    </row>
    <row r="35" spans="1:11" ht="15.6">
      <c r="A35">
        <v>80</v>
      </c>
      <c r="B35">
        <v>0</v>
      </c>
      <c r="C35">
        <f t="shared" si="3"/>
        <v>4.8080535514924971E-3</v>
      </c>
      <c r="D35">
        <f t="shared" si="4"/>
        <v>2.3117378954019615E-5</v>
      </c>
      <c r="E35">
        <f t="shared" si="5"/>
        <v>0.10012657827057095</v>
      </c>
      <c r="K35" s="4"/>
    </row>
    <row r="36" spans="1:11" ht="15.6">
      <c r="A36">
        <v>115</v>
      </c>
      <c r="B36">
        <v>0.01</v>
      </c>
      <c r="C36">
        <f t="shared" si="3"/>
        <v>3.9261293621998261E-2</v>
      </c>
      <c r="D36">
        <f t="shared" si="4"/>
        <v>8.5622330443279595E-4</v>
      </c>
      <c r="E36">
        <f t="shared" si="5"/>
        <v>9.3898021459715209E-2</v>
      </c>
      <c r="J36" s="8" t="s">
        <v>105</v>
      </c>
      <c r="K36" s="9">
        <v>8</v>
      </c>
    </row>
    <row r="37" spans="1:11" ht="15.6">
      <c r="A37">
        <v>140</v>
      </c>
      <c r="B37">
        <v>0.08</v>
      </c>
      <c r="C37">
        <f t="shared" si="3"/>
        <v>0.11505609110177351</v>
      </c>
      <c r="D37">
        <f t="shared" si="4"/>
        <v>1.2289295233358435E-3</v>
      </c>
      <c r="E37">
        <f t="shared" si="5"/>
        <v>5.5898123783725141E-2</v>
      </c>
      <c r="J37" s="8" t="s">
        <v>8</v>
      </c>
      <c r="K37" s="9">
        <v>8</v>
      </c>
    </row>
    <row r="38" spans="1:11" ht="15.6">
      <c r="A38">
        <v>170</v>
      </c>
      <c r="B38">
        <v>0.3</v>
      </c>
      <c r="C38">
        <f t="shared" si="3"/>
        <v>0.28950816424921122</v>
      </c>
      <c r="D38">
        <f t="shared" si="4"/>
        <v>1.1007861742152933E-4</v>
      </c>
      <c r="E38">
        <f t="shared" si="5"/>
        <v>2.6987394489921102E-4</v>
      </c>
      <c r="J38" s="8" t="s">
        <v>12</v>
      </c>
      <c r="K38" s="9">
        <v>100</v>
      </c>
    </row>
    <row r="39" spans="1:11" ht="15.6">
      <c r="A39">
        <v>195</v>
      </c>
      <c r="B39">
        <v>0.49</v>
      </c>
      <c r="C39">
        <f t="shared" si="3"/>
        <v>0.4773800693995639</v>
      </c>
      <c r="D39">
        <f t="shared" si="4"/>
        <v>1.5926264835982323E-4</v>
      </c>
      <c r="E39">
        <f t="shared" si="5"/>
        <v>3.0127294538640444E-2</v>
      </c>
      <c r="J39" s="8" t="s">
        <v>210</v>
      </c>
      <c r="K39" s="9">
        <v>0.28870000000000001</v>
      </c>
    </row>
    <row r="40" spans="1:11" ht="15.6">
      <c r="A40">
        <v>210</v>
      </c>
      <c r="B40">
        <v>0.6</v>
      </c>
      <c r="C40">
        <f t="shared" si="3"/>
        <v>0.58552056180390233</v>
      </c>
      <c r="D40">
        <f t="shared" si="4"/>
        <v>2.0965413047461154E-4</v>
      </c>
      <c r="E40">
        <f t="shared" si="5"/>
        <v>8.0413169619227468E-2</v>
      </c>
      <c r="J40" s="8" t="s">
        <v>106</v>
      </c>
      <c r="K40" s="9">
        <v>18</v>
      </c>
    </row>
    <row r="41" spans="1:11" ht="15.6">
      <c r="A41">
        <v>230</v>
      </c>
      <c r="B41">
        <v>0.71</v>
      </c>
      <c r="C41">
        <f t="shared" si="3"/>
        <v>0.70697073341768335</v>
      </c>
      <c r="D41">
        <f t="shared" si="4"/>
        <v>9.1764560267401803E-6</v>
      </c>
      <c r="E41">
        <f t="shared" si="5"/>
        <v>0.15489904469981447</v>
      </c>
      <c r="K41" s="4"/>
    </row>
    <row r="42" spans="1:11" ht="15.6">
      <c r="A42">
        <v>250</v>
      </c>
      <c r="B42">
        <v>0.8</v>
      </c>
      <c r="C42">
        <f t="shared" si="3"/>
        <v>0.7975898375798407</v>
      </c>
      <c r="D42">
        <f t="shared" si="4"/>
        <v>5.8088828915483525E-6</v>
      </c>
      <c r="E42">
        <f t="shared" si="5"/>
        <v>0.23384203340211304</v>
      </c>
      <c r="K42" s="4"/>
    </row>
    <row r="43" spans="1:11" ht="15.6">
      <c r="A43">
        <v>270</v>
      </c>
      <c r="B43">
        <v>0.85</v>
      </c>
      <c r="C43">
        <f t="shared" si="3"/>
        <v>0.86105784879543035</v>
      </c>
      <c r="D43">
        <f t="shared" si="4"/>
        <v>1.2227601998260088E-4</v>
      </c>
      <c r="E43">
        <f t="shared" si="5"/>
        <v>0.28469924934783442</v>
      </c>
      <c r="K43" s="4"/>
    </row>
    <row r="44" spans="1:11" ht="15.6">
      <c r="A44">
        <v>285</v>
      </c>
      <c r="B44">
        <v>0.87</v>
      </c>
      <c r="C44">
        <f t="shared" si="3"/>
        <v>0.89493880158238548</v>
      </c>
      <c r="D44">
        <f t="shared" si="4"/>
        <v>6.2194382436559273E-4</v>
      </c>
      <c r="E44">
        <f t="shared" si="5"/>
        <v>0.306442135726123</v>
      </c>
      <c r="K44" s="4"/>
    </row>
    <row r="45" spans="1:11" ht="15.6">
      <c r="A45">
        <v>300</v>
      </c>
      <c r="B45">
        <v>0.9</v>
      </c>
      <c r="C45">
        <f t="shared" si="3"/>
        <v>0.92012157488111868</v>
      </c>
      <c r="D45">
        <f t="shared" si="4"/>
        <v>4.0487777569646517E-4</v>
      </c>
      <c r="E45">
        <f t="shared" si="5"/>
        <v>0.34055646529355582</v>
      </c>
      <c r="K45" s="4"/>
    </row>
    <row r="46" spans="1:11" ht="15.6">
      <c r="C46">
        <f>AVERAGE(C28:C45)</f>
        <v>0.31642784054278622</v>
      </c>
      <c r="D46">
        <f>SUM(D28:D45)</f>
        <v>3.7570656635772734E-3</v>
      </c>
      <c r="E46">
        <f>SUM(E28:E45)</f>
        <v>2.3820580379802156</v>
      </c>
      <c r="K46" s="4"/>
    </row>
    <row r="47" spans="1:11" ht="15.6">
      <c r="K47" s="4"/>
    </row>
    <row r="48" spans="1:11" ht="15.6">
      <c r="K48" s="4"/>
    </row>
    <row r="49" spans="1:11" ht="15.6">
      <c r="K49" s="4"/>
    </row>
    <row r="50" spans="1:11" ht="15.6">
      <c r="K50" s="4"/>
    </row>
    <row r="51" spans="1:11" ht="15.6">
      <c r="K51" s="4"/>
    </row>
    <row r="52" spans="1:11" ht="15.6">
      <c r="K52" s="4"/>
    </row>
    <row r="53" spans="1:11" ht="15.6">
      <c r="K53" s="4"/>
    </row>
    <row r="54" spans="1:11" ht="15.6">
      <c r="B54" t="s">
        <v>171</v>
      </c>
      <c r="K54" s="4"/>
    </row>
    <row r="55" spans="1:11" ht="15.6">
      <c r="A55" t="s">
        <v>29</v>
      </c>
      <c r="B55" t="s">
        <v>43</v>
      </c>
      <c r="C55" t="s">
        <v>99</v>
      </c>
      <c r="D55" t="s">
        <v>100</v>
      </c>
      <c r="E55" t="s">
        <v>101</v>
      </c>
      <c r="K55" s="4"/>
    </row>
    <row r="56" spans="1:11" ht="15.6">
      <c r="A56">
        <v>0</v>
      </c>
      <c r="B56">
        <v>0</v>
      </c>
      <c r="C56">
        <f>1-(1/(1+(($K$66*$K$65*A56)/($K$58*$K$64))^($K$57)))</f>
        <v>0</v>
      </c>
      <c r="D56">
        <f>(B56-C56)^2</f>
        <v>0</v>
      </c>
      <c r="E56">
        <f>(B56-C$78)^2</f>
        <v>8.5179840773149662E-2</v>
      </c>
      <c r="K56" s="4"/>
    </row>
    <row r="57" spans="1:11" ht="15.6">
      <c r="A57">
        <v>20</v>
      </c>
      <c r="B57">
        <v>0</v>
      </c>
      <c r="C57">
        <f t="shared" ref="C57:C77" si="6">1-(1/(1+(($K$66*$K$65*A57)/($K$58*$K$64))^($K$57)))</f>
        <v>8.2156503822261584E-15</v>
      </c>
      <c r="D57">
        <f t="shared" ref="D57:D77" si="7">(B57-C57)^2</f>
        <v>6.7496911202972823E-29</v>
      </c>
      <c r="E57">
        <f t="shared" ref="E57:E77" si="8">(B57-C$78)^2</f>
        <v>8.5179840773149662E-2</v>
      </c>
      <c r="J57" t="s">
        <v>21</v>
      </c>
      <c r="K57" s="4">
        <v>11.761802019361401</v>
      </c>
    </row>
    <row r="58" spans="1:11" ht="15.6">
      <c r="A58">
        <v>30</v>
      </c>
      <c r="B58">
        <v>0</v>
      </c>
      <c r="C58">
        <f t="shared" si="6"/>
        <v>9.6345154076971085E-13</v>
      </c>
      <c r="D58">
        <f t="shared" si="7"/>
        <v>9.282388714115298E-25</v>
      </c>
      <c r="E58">
        <f t="shared" si="8"/>
        <v>8.5179840773149662E-2</v>
      </c>
      <c r="J58" t="s">
        <v>103</v>
      </c>
      <c r="K58" s="4">
        <v>21020.969219362301</v>
      </c>
    </row>
    <row r="59" spans="1:11" ht="15.6">
      <c r="A59">
        <v>40</v>
      </c>
      <c r="B59">
        <v>0</v>
      </c>
      <c r="C59">
        <f t="shared" si="6"/>
        <v>2.8403945862010005E-11</v>
      </c>
      <c r="D59">
        <f t="shared" si="7"/>
        <v>8.0678414053199528E-22</v>
      </c>
      <c r="E59">
        <f t="shared" si="8"/>
        <v>8.5179840773149662E-2</v>
      </c>
      <c r="K59" s="4"/>
    </row>
    <row r="60" spans="1:11" ht="15.6">
      <c r="A60">
        <v>50</v>
      </c>
      <c r="B60">
        <v>0</v>
      </c>
      <c r="C60">
        <f t="shared" si="6"/>
        <v>3.9193737144671559E-10</v>
      </c>
      <c r="D60">
        <f t="shared" si="7"/>
        <v>1.5361490313656071E-19</v>
      </c>
      <c r="E60">
        <f t="shared" si="8"/>
        <v>8.5179840773149662E-2</v>
      </c>
      <c r="K60" s="4"/>
    </row>
    <row r="61" spans="1:11" ht="15.6">
      <c r="A61">
        <v>60</v>
      </c>
      <c r="B61">
        <v>0</v>
      </c>
      <c r="C61">
        <f t="shared" si="6"/>
        <v>3.3460374471161458E-9</v>
      </c>
      <c r="D61">
        <f t="shared" si="7"/>
        <v>1.1195966597503534E-17</v>
      </c>
      <c r="E61">
        <f t="shared" si="8"/>
        <v>8.5179840773149662E-2</v>
      </c>
      <c r="J61" s="6" t="s">
        <v>104</v>
      </c>
      <c r="K61" s="7">
        <f>1-(D78/E78)</f>
        <v>0.99985758245748602</v>
      </c>
    </row>
    <row r="62" spans="1:11" ht="15.6">
      <c r="A62">
        <v>80</v>
      </c>
      <c r="B62">
        <v>0</v>
      </c>
      <c r="C62">
        <f t="shared" si="6"/>
        <v>9.8635996925722225E-8</v>
      </c>
      <c r="D62">
        <f t="shared" si="7"/>
        <v>9.7290598895310841E-15</v>
      </c>
      <c r="E62">
        <f t="shared" si="8"/>
        <v>8.5179840773149662E-2</v>
      </c>
      <c r="K62" s="4"/>
    </row>
    <row r="63" spans="1:11" ht="15.6">
      <c r="A63">
        <v>100</v>
      </c>
      <c r="B63">
        <v>0</v>
      </c>
      <c r="C63">
        <f t="shared" si="6"/>
        <v>1.3610412171738417E-6</v>
      </c>
      <c r="D63">
        <f t="shared" si="7"/>
        <v>1.8524331948460527E-12</v>
      </c>
      <c r="E63">
        <f t="shared" si="8"/>
        <v>8.5179840773149662E-2</v>
      </c>
      <c r="K63" s="4"/>
    </row>
    <row r="64" spans="1:11" ht="15.6">
      <c r="A64">
        <v>140</v>
      </c>
      <c r="B64">
        <v>0</v>
      </c>
      <c r="C64">
        <f t="shared" si="6"/>
        <v>7.1214751687254108E-5</v>
      </c>
      <c r="D64">
        <f t="shared" si="7"/>
        <v>5.0715408578772616E-9</v>
      </c>
      <c r="E64">
        <f t="shared" si="8"/>
        <v>8.5179840773149662E-2</v>
      </c>
      <c r="J64" s="8" t="s">
        <v>105</v>
      </c>
      <c r="K64" s="9">
        <v>12</v>
      </c>
    </row>
    <row r="65" spans="1:11" ht="15.6">
      <c r="A65">
        <v>180</v>
      </c>
      <c r="B65">
        <v>0</v>
      </c>
      <c r="C65">
        <f t="shared" si="6"/>
        <v>1.3669180658928415E-3</v>
      </c>
      <c r="D65">
        <f t="shared" si="7"/>
        <v>1.8684649988642265E-6</v>
      </c>
      <c r="E65">
        <f t="shared" si="8"/>
        <v>8.5179840773149662E-2</v>
      </c>
      <c r="J65" s="8" t="s">
        <v>8</v>
      </c>
      <c r="K65" s="9">
        <v>8</v>
      </c>
    </row>
    <row r="66" spans="1:11" ht="15.6">
      <c r="A66">
        <v>230</v>
      </c>
      <c r="B66">
        <v>0.02</v>
      </c>
      <c r="C66">
        <f t="shared" si="6"/>
        <v>2.3875274544656766E-2</v>
      </c>
      <c r="D66">
        <f t="shared" si="7"/>
        <v>1.5017752796464702E-5</v>
      </c>
      <c r="E66">
        <f t="shared" si="8"/>
        <v>7.3905606526868686E-2</v>
      </c>
      <c r="J66" s="8" t="s">
        <v>12</v>
      </c>
      <c r="K66" s="9">
        <v>100</v>
      </c>
    </row>
    <row r="67" spans="1:11" ht="15.6">
      <c r="A67">
        <v>255</v>
      </c>
      <c r="B67">
        <v>0.08</v>
      </c>
      <c r="C67">
        <f t="shared" si="6"/>
        <v>7.60607171523352E-2</v>
      </c>
      <c r="D67">
        <f t="shared" si="7"/>
        <v>1.551794935390611E-5</v>
      </c>
      <c r="E67">
        <f t="shared" si="8"/>
        <v>4.4882903788025764E-2</v>
      </c>
      <c r="J67" s="8" t="s">
        <v>210</v>
      </c>
      <c r="K67" s="9">
        <v>0.28870000000000001</v>
      </c>
    </row>
    <row r="68" spans="1:11" ht="15.6">
      <c r="A68">
        <v>280</v>
      </c>
      <c r="B68">
        <v>0.21</v>
      </c>
      <c r="C68">
        <f t="shared" si="6"/>
        <v>0.1982799678088939</v>
      </c>
      <c r="D68">
        <f t="shared" si="7"/>
        <v>1.3735915456056312E-4</v>
      </c>
      <c r="E68">
        <f t="shared" si="8"/>
        <v>6.7003811871994556E-3</v>
      </c>
      <c r="J68" s="8" t="s">
        <v>106</v>
      </c>
      <c r="K68" s="9">
        <v>23</v>
      </c>
    </row>
    <row r="69" spans="1:11" ht="15.6">
      <c r="A69">
        <v>293</v>
      </c>
      <c r="B69">
        <v>0.3</v>
      </c>
      <c r="C69">
        <f t="shared" si="6"/>
        <v>0.29665169469976238</v>
      </c>
      <c r="D69">
        <f t="shared" si="7"/>
        <v>1.1211148383599261E-5</v>
      </c>
      <c r="E69">
        <f t="shared" si="8"/>
        <v>6.6327078935078706E-5</v>
      </c>
      <c r="K69" s="4"/>
    </row>
    <row r="70" spans="1:11" ht="15.6">
      <c r="A70">
        <v>300</v>
      </c>
      <c r="B70">
        <v>0.35</v>
      </c>
      <c r="C70">
        <f t="shared" si="6"/>
        <v>0.35764529455639271</v>
      </c>
      <c r="D70">
        <f t="shared" si="7"/>
        <v>5.8450528854008374E-5</v>
      </c>
      <c r="E70">
        <f t="shared" si="8"/>
        <v>3.3807414632326454E-3</v>
      </c>
      <c r="K70" s="4"/>
    </row>
    <row r="71" spans="1:11" ht="15.6">
      <c r="A71">
        <v>315</v>
      </c>
      <c r="B71">
        <v>0.49</v>
      </c>
      <c r="C71">
        <f t="shared" si="6"/>
        <v>0.49706535808680108</v>
      </c>
      <c r="D71">
        <f t="shared" si="7"/>
        <v>4.9919284894725528E-5</v>
      </c>
      <c r="E71">
        <f t="shared" si="8"/>
        <v>3.9261101739265836E-2</v>
      </c>
      <c r="K71" s="4"/>
    </row>
    <row r="72" spans="1:11" ht="15.6">
      <c r="A72">
        <v>337</v>
      </c>
      <c r="B72">
        <v>0.68</v>
      </c>
      <c r="C72">
        <f t="shared" si="6"/>
        <v>0.68617646198321025</v>
      </c>
      <c r="D72">
        <f t="shared" si="7"/>
        <v>3.8148682630040901E-5</v>
      </c>
      <c r="E72">
        <f t="shared" si="8"/>
        <v>0.15065587639959666</v>
      </c>
      <c r="K72" s="4"/>
    </row>
    <row r="73" spans="1:11" ht="15.6">
      <c r="A73">
        <v>354</v>
      </c>
      <c r="B73">
        <v>0.8</v>
      </c>
      <c r="C73">
        <f t="shared" si="6"/>
        <v>0.79594639356110652</v>
      </c>
      <c r="D73">
        <f t="shared" si="7"/>
        <v>1.6431725161439003E-5</v>
      </c>
      <c r="E73">
        <f t="shared" si="8"/>
        <v>0.25821047092191074</v>
      </c>
      <c r="K73" s="4"/>
    </row>
    <row r="74" spans="1:11" ht="15.6">
      <c r="A74">
        <v>362</v>
      </c>
      <c r="B74">
        <v>0.84</v>
      </c>
      <c r="C74">
        <f t="shared" si="6"/>
        <v>0.83534516069747577</v>
      </c>
      <c r="D74">
        <f t="shared" si="7"/>
        <v>2.1667528932323926E-5</v>
      </c>
      <c r="E74">
        <f t="shared" si="8"/>
        <v>0.30046200242934884</v>
      </c>
      <c r="K74" s="4"/>
    </row>
    <row r="75" spans="1:11" ht="15.6">
      <c r="A75">
        <v>370</v>
      </c>
      <c r="B75">
        <v>0.87</v>
      </c>
      <c r="C75">
        <f t="shared" si="6"/>
        <v>0.86773655264320504</v>
      </c>
      <c r="D75">
        <f t="shared" si="7"/>
        <v>5.1231939369820749E-6</v>
      </c>
      <c r="E75">
        <f t="shared" si="8"/>
        <v>0.33425065105992741</v>
      </c>
      <c r="K75" s="4"/>
    </row>
    <row r="76" spans="1:11" ht="15.6">
      <c r="A76">
        <v>375</v>
      </c>
      <c r="B76">
        <v>0.89</v>
      </c>
      <c r="C76">
        <f t="shared" si="6"/>
        <v>0.88482847956326216</v>
      </c>
      <c r="D76">
        <f t="shared" si="7"/>
        <v>2.6744623627597276E-5</v>
      </c>
      <c r="E76">
        <f t="shared" si="8"/>
        <v>0.35777641681364647</v>
      </c>
      <c r="K76" s="4"/>
    </row>
    <row r="77" spans="1:11" ht="15.6">
      <c r="A77">
        <v>380</v>
      </c>
      <c r="B77">
        <v>0.9</v>
      </c>
      <c r="C77">
        <f t="shared" si="6"/>
        <v>0.89977788389528857</v>
      </c>
      <c r="D77">
        <f t="shared" si="7"/>
        <v>4.9335563972190551E-8</v>
      </c>
      <c r="E77">
        <f t="shared" si="8"/>
        <v>0.369839299690506</v>
      </c>
      <c r="K77" s="4"/>
    </row>
    <row r="78" spans="1:11" ht="15.6">
      <c r="C78">
        <f>AVERAGE(C56:C77)</f>
        <v>0.29185585615702431</v>
      </c>
      <c r="D78">
        <f>SUM(D56:D77)</f>
        <v>3.975144470975182E-4</v>
      </c>
      <c r="E78">
        <f>SUM(E56:E77)</f>
        <v>2.7911901868299602</v>
      </c>
      <c r="K78" s="4"/>
    </row>
    <row r="79" spans="1:11" ht="15.6">
      <c r="K79" s="4"/>
    </row>
    <row r="80" spans="1:11" ht="15.6">
      <c r="K80" s="4"/>
    </row>
    <row r="81" spans="1:11" ht="15.6">
      <c r="K81" s="4"/>
    </row>
    <row r="82" spans="1:11" ht="15.6">
      <c r="K82" s="4"/>
    </row>
    <row r="83" spans="1:11" ht="15.6">
      <c r="K83" s="4"/>
    </row>
    <row r="84" spans="1:11" ht="15.6">
      <c r="A84" t="s">
        <v>259</v>
      </c>
      <c r="K84" s="4"/>
    </row>
    <row r="85" spans="1:11" ht="15.6">
      <c r="K85" s="4"/>
    </row>
    <row r="86" spans="1:11" ht="15.6">
      <c r="B86" t="s">
        <v>53</v>
      </c>
      <c r="K86" s="4"/>
    </row>
    <row r="87" spans="1:11" ht="15.6">
      <c r="A87" t="s">
        <v>29</v>
      </c>
      <c r="B87" t="s">
        <v>43</v>
      </c>
      <c r="C87" t="s">
        <v>99</v>
      </c>
      <c r="D87" t="s">
        <v>100</v>
      </c>
      <c r="E87" t="s">
        <v>101</v>
      </c>
      <c r="K87" s="4"/>
    </row>
    <row r="88" spans="1:11" ht="15.6">
      <c r="A88">
        <v>0</v>
      </c>
      <c r="B88">
        <v>0</v>
      </c>
      <c r="C88">
        <f>1-(1/(1+(($K$98*$K$97*A88)/($K$90*$K$96))^($K$89)))</f>
        <v>0</v>
      </c>
      <c r="D88">
        <f>(B88-C88)^2</f>
        <v>0</v>
      </c>
      <c r="E88">
        <f>(B88-C$106)^2</f>
        <v>0.16499849962179081</v>
      </c>
      <c r="K88" s="4"/>
    </row>
    <row r="89" spans="1:11" ht="15.6">
      <c r="A89">
        <v>20</v>
      </c>
      <c r="B89">
        <v>0</v>
      </c>
      <c r="C89">
        <f t="shared" ref="C89:C105" si="9">1-(1/(1+(($K$98*$K$97*A89)/($K$90*$K$96))^($K$89)))</f>
        <v>3.2887665035730151E-8</v>
      </c>
      <c r="D89">
        <f t="shared" ref="D89:D105" si="10">(B89-C89)^2</f>
        <v>1.0815985115023875E-15</v>
      </c>
      <c r="E89">
        <f t="shared" ref="E89:E105" si="11">(B89-C$106)^2</f>
        <v>0.16499849962179081</v>
      </c>
      <c r="J89" t="s">
        <v>21</v>
      </c>
      <c r="K89" s="4">
        <v>6.9259379404720596</v>
      </c>
    </row>
    <row r="90" spans="1:11" ht="15.6">
      <c r="A90">
        <v>30</v>
      </c>
      <c r="B90">
        <v>0</v>
      </c>
      <c r="C90">
        <f t="shared" si="9"/>
        <v>5.4529303472605761E-7</v>
      </c>
      <c r="D90">
        <f t="shared" si="10"/>
        <v>2.9734449372075347E-13</v>
      </c>
      <c r="E90">
        <f t="shared" si="11"/>
        <v>0.16499849962179081</v>
      </c>
      <c r="J90" t="s">
        <v>103</v>
      </c>
      <c r="K90" s="4">
        <v>24068.9144823194</v>
      </c>
    </row>
    <row r="91" spans="1:11" ht="15.6">
      <c r="A91">
        <v>40</v>
      </c>
      <c r="B91">
        <v>0</v>
      </c>
      <c r="C91">
        <f t="shared" si="9"/>
        <v>3.9989537972129341E-6</v>
      </c>
      <c r="D91">
        <f t="shared" si="10"/>
        <v>1.5991631472243744E-11</v>
      </c>
      <c r="E91">
        <f t="shared" si="11"/>
        <v>0.16499849962179081</v>
      </c>
      <c r="K91" s="4"/>
    </row>
    <row r="92" spans="1:11" ht="15.6">
      <c r="A92">
        <v>50</v>
      </c>
      <c r="B92">
        <v>0</v>
      </c>
      <c r="C92">
        <f t="shared" si="9"/>
        <v>1.8755675642356806E-5</v>
      </c>
      <c r="D92">
        <f t="shared" si="10"/>
        <v>3.5177536880129639E-10</v>
      </c>
      <c r="E92">
        <f t="shared" si="11"/>
        <v>0.16499849962179081</v>
      </c>
      <c r="K92" s="4"/>
    </row>
    <row r="93" spans="1:11" ht="15.6">
      <c r="A93">
        <v>60</v>
      </c>
      <c r="B93">
        <v>0</v>
      </c>
      <c r="C93">
        <f t="shared" si="9"/>
        <v>6.630044760047582E-5</v>
      </c>
      <c r="D93">
        <f t="shared" si="10"/>
        <v>4.3957493520234397E-9</v>
      </c>
      <c r="E93">
        <f t="shared" si="11"/>
        <v>0.16499849962179081</v>
      </c>
      <c r="J93" s="6" t="s">
        <v>104</v>
      </c>
      <c r="K93" s="7">
        <f>1-(D106/E106)</f>
        <v>0.99966152547698528</v>
      </c>
    </row>
    <row r="94" spans="1:11" ht="15.6">
      <c r="A94">
        <v>90</v>
      </c>
      <c r="B94">
        <v>0</v>
      </c>
      <c r="C94">
        <f t="shared" si="9"/>
        <v>1.0981589385600232E-3</v>
      </c>
      <c r="D94">
        <f t="shared" si="10"/>
        <v>1.2059530543392769E-6</v>
      </c>
      <c r="E94">
        <f t="shared" si="11"/>
        <v>0.16499849962179081</v>
      </c>
      <c r="K94" s="4"/>
    </row>
    <row r="95" spans="1:11" ht="15.6">
      <c r="A95">
        <v>150</v>
      </c>
      <c r="B95">
        <v>0.02</v>
      </c>
      <c r="C95">
        <f t="shared" si="9"/>
        <v>3.6436237005007976E-2</v>
      </c>
      <c r="D95">
        <f t="shared" si="10"/>
        <v>2.7014988688479354E-4</v>
      </c>
      <c r="E95">
        <f t="shared" si="11"/>
        <v>0.14915049668620312</v>
      </c>
      <c r="K95" s="4"/>
    </row>
    <row r="96" spans="1:11" ht="15.6">
      <c r="A96">
        <v>210</v>
      </c>
      <c r="B96">
        <v>0.28999999999999998</v>
      </c>
      <c r="C96">
        <f t="shared" si="9"/>
        <v>0.27995415356537723</v>
      </c>
      <c r="D96">
        <f t="shared" si="10"/>
        <v>1.0091903058802265E-4</v>
      </c>
      <c r="E96">
        <f t="shared" si="11"/>
        <v>1.3502457055769707E-2</v>
      </c>
      <c r="J96" s="8" t="s">
        <v>105</v>
      </c>
      <c r="K96" s="9">
        <v>4</v>
      </c>
    </row>
    <row r="97" spans="1:12" ht="15.6">
      <c r="A97">
        <v>235</v>
      </c>
      <c r="B97">
        <v>0.45</v>
      </c>
      <c r="C97">
        <f t="shared" si="9"/>
        <v>0.458676102262352</v>
      </c>
      <c r="D97">
        <f t="shared" si="10"/>
        <v>7.5274750466789364E-5</v>
      </c>
      <c r="E97">
        <f t="shared" si="11"/>
        <v>1.9184335710684072E-3</v>
      </c>
      <c r="J97" s="8" t="s">
        <v>8</v>
      </c>
      <c r="K97" s="9">
        <v>4</v>
      </c>
    </row>
    <row r="98" spans="1:12" ht="15.6">
      <c r="A98">
        <v>260</v>
      </c>
      <c r="B98">
        <v>0.63</v>
      </c>
      <c r="C98">
        <f t="shared" si="9"/>
        <v>0.63053483208358296</v>
      </c>
      <c r="D98">
        <f t="shared" si="10"/>
        <v>2.8604535762968921E-7</v>
      </c>
      <c r="E98">
        <f t="shared" si="11"/>
        <v>5.0086407150779451E-2</v>
      </c>
      <c r="J98" s="8" t="s">
        <v>12</v>
      </c>
      <c r="K98" s="9">
        <v>100</v>
      </c>
    </row>
    <row r="99" spans="1:12" ht="15.6">
      <c r="A99">
        <v>280</v>
      </c>
      <c r="B99">
        <v>0.74</v>
      </c>
      <c r="C99">
        <f t="shared" si="9"/>
        <v>0.74034820651731514</v>
      </c>
      <c r="D99">
        <f t="shared" si="10"/>
        <v>1.2124777870074775E-7</v>
      </c>
      <c r="E99">
        <f t="shared" si="11"/>
        <v>0.11142239100504731</v>
      </c>
      <c r="J99" s="8" t="s">
        <v>210</v>
      </c>
      <c r="K99" s="9">
        <v>0.14430000000000001</v>
      </c>
      <c r="L99">
        <f>K97*K99</f>
        <v>0.57720000000000005</v>
      </c>
    </row>
    <row r="100" spans="1:12" ht="15.6">
      <c r="A100">
        <v>290</v>
      </c>
      <c r="B100">
        <v>0.79</v>
      </c>
      <c r="C100">
        <f t="shared" si="9"/>
        <v>0.78428585739045431</v>
      </c>
      <c r="D100">
        <f t="shared" si="10"/>
        <v>3.2651425762226029E-5</v>
      </c>
      <c r="E100">
        <f t="shared" si="11"/>
        <v>0.14730238366607817</v>
      </c>
      <c r="J100" s="8" t="s">
        <v>106</v>
      </c>
      <c r="K100" s="9">
        <v>18</v>
      </c>
    </row>
    <row r="101" spans="1:12" ht="15.6">
      <c r="A101">
        <v>300</v>
      </c>
      <c r="B101">
        <v>0.83</v>
      </c>
      <c r="C101">
        <f t="shared" si="9"/>
        <v>0.82136448954505903</v>
      </c>
      <c r="D101">
        <f t="shared" si="10"/>
        <v>7.4572040817394132E-5</v>
      </c>
      <c r="E101">
        <f t="shared" si="11"/>
        <v>0.17960637779490279</v>
      </c>
      <c r="K101" s="4"/>
    </row>
    <row r="102" spans="1:12" ht="15.6">
      <c r="A102">
        <v>315</v>
      </c>
      <c r="B102">
        <v>0.87</v>
      </c>
      <c r="C102">
        <f t="shared" si="9"/>
        <v>0.86570869836543063</v>
      </c>
      <c r="D102">
        <f t="shared" si="10"/>
        <v>1.8415269718857718E-5</v>
      </c>
      <c r="E102">
        <f t="shared" si="11"/>
        <v>0.21511037192372751</v>
      </c>
      <c r="K102" s="4"/>
    </row>
    <row r="103" spans="1:12" ht="15.6">
      <c r="A103">
        <v>320</v>
      </c>
      <c r="B103">
        <v>0.88</v>
      </c>
      <c r="C103">
        <f t="shared" si="9"/>
        <v>0.87789110012871563</v>
      </c>
      <c r="D103">
        <f t="shared" si="10"/>
        <v>4.4474586671032553E-6</v>
      </c>
      <c r="E103">
        <f t="shared" si="11"/>
        <v>0.22448637045593367</v>
      </c>
      <c r="K103" s="4"/>
    </row>
    <row r="104" spans="1:12" ht="15.6">
      <c r="A104">
        <v>330</v>
      </c>
      <c r="B104">
        <v>0.89</v>
      </c>
      <c r="C104">
        <f t="shared" si="9"/>
        <v>0.89896089217533182</v>
      </c>
      <c r="D104">
        <f t="shared" si="10"/>
        <v>8.0297588577922722E-5</v>
      </c>
      <c r="E104">
        <f t="shared" si="11"/>
        <v>0.23406236898813984</v>
      </c>
      <c r="K104" s="4"/>
    </row>
    <row r="105" spans="1:12" ht="15.6">
      <c r="A105">
        <v>340</v>
      </c>
      <c r="B105">
        <v>0.9</v>
      </c>
      <c r="C105">
        <f t="shared" si="9"/>
        <v>0.91625295977952159</v>
      </c>
      <c r="D105">
        <f t="shared" si="10"/>
        <v>2.6415870159474586E-4</v>
      </c>
      <c r="E105">
        <f t="shared" si="11"/>
        <v>0.24383836752034604</v>
      </c>
      <c r="K105" s="4"/>
    </row>
    <row r="106" spans="1:12" ht="15.6">
      <c r="C106">
        <f>AVERAGE(C88:C105)</f>
        <v>0.40620007338969155</v>
      </c>
      <c r="D106">
        <f>SUM(D88:D105)</f>
        <v>9.2250416308330347E-4</v>
      </c>
      <c r="E106">
        <f>SUM(E88:E105)</f>
        <v>2.7254759231705314</v>
      </c>
      <c r="K106" s="4"/>
    </row>
    <row r="107" spans="1:12" ht="15.6">
      <c r="K107" s="4"/>
    </row>
    <row r="108" spans="1:12" ht="15.6">
      <c r="K108" s="4"/>
    </row>
    <row r="109" spans="1:12" ht="15.6">
      <c r="K109" s="4"/>
    </row>
    <row r="110" spans="1:12" ht="15.6">
      <c r="K110" s="4"/>
    </row>
    <row r="111" spans="1:12" ht="15.6">
      <c r="K111" s="4"/>
    </row>
    <row r="112" spans="1:12" ht="15.6">
      <c r="K112" s="4"/>
    </row>
    <row r="113" spans="1:11" ht="15.6">
      <c r="B113" t="s">
        <v>55</v>
      </c>
      <c r="K113" s="4"/>
    </row>
    <row r="114" spans="1:11" ht="15.6">
      <c r="A114" t="s">
        <v>29</v>
      </c>
      <c r="B114" t="s">
        <v>43</v>
      </c>
      <c r="C114" t="s">
        <v>99</v>
      </c>
      <c r="D114" t="s">
        <v>100</v>
      </c>
      <c r="E114" t="s">
        <v>101</v>
      </c>
      <c r="K114" s="4"/>
    </row>
    <row r="115" spans="1:11" ht="15.6">
      <c r="A115">
        <v>0</v>
      </c>
      <c r="B115">
        <v>0</v>
      </c>
      <c r="C115">
        <f>1-(1/(1+(($K$124*$K$123*A115)/($K$116*$K$122))^($K$115)))</f>
        <v>0</v>
      </c>
      <c r="D115">
        <f>(B115-C115)^2</f>
        <v>0</v>
      </c>
      <c r="E115">
        <f>(B115-C$124)^2</f>
        <v>0.25085972350568125</v>
      </c>
      <c r="J115" t="s">
        <v>21</v>
      </c>
      <c r="K115" s="4">
        <v>2.64449623884216</v>
      </c>
    </row>
    <row r="116" spans="1:11" ht="15.6">
      <c r="A116">
        <v>10</v>
      </c>
      <c r="B116">
        <v>0</v>
      </c>
      <c r="C116">
        <f t="shared" ref="C116:C123" si="12">1-(1/(1+(($K$124*$K$123*A116)/($K$116*$K$122))^($K$115)))</f>
        <v>2.302475205348864E-2</v>
      </c>
      <c r="D116">
        <f t="shared" ref="D116:D123" si="13">(B116-C116)^2</f>
        <v>5.301392071246293E-4</v>
      </c>
      <c r="E116">
        <f t="shared" ref="E116:E123" si="14">(B116-C$124)^2</f>
        <v>0.25085972350568125</v>
      </c>
      <c r="J116" t="s">
        <v>103</v>
      </c>
      <c r="K116" s="4">
        <v>12377.1796547958</v>
      </c>
    </row>
    <row r="117" spans="1:11" ht="15.6">
      <c r="A117">
        <v>20</v>
      </c>
      <c r="B117">
        <v>0.08</v>
      </c>
      <c r="C117">
        <f t="shared" si="12"/>
        <v>0.1284351248057588</v>
      </c>
      <c r="D117">
        <f t="shared" si="13"/>
        <v>2.3459613149494317E-3</v>
      </c>
      <c r="E117">
        <f t="shared" si="14"/>
        <v>0.17712228580178757</v>
      </c>
      <c r="K117" s="4"/>
    </row>
    <row r="118" spans="1:11" ht="15.6">
      <c r="A118">
        <v>30</v>
      </c>
      <c r="B118">
        <v>0.32</v>
      </c>
      <c r="C118">
        <f t="shared" si="12"/>
        <v>0.30098422858941798</v>
      </c>
      <c r="D118">
        <f t="shared" si="13"/>
        <v>3.6159956233950877E-4</v>
      </c>
      <c r="E118">
        <f t="shared" si="14"/>
        <v>3.2709972690106545E-2</v>
      </c>
      <c r="K118" s="4"/>
    </row>
    <row r="119" spans="1:11" ht="15.6">
      <c r="A119">
        <v>48</v>
      </c>
      <c r="B119">
        <v>0.62</v>
      </c>
      <c r="C119">
        <f t="shared" si="12"/>
        <v>0.59876151201793582</v>
      </c>
      <c r="D119">
        <f t="shared" si="13"/>
        <v>4.5107337176428464E-4</v>
      </c>
      <c r="E119">
        <f t="shared" si="14"/>
        <v>1.4194581300505242E-2</v>
      </c>
      <c r="J119" s="6" t="s">
        <v>104</v>
      </c>
      <c r="K119" s="7">
        <f>1-(D124/E124)</f>
        <v>0.99480182286139873</v>
      </c>
    </row>
    <row r="120" spans="1:11" ht="15.6">
      <c r="A120">
        <v>60</v>
      </c>
      <c r="B120">
        <v>0.74</v>
      </c>
      <c r="C120">
        <f t="shared" si="12"/>
        <v>0.72916883300464352</v>
      </c>
      <c r="D120">
        <f t="shared" si="13"/>
        <v>1.1731417848129923E-4</v>
      </c>
      <c r="E120">
        <f t="shared" si="14"/>
        <v>5.7188424744664713E-2</v>
      </c>
      <c r="K120" s="4"/>
    </row>
    <row r="121" spans="1:11" ht="15.6">
      <c r="A121">
        <v>85</v>
      </c>
      <c r="B121">
        <v>0.86</v>
      </c>
      <c r="C121">
        <f t="shared" si="12"/>
        <v>0.87118817914576785</v>
      </c>
      <c r="D121">
        <f t="shared" si="13"/>
        <v>1.2517535259779489E-4</v>
      </c>
      <c r="E121">
        <f t="shared" si="14"/>
        <v>0.12898226818882419</v>
      </c>
      <c r="K121" s="4"/>
    </row>
    <row r="122" spans="1:11" ht="15.6">
      <c r="A122">
        <v>100</v>
      </c>
      <c r="B122">
        <v>0.89</v>
      </c>
      <c r="C122">
        <f t="shared" si="12"/>
        <v>0.91223910472049907</v>
      </c>
      <c r="D122">
        <f t="shared" si="13"/>
        <v>4.945777787693235E-4</v>
      </c>
      <c r="E122">
        <f t="shared" si="14"/>
        <v>0.15143072904986407</v>
      </c>
      <c r="J122" s="8" t="s">
        <v>105</v>
      </c>
      <c r="K122" s="9">
        <v>4</v>
      </c>
    </row>
    <row r="123" spans="1:11" ht="15.6">
      <c r="A123">
        <v>120</v>
      </c>
      <c r="B123">
        <v>0.9</v>
      </c>
      <c r="C123">
        <f t="shared" si="12"/>
        <v>0.94392913650650734</v>
      </c>
      <c r="D123">
        <f t="shared" si="13"/>
        <v>1.9297690342073538E-3</v>
      </c>
      <c r="E123">
        <f t="shared" si="14"/>
        <v>0.15931354933687739</v>
      </c>
      <c r="J123" s="8" t="s">
        <v>8</v>
      </c>
      <c r="K123" s="9">
        <v>12</v>
      </c>
    </row>
    <row r="124" spans="1:11" ht="15.6">
      <c r="C124">
        <f>AVERAGE(C115:C123)</f>
        <v>0.50085898564933551</v>
      </c>
      <c r="D124">
        <f>SUM(D115:D123)</f>
        <v>6.3556098002336258E-3</v>
      </c>
      <c r="E124">
        <f>SUM(E115:E123)</f>
        <v>1.2226612581239922</v>
      </c>
      <c r="J124" s="8" t="s">
        <v>12</v>
      </c>
      <c r="K124" s="9">
        <v>100</v>
      </c>
    </row>
    <row r="125" spans="1:11" ht="15.6">
      <c r="J125" s="8" t="s">
        <v>210</v>
      </c>
      <c r="K125" s="9">
        <v>0.43319999999999997</v>
      </c>
    </row>
    <row r="126" spans="1:11" ht="15.6">
      <c r="J126" s="8" t="s">
        <v>106</v>
      </c>
      <c r="K126" s="9">
        <v>9</v>
      </c>
    </row>
    <row r="127" spans="1:11" ht="15.6">
      <c r="K127" s="4"/>
    </row>
    <row r="128" spans="1:11" ht="15.6">
      <c r="K128" s="4"/>
    </row>
    <row r="129" spans="1:11" ht="15.6">
      <c r="K129" s="4"/>
    </row>
    <row r="130" spans="1:11" ht="15.6">
      <c r="K130" s="4"/>
    </row>
    <row r="131" spans="1:11" ht="15.6">
      <c r="K131" s="4"/>
    </row>
    <row r="132" spans="1:11" ht="15.6">
      <c r="K132" s="4"/>
    </row>
    <row r="133" spans="1:11" ht="15.6">
      <c r="A133" t="s">
        <v>260</v>
      </c>
      <c r="K133" s="4"/>
    </row>
    <row r="134" spans="1:11" ht="15.6">
      <c r="K134" s="4"/>
    </row>
    <row r="135" spans="1:11" ht="15.6">
      <c r="A135" t="s">
        <v>63</v>
      </c>
      <c r="B135" t="s">
        <v>64</v>
      </c>
      <c r="K135" s="4"/>
    </row>
    <row r="136" spans="1:11" ht="15.6">
      <c r="A136" t="s">
        <v>29</v>
      </c>
      <c r="B136" t="s">
        <v>43</v>
      </c>
      <c r="C136" t="s">
        <v>99</v>
      </c>
      <c r="D136" t="s">
        <v>100</v>
      </c>
      <c r="E136" t="s">
        <v>101</v>
      </c>
      <c r="K136" s="4"/>
    </row>
    <row r="137" spans="1:11" ht="15.6">
      <c r="A137">
        <v>0</v>
      </c>
      <c r="B137">
        <v>0</v>
      </c>
      <c r="C137">
        <f>1-(1/(1+(($K$147*$K$146*A137)/($K$139*$K$145))^($K$138)))</f>
        <v>0</v>
      </c>
      <c r="D137">
        <f>(B137-C137)^2</f>
        <v>0</v>
      </c>
      <c r="E137">
        <f>(B137-C$154)^2</f>
        <v>0.11735287280005907</v>
      </c>
      <c r="K137" s="4"/>
    </row>
    <row r="138" spans="1:11" ht="15.6">
      <c r="A138">
        <v>10</v>
      </c>
      <c r="B138">
        <v>0</v>
      </c>
      <c r="C138">
        <f t="shared" ref="C138:C153" si="15">1-(1/(1+(($K$147*$K$146*A138)/($K$139*$K$145))^($K$138)))</f>
        <v>6.5563300045701212E-6</v>
      </c>
      <c r="D138">
        <f t="shared" ref="D138:D153" si="16">(B138-C138)^2</f>
        <v>4.2985463128826443E-11</v>
      </c>
      <c r="E138">
        <f t="shared" ref="E138:E153" si="17">(B138-C$154)^2</f>
        <v>0.11735287280005907</v>
      </c>
      <c r="J138" t="s">
        <v>21</v>
      </c>
      <c r="K138" s="4">
        <v>3.9674517183548499</v>
      </c>
    </row>
    <row r="139" spans="1:11" ht="15.6">
      <c r="A139">
        <v>22</v>
      </c>
      <c r="B139">
        <v>0</v>
      </c>
      <c r="C139">
        <f t="shared" si="15"/>
        <v>1.4967321891057317E-4</v>
      </c>
      <c r="D139">
        <f t="shared" si="16"/>
        <v>2.2402072459052359E-8</v>
      </c>
      <c r="E139">
        <f t="shared" si="17"/>
        <v>0.11735287280005907</v>
      </c>
      <c r="J139" t="s">
        <v>103</v>
      </c>
      <c r="K139" s="4">
        <v>20251.858468305301</v>
      </c>
    </row>
    <row r="140" spans="1:11" ht="15.6">
      <c r="A140">
        <v>30</v>
      </c>
      <c r="B140">
        <v>0</v>
      </c>
      <c r="C140">
        <f t="shared" si="15"/>
        <v>5.1214945362576536E-4</v>
      </c>
      <c r="D140">
        <f t="shared" si="16"/>
        <v>2.6229706284917001E-7</v>
      </c>
      <c r="E140">
        <f t="shared" si="17"/>
        <v>0.11735287280005907</v>
      </c>
      <c r="K140" s="4"/>
    </row>
    <row r="141" spans="1:11" ht="15.6">
      <c r="A141">
        <v>41</v>
      </c>
      <c r="B141">
        <v>0</v>
      </c>
      <c r="C141">
        <f t="shared" si="15"/>
        <v>1.766388411125086E-3</v>
      </c>
      <c r="D141">
        <f t="shared" si="16"/>
        <v>3.120128018957006E-6</v>
      </c>
      <c r="E141">
        <f t="shared" si="17"/>
        <v>0.11735287280005907</v>
      </c>
      <c r="K141" s="4"/>
    </row>
    <row r="142" spans="1:11" ht="15.6">
      <c r="A142">
        <v>50</v>
      </c>
      <c r="B142">
        <v>0</v>
      </c>
      <c r="C142">
        <f t="shared" si="15"/>
        <v>3.8735384770814951E-3</v>
      </c>
      <c r="D142">
        <f t="shared" si="16"/>
        <v>1.5004300333430828E-5</v>
      </c>
      <c r="E142">
        <f t="shared" si="17"/>
        <v>0.11735287280005907</v>
      </c>
      <c r="J142" s="6" t="s">
        <v>104</v>
      </c>
      <c r="K142" s="7">
        <f>1-(D154/E154)</f>
        <v>0.99970144513628556</v>
      </c>
    </row>
    <row r="143" spans="1:11" ht="15.6">
      <c r="A143">
        <v>60</v>
      </c>
      <c r="B143">
        <v>0</v>
      </c>
      <c r="C143">
        <f t="shared" si="15"/>
        <v>7.9519542703913038E-3</v>
      </c>
      <c r="D143">
        <f t="shared" si="16"/>
        <v>6.3233576718394485E-5</v>
      </c>
      <c r="E143">
        <f t="shared" si="17"/>
        <v>0.11735287280005907</v>
      </c>
      <c r="K143" s="4"/>
    </row>
    <row r="144" spans="1:11" ht="15.6">
      <c r="A144">
        <v>80</v>
      </c>
      <c r="B144">
        <v>0.01</v>
      </c>
      <c r="C144">
        <f t="shared" si="15"/>
        <v>2.4482988051776289E-2</v>
      </c>
      <c r="D144">
        <f t="shared" si="16"/>
        <v>2.0975694290789474E-4</v>
      </c>
      <c r="E144">
        <f t="shared" si="17"/>
        <v>0.11060151168565095</v>
      </c>
      <c r="K144" s="4"/>
    </row>
    <row r="145" spans="1:11" ht="15.6">
      <c r="A145">
        <v>100</v>
      </c>
      <c r="B145">
        <v>0.05</v>
      </c>
      <c r="C145">
        <f t="shared" si="15"/>
        <v>5.7341588280045874E-2</v>
      </c>
      <c r="D145">
        <f t="shared" si="16"/>
        <v>5.3898918473706898E-5</v>
      </c>
      <c r="E145">
        <f t="shared" si="17"/>
        <v>8.5596067228018491E-2</v>
      </c>
      <c r="J145" s="8" t="s">
        <v>105</v>
      </c>
      <c r="K145" s="9">
        <v>4</v>
      </c>
    </row>
    <row r="146" spans="1:11" ht="15.6">
      <c r="A146">
        <v>155</v>
      </c>
      <c r="B146">
        <v>0.26</v>
      </c>
      <c r="C146">
        <f t="shared" si="15"/>
        <v>0.25713319499102016</v>
      </c>
      <c r="D146">
        <f t="shared" si="16"/>
        <v>8.218570959511927E-6</v>
      </c>
      <c r="E146">
        <f t="shared" si="17"/>
        <v>6.8174838254480398E-3</v>
      </c>
      <c r="J146" s="8" t="s">
        <v>8</v>
      </c>
      <c r="K146" s="9">
        <v>8</v>
      </c>
    </row>
    <row r="147" spans="1:11" ht="15.6">
      <c r="A147">
        <v>210</v>
      </c>
      <c r="B147">
        <v>0.54</v>
      </c>
      <c r="C147">
        <f t="shared" si="15"/>
        <v>0.53591871325789009</v>
      </c>
      <c r="D147">
        <f t="shared" si="16"/>
        <v>1.6656901471322419E-5</v>
      </c>
      <c r="E147">
        <f t="shared" si="17"/>
        <v>3.8979372622020794E-2</v>
      </c>
      <c r="J147" s="8" t="s">
        <v>12</v>
      </c>
      <c r="K147" s="9">
        <v>50</v>
      </c>
    </row>
    <row r="148" spans="1:11" ht="15.6">
      <c r="A148">
        <v>240</v>
      </c>
      <c r="B148">
        <v>0.66</v>
      </c>
      <c r="C148">
        <f t="shared" si="15"/>
        <v>0.66233163051933008</v>
      </c>
      <c r="D148">
        <f t="shared" si="16"/>
        <v>5.4365008786713299E-6</v>
      </c>
      <c r="E148">
        <f t="shared" si="17"/>
        <v>0.1007630392491234</v>
      </c>
      <c r="J148" s="8" t="s">
        <v>210</v>
      </c>
      <c r="K148" s="9">
        <v>0.28870000000000001</v>
      </c>
    </row>
    <row r="149" spans="1:11" ht="15.6">
      <c r="A149">
        <v>280</v>
      </c>
      <c r="B149">
        <v>0.79</v>
      </c>
      <c r="C149">
        <f t="shared" si="15"/>
        <v>0.78334848232413257</v>
      </c>
      <c r="D149">
        <f t="shared" si="16"/>
        <v>4.4242687392377374E-5</v>
      </c>
      <c r="E149">
        <f t="shared" si="17"/>
        <v>0.20019534476181788</v>
      </c>
      <c r="J149" s="8" t="s">
        <v>106</v>
      </c>
      <c r="K149" s="9">
        <v>17</v>
      </c>
    </row>
    <row r="150" spans="1:11" ht="15.6">
      <c r="A150">
        <v>300</v>
      </c>
      <c r="B150">
        <v>0.83</v>
      </c>
      <c r="C150">
        <f t="shared" si="15"/>
        <v>0.82621173536851134</v>
      </c>
      <c r="D150">
        <f t="shared" si="16"/>
        <v>1.4350948918187646E-5</v>
      </c>
      <c r="E150">
        <f t="shared" si="17"/>
        <v>0.23758990030418536</v>
      </c>
      <c r="K150" s="4"/>
    </row>
    <row r="151" spans="1:11" ht="15.6">
      <c r="A151">
        <v>320</v>
      </c>
      <c r="B151">
        <v>0.86</v>
      </c>
      <c r="C151">
        <f t="shared" si="15"/>
        <v>0.85997313546415732</v>
      </c>
      <c r="D151">
        <f t="shared" si="16"/>
        <v>7.2170328604174387E-10</v>
      </c>
      <c r="E151">
        <f t="shared" si="17"/>
        <v>0.26773581696096105</v>
      </c>
      <c r="K151" s="4"/>
    </row>
    <row r="152" spans="1:11" ht="15.6">
      <c r="A152">
        <v>340</v>
      </c>
      <c r="B152">
        <v>0.88</v>
      </c>
      <c r="C152">
        <f t="shared" si="15"/>
        <v>0.88651145267295228</v>
      </c>
      <c r="D152">
        <f t="shared" si="16"/>
        <v>4.2399015912097369E-5</v>
      </c>
      <c r="E152">
        <f t="shared" si="17"/>
        <v>0.2888330947321448</v>
      </c>
      <c r="K152" s="4"/>
    </row>
    <row r="153" spans="1:11" ht="15.6">
      <c r="A153">
        <v>370</v>
      </c>
      <c r="B153">
        <v>0.9</v>
      </c>
      <c r="C153">
        <f t="shared" si="15"/>
        <v>0.91614376615594484</v>
      </c>
      <c r="D153">
        <f t="shared" si="16"/>
        <v>2.6062118569782929E-4</v>
      </c>
      <c r="E153">
        <f t="shared" si="17"/>
        <v>0.31073037250332863</v>
      </c>
      <c r="K153" s="4"/>
    </row>
    <row r="154" spans="1:11" ht="15.6">
      <c r="C154">
        <f>AVERAGE(C137:C153)</f>
        <v>0.34256805572040583</v>
      </c>
      <c r="D154">
        <f>SUM(D137:D153)</f>
        <v>7.3722514150643872E-4</v>
      </c>
      <c r="E154">
        <f>SUM(E137:E153)</f>
        <v>2.4693121134731126</v>
      </c>
      <c r="K154" s="4"/>
    </row>
    <row r="155" spans="1:11" ht="15.6">
      <c r="K155" s="4"/>
    </row>
    <row r="156" spans="1:11" ht="15.6">
      <c r="K156" s="4"/>
    </row>
    <row r="157" spans="1:11" ht="15.6">
      <c r="K157" s="4"/>
    </row>
    <row r="158" spans="1:11" ht="15.6">
      <c r="K158" s="4"/>
    </row>
    <row r="159" spans="1:11" ht="15.6">
      <c r="K159" s="4"/>
    </row>
    <row r="160" spans="1:11" ht="15.6">
      <c r="K160" s="4"/>
    </row>
    <row r="161" spans="1:11" ht="15.6">
      <c r="B161" t="s">
        <v>66</v>
      </c>
      <c r="J161" t="s">
        <v>21</v>
      </c>
      <c r="K161" s="4">
        <v>3.3466100802363101</v>
      </c>
    </row>
    <row r="162" spans="1:11" ht="15.6">
      <c r="A162" t="s">
        <v>29</v>
      </c>
      <c r="B162" t="s">
        <v>43</v>
      </c>
      <c r="C162" t="s">
        <v>99</v>
      </c>
      <c r="D162" t="s">
        <v>100</v>
      </c>
      <c r="E162" t="s">
        <v>101</v>
      </c>
      <c r="J162" t="s">
        <v>103</v>
      </c>
      <c r="K162" s="4">
        <v>11897.859816594</v>
      </c>
    </row>
    <row r="163" spans="1:11" ht="15.6">
      <c r="A163">
        <v>0</v>
      </c>
      <c r="B163">
        <v>0</v>
      </c>
      <c r="C163">
        <f>1-(1/(1+(($K$170*$K$169*A163)/($K$162*$K$168))^($K$161)))</f>
        <v>0</v>
      </c>
      <c r="D163">
        <f>(B163-C163)^2</f>
        <v>0</v>
      </c>
      <c r="E163">
        <f>(B163-C$173)^2</f>
        <v>0.24282307131767111</v>
      </c>
      <c r="K163" s="4"/>
    </row>
    <row r="164" spans="1:11" ht="15.6">
      <c r="A164">
        <v>10</v>
      </c>
      <c r="B164">
        <v>0</v>
      </c>
      <c r="C164">
        <f t="shared" ref="C164:C172" si="18">1-(1/(1+(($K$170*$K$169*A164)/($K$162*$K$168))^($K$161)))</f>
        <v>9.8461532945708363E-3</v>
      </c>
      <c r="D164">
        <f t="shared" ref="D164:D172" si="19">(B164-C164)^2</f>
        <v>9.6946734700188128E-5</v>
      </c>
      <c r="E164">
        <f t="shared" ref="E164:E172" si="20">(B164-C$173)^2</f>
        <v>0.24282307131767111</v>
      </c>
      <c r="K164" s="4"/>
    </row>
    <row r="165" spans="1:11" ht="15.6">
      <c r="A165">
        <v>15</v>
      </c>
      <c r="B165">
        <v>0.01</v>
      </c>
      <c r="C165">
        <f t="shared" si="18"/>
        <v>3.718893729935302E-2</v>
      </c>
      <c r="D165">
        <f t="shared" si="19"/>
        <v>7.392383114681498E-4</v>
      </c>
      <c r="E165">
        <f t="shared" si="20"/>
        <v>0.23306765511504077</v>
      </c>
      <c r="J165" s="6" t="s">
        <v>104</v>
      </c>
      <c r="K165" s="7">
        <f>1-(D173/E173)</f>
        <v>0.99608296346511627</v>
      </c>
    </row>
    <row r="166" spans="1:11" ht="15.6">
      <c r="A166">
        <v>25</v>
      </c>
      <c r="B166">
        <v>0.2</v>
      </c>
      <c r="C166">
        <f t="shared" si="18"/>
        <v>0.1759093570814354</v>
      </c>
      <c r="D166">
        <f t="shared" si="19"/>
        <v>5.8035907622978715E-4</v>
      </c>
      <c r="E166">
        <f t="shared" si="20"/>
        <v>8.5714747265064492E-2</v>
      </c>
      <c r="K166" s="4"/>
    </row>
    <row r="167" spans="1:11" ht="15.6">
      <c r="A167">
        <v>40</v>
      </c>
      <c r="B167">
        <v>0.48</v>
      </c>
      <c r="C167">
        <f t="shared" si="18"/>
        <v>0.50715131274600356</v>
      </c>
      <c r="D167">
        <f t="shared" si="19"/>
        <v>7.3719378383129623E-4</v>
      </c>
      <c r="E167">
        <f t="shared" si="20"/>
        <v>1.6309359141524553E-4</v>
      </c>
      <c r="K167" s="4"/>
    </row>
    <row r="168" spans="1:11" ht="15.6">
      <c r="A168">
        <v>50</v>
      </c>
      <c r="B168">
        <v>0.69</v>
      </c>
      <c r="C168">
        <f t="shared" si="18"/>
        <v>0.6846839034027421</v>
      </c>
      <c r="D168">
        <f t="shared" si="19"/>
        <v>2.8260883031376454E-5</v>
      </c>
      <c r="E168">
        <f t="shared" si="20"/>
        <v>3.8899353336178284E-2</v>
      </c>
      <c r="J168" s="8" t="s">
        <v>105</v>
      </c>
      <c r="K168" s="9">
        <v>4</v>
      </c>
    </row>
    <row r="169" spans="1:11" ht="15.6">
      <c r="A169">
        <v>60</v>
      </c>
      <c r="B169">
        <v>0.83</v>
      </c>
      <c r="C169">
        <f t="shared" si="18"/>
        <v>0.79987940612440533</v>
      </c>
      <c r="D169">
        <f t="shared" si="19"/>
        <v>9.0725017541850846E-4</v>
      </c>
      <c r="E169">
        <f t="shared" si="20"/>
        <v>0.11372352649935365</v>
      </c>
      <c r="J169" s="8" t="s">
        <v>8</v>
      </c>
      <c r="K169" s="9">
        <v>8</v>
      </c>
    </row>
    <row r="170" spans="1:11" ht="15.6">
      <c r="A170">
        <v>70</v>
      </c>
      <c r="B170">
        <v>0.88</v>
      </c>
      <c r="C170">
        <f t="shared" si="18"/>
        <v>0.87005250077008311</v>
      </c>
      <c r="D170">
        <f t="shared" si="19"/>
        <v>9.8952740929197117E-5</v>
      </c>
      <c r="E170">
        <f t="shared" si="20"/>
        <v>0.14994644548620203</v>
      </c>
      <c r="J170" s="8" t="s">
        <v>12</v>
      </c>
      <c r="K170" s="9">
        <v>150</v>
      </c>
    </row>
    <row r="171" spans="1:11" ht="15.6">
      <c r="A171">
        <v>75</v>
      </c>
      <c r="B171">
        <v>0.89</v>
      </c>
      <c r="C171">
        <f t="shared" si="18"/>
        <v>0.89400460514410229</v>
      </c>
      <c r="D171">
        <f t="shared" si="19"/>
        <v>1.6036862360170442E-5</v>
      </c>
      <c r="E171">
        <f t="shared" si="20"/>
        <v>0.15779102928357169</v>
      </c>
      <c r="J171" s="8" t="s">
        <v>210</v>
      </c>
      <c r="K171" s="9">
        <v>0.28870000000000001</v>
      </c>
    </row>
    <row r="172" spans="1:11" ht="15.6">
      <c r="A172">
        <v>95</v>
      </c>
      <c r="B172">
        <v>0.9</v>
      </c>
      <c r="C172">
        <f t="shared" si="18"/>
        <v>0.94899192545246969</v>
      </c>
      <c r="D172">
        <f t="shared" si="19"/>
        <v>2.4002087595403451E-3</v>
      </c>
      <c r="E172">
        <f t="shared" si="20"/>
        <v>0.16583561308094139</v>
      </c>
      <c r="J172" s="8" t="s">
        <v>106</v>
      </c>
      <c r="K172" s="9">
        <v>10</v>
      </c>
    </row>
    <row r="173" spans="1:11" ht="15.6">
      <c r="C173">
        <f>AVERAGE(C163:C172)</f>
        <v>0.49277081013151652</v>
      </c>
      <c r="D173">
        <f>SUM(D163:D172)</f>
        <v>5.6044473275090184E-3</v>
      </c>
      <c r="E173">
        <f>SUM(E163:E172)</f>
        <v>1.4307876062931097</v>
      </c>
      <c r="K173" s="4"/>
    </row>
    <row r="174" spans="1:11" ht="15.6">
      <c r="K174" s="4"/>
    </row>
    <row r="175" spans="1:11" ht="15.6">
      <c r="K175" s="4"/>
    </row>
    <row r="176" spans="1:11" ht="15.6">
      <c r="K176" s="4"/>
    </row>
    <row r="177" spans="1:11" ht="15.6">
      <c r="K177" s="4"/>
    </row>
    <row r="178" spans="1:11" ht="15.6">
      <c r="K178" s="4"/>
    </row>
    <row r="179" spans="1:11" ht="15.6">
      <c r="K179" s="4"/>
    </row>
    <row r="180" spans="1:11" ht="15.6">
      <c r="A180" t="s">
        <v>261</v>
      </c>
      <c r="K180" s="4"/>
    </row>
    <row r="181" spans="1:11" ht="15.6">
      <c r="B181" t="s">
        <v>72</v>
      </c>
      <c r="K181" s="4"/>
    </row>
    <row r="182" spans="1:11" ht="15.6">
      <c r="A182" t="s">
        <v>29</v>
      </c>
      <c r="B182" t="s">
        <v>43</v>
      </c>
      <c r="C182" t="s">
        <v>99</v>
      </c>
      <c r="D182" t="s">
        <v>100</v>
      </c>
      <c r="E182" t="s">
        <v>101</v>
      </c>
      <c r="K182" s="4"/>
    </row>
    <row r="183" spans="1:11" ht="15.6">
      <c r="A183">
        <v>0</v>
      </c>
      <c r="B183">
        <v>0</v>
      </c>
      <c r="C183">
        <f>1-(1/(1+(($K$194*$K$193*A183)/($K$186*$K$192))^($K$185)))</f>
        <v>0</v>
      </c>
      <c r="D183">
        <f>(B183-C183)^2</f>
        <v>0</v>
      </c>
      <c r="E183">
        <f>(B183-C$197)^2</f>
        <v>6.6369952785546957E-2</v>
      </c>
      <c r="K183" s="4"/>
    </row>
    <row r="184" spans="1:11" ht="15.6">
      <c r="A184">
        <v>20</v>
      </c>
      <c r="B184">
        <v>0</v>
      </c>
      <c r="C184">
        <f t="shared" ref="C184:C196" si="21">1-(1/(1+(($K$194*$K$193*A184)/($K$186*$K$192))^($K$185)))</f>
        <v>9.0172823696832438E-7</v>
      </c>
      <c r="D184">
        <f t="shared" ref="D184:D196" si="22">(B184-C184)^2</f>
        <v>8.1311381334600254E-13</v>
      </c>
      <c r="E184">
        <f t="shared" ref="E184:E196" si="23">(B184-C$197)^2</f>
        <v>6.6369952785546957E-2</v>
      </c>
      <c r="K184" s="4"/>
    </row>
    <row r="185" spans="1:11" ht="15.6">
      <c r="A185">
        <v>40</v>
      </c>
      <c r="B185">
        <v>0</v>
      </c>
      <c r="C185">
        <f t="shared" si="21"/>
        <v>1.2544972868000492E-4</v>
      </c>
      <c r="D185">
        <f t="shared" si="22"/>
        <v>1.573763442588685E-8</v>
      </c>
      <c r="E185">
        <f t="shared" si="23"/>
        <v>6.6369952785546957E-2</v>
      </c>
      <c r="J185" t="s">
        <v>21</v>
      </c>
      <c r="K185" s="4">
        <v>7.1203806319535099</v>
      </c>
    </row>
    <row r="186" spans="1:11" ht="15.6">
      <c r="A186">
        <v>50</v>
      </c>
      <c r="B186">
        <v>0</v>
      </c>
      <c r="C186">
        <f t="shared" si="21"/>
        <v>6.1417703845667582E-4</v>
      </c>
      <c r="D186">
        <f t="shared" si="22"/>
        <v>3.7721343456741307E-7</v>
      </c>
      <c r="E186">
        <f t="shared" si="23"/>
        <v>6.6369952785546957E-2</v>
      </c>
      <c r="J186" t="s">
        <v>103</v>
      </c>
      <c r="K186" s="4">
        <v>42375.226885170203</v>
      </c>
    </row>
    <row r="187" spans="1:11" ht="15.6">
      <c r="A187">
        <v>60</v>
      </c>
      <c r="B187">
        <v>0</v>
      </c>
      <c r="C187">
        <f t="shared" si="21"/>
        <v>2.2458696003391232E-3</v>
      </c>
      <c r="D187">
        <f t="shared" si="22"/>
        <v>5.0439302617274129E-6</v>
      </c>
      <c r="E187">
        <f t="shared" si="23"/>
        <v>6.6369952785546957E-2</v>
      </c>
      <c r="K187" s="4"/>
    </row>
    <row r="188" spans="1:11" ht="15.6">
      <c r="A188">
        <v>70</v>
      </c>
      <c r="B188">
        <v>0</v>
      </c>
      <c r="C188">
        <f t="shared" si="21"/>
        <v>6.7008161937667232E-3</v>
      </c>
      <c r="D188">
        <f t="shared" si="22"/>
        <v>4.4900937662646353E-5</v>
      </c>
      <c r="E188">
        <f t="shared" si="23"/>
        <v>6.6369952785546957E-2</v>
      </c>
      <c r="K188" s="4"/>
    </row>
    <row r="189" spans="1:11" ht="15.6">
      <c r="A189">
        <v>80</v>
      </c>
      <c r="B189">
        <v>0.01</v>
      </c>
      <c r="C189">
        <f t="shared" si="21"/>
        <v>1.715758864841499E-2</v>
      </c>
      <c r="D189">
        <f t="shared" si="22"/>
        <v>5.1231075259919117E-5</v>
      </c>
      <c r="E189">
        <f t="shared" si="23"/>
        <v>6.1317479484867099E-2</v>
      </c>
      <c r="J189" s="6" t="s">
        <v>104</v>
      </c>
      <c r="K189" s="7">
        <f>1-(D197/E197)</f>
        <v>0.99740110918418867</v>
      </c>
    </row>
    <row r="190" spans="1:11" ht="15.6">
      <c r="A190">
        <v>100</v>
      </c>
      <c r="B190">
        <v>0.09</v>
      </c>
      <c r="C190">
        <f t="shared" si="21"/>
        <v>7.8772634890539761E-2</v>
      </c>
      <c r="D190">
        <f t="shared" si="22"/>
        <v>1.2605372730112505E-4</v>
      </c>
      <c r="E190">
        <f t="shared" si="23"/>
        <v>2.8097693079428245E-2</v>
      </c>
      <c r="K190" s="4"/>
    </row>
    <row r="191" spans="1:11" ht="15.6">
      <c r="A191">
        <v>115</v>
      </c>
      <c r="B191">
        <v>0.21</v>
      </c>
      <c r="C191">
        <f t="shared" si="21"/>
        <v>0.18785889422243296</v>
      </c>
      <c r="D191">
        <f t="shared" si="22"/>
        <v>4.9022856505341226E-4</v>
      </c>
      <c r="E191">
        <f t="shared" si="23"/>
        <v>2.2680134712699555E-3</v>
      </c>
      <c r="K191" s="4"/>
    </row>
    <row r="192" spans="1:11" ht="15.6">
      <c r="A192">
        <v>130</v>
      </c>
      <c r="B192">
        <v>0.36</v>
      </c>
      <c r="C192">
        <f t="shared" si="21"/>
        <v>0.35640365559870868</v>
      </c>
      <c r="D192">
        <f t="shared" si="22"/>
        <v>1.2933693052699329E-5</v>
      </c>
      <c r="E192">
        <f t="shared" si="23"/>
        <v>1.0480913961072091E-2</v>
      </c>
      <c r="J192" s="8" t="s">
        <v>105</v>
      </c>
      <c r="K192" s="9">
        <v>4</v>
      </c>
    </row>
    <row r="193" spans="1:11" ht="15.6">
      <c r="A193">
        <v>140</v>
      </c>
      <c r="B193">
        <v>0.46</v>
      </c>
      <c r="C193">
        <f t="shared" si="21"/>
        <v>0.48417258642815897</v>
      </c>
      <c r="D193">
        <f t="shared" si="22"/>
        <v>5.8431393462681424E-4</v>
      </c>
      <c r="E193">
        <f t="shared" si="23"/>
        <v>4.095618095427353E-2</v>
      </c>
      <c r="J193" s="8" t="s">
        <v>8</v>
      </c>
      <c r="K193" s="9">
        <v>12</v>
      </c>
    </row>
    <row r="194" spans="1:11" ht="15.6">
      <c r="A194">
        <v>165</v>
      </c>
      <c r="B194">
        <v>0.72</v>
      </c>
      <c r="C194">
        <f t="shared" si="21"/>
        <v>0.7514889980605387</v>
      </c>
      <c r="D194">
        <f t="shared" si="22"/>
        <v>9.91556998856612E-4</v>
      </c>
      <c r="E194">
        <f t="shared" si="23"/>
        <v>0.2137918751365972</v>
      </c>
      <c r="J194" s="8" t="s">
        <v>12</v>
      </c>
      <c r="K194" s="9">
        <v>100</v>
      </c>
    </row>
    <row r="195" spans="1:11" ht="15.6">
      <c r="A195">
        <v>180</v>
      </c>
      <c r="B195">
        <v>0.88</v>
      </c>
      <c r="C195">
        <f t="shared" si="21"/>
        <v>0.848915911076491</v>
      </c>
      <c r="D195">
        <f t="shared" si="22"/>
        <v>9.6622058420461497E-4</v>
      </c>
      <c r="E195">
        <f t="shared" si="23"/>
        <v>0.3873523023257196</v>
      </c>
      <c r="J195" s="8" t="s">
        <v>210</v>
      </c>
      <c r="K195" s="9">
        <v>0.43319999999999997</v>
      </c>
    </row>
    <row r="196" spans="1:11" ht="15.6">
      <c r="A196">
        <v>185</v>
      </c>
      <c r="B196">
        <v>0.9</v>
      </c>
      <c r="C196">
        <f t="shared" si="21"/>
        <v>0.87227382726113589</v>
      </c>
      <c r="D196">
        <f t="shared" si="22"/>
        <v>7.6874065474533246E-4</v>
      </c>
      <c r="E196">
        <f t="shared" si="23"/>
        <v>0.4126473557243599</v>
      </c>
      <c r="J196" s="8" t="s">
        <v>106</v>
      </c>
      <c r="K196" s="9">
        <v>14</v>
      </c>
    </row>
    <row r="197" spans="1:11" ht="15.6">
      <c r="C197">
        <f>AVERAGE(C183:C196)</f>
        <v>0.25762366503399287</v>
      </c>
      <c r="D197">
        <f>SUM(D183:D196)</f>
        <v>4.0416170529070103E-3</v>
      </c>
      <c r="E197">
        <f>SUM(E183:E196)</f>
        <v>1.5551315308508693</v>
      </c>
      <c r="K197" s="4"/>
    </row>
    <row r="198" spans="1:11" ht="15.6">
      <c r="K198" s="4"/>
    </row>
    <row r="199" spans="1:11" ht="15.6">
      <c r="K199" s="4"/>
    </row>
    <row r="200" spans="1:11" ht="15.6">
      <c r="K200" s="4"/>
    </row>
    <row r="201" spans="1:11" ht="15.6">
      <c r="K201" s="4"/>
    </row>
    <row r="202" spans="1:11" ht="15.6">
      <c r="K202" s="4"/>
    </row>
    <row r="203" spans="1:11" ht="15.6">
      <c r="K203" s="4"/>
    </row>
    <row r="204" spans="1:11" ht="15.6">
      <c r="K204" s="4"/>
    </row>
    <row r="205" spans="1:11" ht="15.6">
      <c r="B205" t="s">
        <v>111</v>
      </c>
      <c r="K205" s="4"/>
    </row>
    <row r="206" spans="1:11" ht="15.6">
      <c r="A206" t="s">
        <v>29</v>
      </c>
      <c r="B206" t="s">
        <v>43</v>
      </c>
      <c r="C206" t="s">
        <v>99</v>
      </c>
      <c r="D206" t="s">
        <v>100</v>
      </c>
      <c r="E206" t="s">
        <v>101</v>
      </c>
      <c r="J206" t="s">
        <v>21</v>
      </c>
      <c r="K206" s="4">
        <v>5.0774430438654798</v>
      </c>
    </row>
    <row r="207" spans="1:11" ht="15.6">
      <c r="A207">
        <v>0</v>
      </c>
      <c r="B207">
        <v>0</v>
      </c>
      <c r="C207">
        <f>1-(1/(1+(($K$215*$K$214*A207)/($K$207*$K$213))^($K$206)))</f>
        <v>0</v>
      </c>
      <c r="D207">
        <f>(B207-C207)^2</f>
        <v>0</v>
      </c>
      <c r="E207">
        <f>(B207-C$221)^2</f>
        <v>0.18051771385604656</v>
      </c>
      <c r="J207" t="s">
        <v>103</v>
      </c>
      <c r="K207" s="4">
        <v>28167.8316675606</v>
      </c>
    </row>
    <row r="208" spans="1:11" ht="15.6">
      <c r="A208">
        <v>20</v>
      </c>
      <c r="B208">
        <v>0</v>
      </c>
      <c r="C208">
        <f>1-(1/(1+(($K$215*$K$214*A208)/($K$207*$K$213))^($K$206)))</f>
        <v>3.8887438163781596E-4</v>
      </c>
      <c r="D208">
        <f t="shared" ref="D208:D220" si="24">(B208-C208)^2</f>
        <v>1.5122328469419374E-7</v>
      </c>
      <c r="E208">
        <f t="shared" ref="E208:E220" si="25">(B208-C$221)^2</f>
        <v>0.18051771385604656</v>
      </c>
      <c r="K208" s="4"/>
    </row>
    <row r="209" spans="1:11" ht="15.6">
      <c r="A209">
        <v>30</v>
      </c>
      <c r="B209">
        <v>0</v>
      </c>
      <c r="C209">
        <f t="shared" ref="C209:C220" si="26">1-(1/(1+(($K$215*$K$214*A209)/($K$207*$K$213))^($K$206)))</f>
        <v>3.0391329724097638E-3</v>
      </c>
      <c r="D209">
        <f t="shared" si="24"/>
        <v>9.236329223988206E-6</v>
      </c>
      <c r="E209">
        <f t="shared" si="25"/>
        <v>0.18051771385604656</v>
      </c>
      <c r="K209" s="4"/>
    </row>
    <row r="210" spans="1:11" ht="15.6">
      <c r="A210">
        <v>40</v>
      </c>
      <c r="B210">
        <v>0</v>
      </c>
      <c r="C210">
        <f t="shared" si="26"/>
        <v>1.2965027746928315E-2</v>
      </c>
      <c r="D210">
        <f t="shared" si="24"/>
        <v>1.6809194447862109E-4</v>
      </c>
      <c r="E210">
        <f t="shared" si="25"/>
        <v>0.18051771385604656</v>
      </c>
      <c r="J210" s="6" t="s">
        <v>104</v>
      </c>
      <c r="K210" s="7">
        <f>1-(D221/E221)</f>
        <v>0.99871615686007487</v>
      </c>
    </row>
    <row r="211" spans="1:11" ht="15.6">
      <c r="A211">
        <v>50</v>
      </c>
      <c r="B211">
        <v>0.01</v>
      </c>
      <c r="C211">
        <f t="shared" si="26"/>
        <v>3.9186378823662493E-2</v>
      </c>
      <c r="D211">
        <f t="shared" si="24"/>
        <v>8.5184470883833431E-4</v>
      </c>
      <c r="E211">
        <f t="shared" si="25"/>
        <v>0.17212023861086823</v>
      </c>
      <c r="K211" s="4"/>
    </row>
    <row r="212" spans="1:11">
      <c r="A212">
        <v>60</v>
      </c>
      <c r="B212">
        <v>0.11</v>
      </c>
      <c r="C212">
        <f t="shared" si="26"/>
        <v>9.332264070215035E-2</v>
      </c>
      <c r="D212">
        <f t="shared" si="24"/>
        <v>2.7813431314957217E-4</v>
      </c>
      <c r="E212">
        <f t="shared" si="25"/>
        <v>9.9145486159084875E-2</v>
      </c>
    </row>
    <row r="213" spans="1:11">
      <c r="A213">
        <v>80</v>
      </c>
      <c r="B213">
        <v>0.32</v>
      </c>
      <c r="C213">
        <f t="shared" si="26"/>
        <v>0.30724422187129896</v>
      </c>
      <c r="D213">
        <f t="shared" si="24"/>
        <v>1.6270987566864795E-4</v>
      </c>
      <c r="E213">
        <f t="shared" si="25"/>
        <v>1.0998506010339805E-2</v>
      </c>
      <c r="J213" s="8" t="s">
        <v>105</v>
      </c>
      <c r="K213" s="8">
        <v>4</v>
      </c>
    </row>
    <row r="214" spans="1:11">
      <c r="A214">
        <v>96</v>
      </c>
      <c r="B214">
        <v>0.52</v>
      </c>
      <c r="C214">
        <f t="shared" si="26"/>
        <v>0.52814340652094183</v>
      </c>
      <c r="D214">
        <f t="shared" si="24"/>
        <v>6.6315069765317578E-5</v>
      </c>
      <c r="E214">
        <f t="shared" si="25"/>
        <v>9.0490011067730809E-3</v>
      </c>
      <c r="J214" s="8" t="s">
        <v>8</v>
      </c>
      <c r="K214" s="8">
        <v>12</v>
      </c>
    </row>
    <row r="215" spans="1:11">
      <c r="A215">
        <v>105</v>
      </c>
      <c r="B215">
        <v>0.62</v>
      </c>
      <c r="C215">
        <f t="shared" si="26"/>
        <v>0.63823076209800556</v>
      </c>
      <c r="D215">
        <f t="shared" si="24"/>
        <v>3.3236068667407608E-4</v>
      </c>
      <c r="E215">
        <f t="shared" si="25"/>
        <v>3.8074248654989713E-2</v>
      </c>
      <c r="J215" s="8" t="s">
        <v>12</v>
      </c>
      <c r="K215" s="8">
        <v>100</v>
      </c>
    </row>
    <row r="216" spans="1:11">
      <c r="A216">
        <v>122</v>
      </c>
      <c r="B216">
        <v>0.81</v>
      </c>
      <c r="C216">
        <f t="shared" si="26"/>
        <v>0.79077744043119447</v>
      </c>
      <c r="D216">
        <f t="shared" si="24"/>
        <v>3.6950679637627918E-4</v>
      </c>
      <c r="E216">
        <f t="shared" si="25"/>
        <v>0.14832221899660136</v>
      </c>
      <c r="J216" s="8" t="s">
        <v>210</v>
      </c>
      <c r="K216" s="8">
        <v>0.43319999999999997</v>
      </c>
    </row>
    <row r="217" spans="1:11">
      <c r="A217">
        <v>132</v>
      </c>
      <c r="B217">
        <v>0.86</v>
      </c>
      <c r="C217">
        <f t="shared" si="26"/>
        <v>0.84936424519384612</v>
      </c>
      <c r="D217">
        <f t="shared" si="24"/>
        <v>1.1311928029662499E-4</v>
      </c>
      <c r="E217">
        <f t="shared" si="25"/>
        <v>0.18933484277070964</v>
      </c>
      <c r="J217" s="8" t="s">
        <v>106</v>
      </c>
      <c r="K217" s="8">
        <v>14</v>
      </c>
    </row>
    <row r="218" spans="1:11">
      <c r="A218">
        <v>138</v>
      </c>
      <c r="B218">
        <v>0.88</v>
      </c>
      <c r="C218">
        <f t="shared" si="26"/>
        <v>0.87602608774096957</v>
      </c>
      <c r="D218">
        <f t="shared" si="24"/>
        <v>1.5791978642472353E-5</v>
      </c>
      <c r="E218">
        <f t="shared" si="25"/>
        <v>0.20713989228035298</v>
      </c>
    </row>
    <row r="219" spans="1:11">
      <c r="A219">
        <v>143</v>
      </c>
      <c r="B219">
        <v>0.89</v>
      </c>
      <c r="C219">
        <f t="shared" si="26"/>
        <v>0.89435663815298871</v>
      </c>
      <c r="D219">
        <f t="shared" si="24"/>
        <v>1.8980295996076802E-5</v>
      </c>
      <c r="E219">
        <f t="shared" si="25"/>
        <v>0.21634241703517465</v>
      </c>
    </row>
    <row r="220" spans="1:11">
      <c r="A220">
        <v>150</v>
      </c>
      <c r="B220">
        <v>0.9</v>
      </c>
      <c r="C220">
        <f t="shared" si="26"/>
        <v>0.91518781498880231</v>
      </c>
      <c r="D220">
        <f t="shared" si="24"/>
        <v>2.3066972413408733E-4</v>
      </c>
      <c r="E220">
        <f t="shared" si="25"/>
        <v>0.22574494178999632</v>
      </c>
    </row>
    <row r="221" spans="1:11">
      <c r="C221">
        <f>AVERAGE(C207:C220)</f>
        <v>0.42487376225891682</v>
      </c>
      <c r="D221">
        <f>SUM(D207:D220)</f>
        <v>2.6169122265287921E-3</v>
      </c>
      <c r="E221">
        <f>SUM(E207:E220)</f>
        <v>2.0383426488390768</v>
      </c>
    </row>
    <row r="226" spans="1:11" ht="15.6">
      <c r="A226" t="s">
        <v>29</v>
      </c>
      <c r="B226" t="s">
        <v>43</v>
      </c>
      <c r="C226" t="s">
        <v>99</v>
      </c>
      <c r="D226" t="s">
        <v>100</v>
      </c>
      <c r="E226" t="s">
        <v>101</v>
      </c>
      <c r="J226" t="s">
        <v>21</v>
      </c>
      <c r="K226" s="4">
        <v>6.9105522851447496</v>
      </c>
    </row>
    <row r="227" spans="1:11" ht="15.6">
      <c r="A227">
        <v>0</v>
      </c>
      <c r="B227">
        <v>0</v>
      </c>
      <c r="C227">
        <v>0</v>
      </c>
      <c r="D227">
        <f>(B227-C227)^2</f>
        <v>0</v>
      </c>
      <c r="E227">
        <f>(B227-$C$241)^2</f>
        <v>7.0760330343467598E-2</v>
      </c>
      <c r="J227" t="s">
        <v>103</v>
      </c>
      <c r="K227" s="4">
        <v>42478.538014661099</v>
      </c>
    </row>
    <row r="228" spans="1:11" ht="15.6">
      <c r="A228">
        <v>20</v>
      </c>
      <c r="B228">
        <v>0</v>
      </c>
      <c r="C228">
        <f>1-(1/(1+(($K$235*$K$234*A228)/($K$227*$K$233))^($K$226)))</f>
        <v>1.3362983724007904E-6</v>
      </c>
      <c r="D228">
        <f t="shared" ref="D228:D240" si="27">(B228-C228)^2</f>
        <v>1.7856933400810016E-12</v>
      </c>
      <c r="E228">
        <f t="shared" ref="E228:E240" si="28">(B228-$C$241)^2</f>
        <v>7.0760330343467598E-2</v>
      </c>
      <c r="K228" s="4"/>
    </row>
    <row r="229" spans="1:11" ht="15.6">
      <c r="A229">
        <v>40</v>
      </c>
      <c r="B229">
        <v>0</v>
      </c>
      <c r="C229">
        <f t="shared" ref="C229:C239" si="29">1-(1/(1+(($K$235*$K$234*A229)/($K$227*$K$233))^($K$226)))</f>
        <v>1.6073769310920305E-4</v>
      </c>
      <c r="D229">
        <f t="shared" si="27"/>
        <v>2.5836605986068341E-8</v>
      </c>
      <c r="E229">
        <f t="shared" si="28"/>
        <v>7.0760330343467598E-2</v>
      </c>
      <c r="K229" s="4"/>
    </row>
    <row r="230" spans="1:11" ht="15.6">
      <c r="A230">
        <v>50</v>
      </c>
      <c r="B230">
        <v>0</v>
      </c>
      <c r="C230">
        <f t="shared" si="29"/>
        <v>7.5086703161375556E-4</v>
      </c>
      <c r="D230">
        <f t="shared" si="27"/>
        <v>5.6380129916445256E-7</v>
      </c>
      <c r="E230">
        <f t="shared" si="28"/>
        <v>7.0760330343467598E-2</v>
      </c>
      <c r="J230" s="6" t="s">
        <v>104</v>
      </c>
      <c r="K230" s="7">
        <f>1-(D241/E241)</f>
        <v>0.99161694268573319</v>
      </c>
    </row>
    <row r="231" spans="1:11" ht="15.6">
      <c r="A231">
        <v>60</v>
      </c>
      <c r="B231">
        <v>0</v>
      </c>
      <c r="C231">
        <f t="shared" si="29"/>
        <v>2.6419615281028097E-3</v>
      </c>
      <c r="D231">
        <f t="shared" si="27"/>
        <v>6.979960715975333E-6</v>
      </c>
      <c r="E231">
        <f t="shared" si="28"/>
        <v>7.0760330343467598E-2</v>
      </c>
      <c r="K231" s="4"/>
    </row>
    <row r="232" spans="1:11">
      <c r="A232">
        <v>70</v>
      </c>
      <c r="B232">
        <v>0</v>
      </c>
      <c r="C232">
        <f t="shared" si="29"/>
        <v>7.6276253412919104E-3</v>
      </c>
      <c r="D232">
        <f t="shared" si="27"/>
        <v>5.8180668347118529E-5</v>
      </c>
      <c r="E232">
        <f t="shared" si="28"/>
        <v>7.0760330343467598E-2</v>
      </c>
    </row>
    <row r="233" spans="1:11">
      <c r="A233">
        <v>80</v>
      </c>
      <c r="B233">
        <v>0.01</v>
      </c>
      <c r="C233">
        <f t="shared" si="29"/>
        <v>1.8973686692104197E-2</v>
      </c>
      <c r="D233">
        <f t="shared" si="27"/>
        <v>8.0527052848047956E-5</v>
      </c>
      <c r="E233">
        <f t="shared" si="28"/>
        <v>6.5540167551091114E-2</v>
      </c>
      <c r="J233" s="8" t="s">
        <v>105</v>
      </c>
      <c r="K233" s="8">
        <v>4</v>
      </c>
    </row>
    <row r="234" spans="1:11">
      <c r="A234">
        <v>100</v>
      </c>
      <c r="B234">
        <v>0.09</v>
      </c>
      <c r="C234">
        <f t="shared" si="29"/>
        <v>8.2906117390735723E-2</v>
      </c>
      <c r="D234">
        <f t="shared" si="27"/>
        <v>5.0323170474022098E-5</v>
      </c>
      <c r="E234">
        <f t="shared" si="28"/>
        <v>3.0978865212079335E-2</v>
      </c>
      <c r="J234" s="8" t="s">
        <v>8</v>
      </c>
      <c r="K234" s="8">
        <v>12</v>
      </c>
    </row>
    <row r="235" spans="1:11">
      <c r="A235">
        <v>115</v>
      </c>
      <c r="B235">
        <v>0.21</v>
      </c>
      <c r="C235">
        <f t="shared" si="29"/>
        <v>0.19190661015315269</v>
      </c>
      <c r="D235">
        <f t="shared" si="27"/>
        <v>3.2737075614999706E-4</v>
      </c>
      <c r="E235">
        <f t="shared" si="28"/>
        <v>3.1369117035616491E-3</v>
      </c>
      <c r="J235" s="8" t="s">
        <v>12</v>
      </c>
      <c r="K235" s="8">
        <v>100</v>
      </c>
    </row>
    <row r="236" spans="1:11">
      <c r="A236">
        <v>130</v>
      </c>
      <c r="B236">
        <v>0.36</v>
      </c>
      <c r="C236">
        <f t="shared" si="29"/>
        <v>0.35653871560293293</v>
      </c>
      <c r="D236">
        <f t="shared" si="27"/>
        <v>1.1980489677379846E-5</v>
      </c>
      <c r="E236">
        <f t="shared" si="28"/>
        <v>8.8344698179145375E-3</v>
      </c>
      <c r="J236" s="8" t="s">
        <v>210</v>
      </c>
      <c r="K236" s="8">
        <v>0.43319999999999997</v>
      </c>
    </row>
    <row r="237" spans="1:11">
      <c r="A237">
        <v>140</v>
      </c>
      <c r="B237">
        <v>0.46</v>
      </c>
      <c r="C237">
        <f t="shared" si="29"/>
        <v>0.48043698890902442</v>
      </c>
      <c r="D237">
        <f t="shared" si="27"/>
        <v>4.1767051566758635E-4</v>
      </c>
      <c r="E237">
        <f t="shared" si="28"/>
        <v>3.763284189414981E-2</v>
      </c>
      <c r="J237" s="8" t="s">
        <v>106</v>
      </c>
      <c r="K237" s="8">
        <v>14</v>
      </c>
    </row>
    <row r="238" spans="1:11">
      <c r="A238">
        <v>165</v>
      </c>
      <c r="B238">
        <v>0.72</v>
      </c>
      <c r="C238">
        <f t="shared" si="29"/>
        <v>0.74214224134507289</v>
      </c>
      <c r="D238">
        <f t="shared" si="27"/>
        <v>4.9027885178345673E-4</v>
      </c>
      <c r="E238">
        <f t="shared" si="28"/>
        <v>0.20610860929236147</v>
      </c>
    </row>
    <row r="239" spans="1:11">
      <c r="A239">
        <v>180</v>
      </c>
      <c r="B239">
        <v>0.88</v>
      </c>
      <c r="C239">
        <f t="shared" si="29"/>
        <v>0.84002706743031563</v>
      </c>
      <c r="D239">
        <f t="shared" si="27"/>
        <v>1.5978353382205335E-3</v>
      </c>
      <c r="E239">
        <f t="shared" si="28"/>
        <v>0.37698600461433784</v>
      </c>
    </row>
    <row r="240" spans="1:11">
      <c r="A240">
        <v>185</v>
      </c>
      <c r="B240">
        <v>0.9</v>
      </c>
      <c r="C240">
        <f t="shared" ref="C240" si="30">1-(1/(1+($K$235*$K$234*A240/$K$227*$K$233)^$K$226))</f>
        <v>0.99999999924770366</v>
      </c>
      <c r="D240">
        <f t="shared" si="27"/>
        <v>9.9999998495407284E-3</v>
      </c>
      <c r="E240">
        <f t="shared" si="28"/>
        <v>0.40194567902958489</v>
      </c>
    </row>
    <row r="241" spans="3:5">
      <c r="C241">
        <f>AVERAGE(C227:C240)</f>
        <v>0.26600813961882369</v>
      </c>
      <c r="D241">
        <f>SUM(D227:D240)</f>
        <v>1.304173629311569E-2</v>
      </c>
      <c r="E241">
        <f>SUM(E227:E240)</f>
        <v>1.5557255311758862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7"/>
  <sheetViews>
    <sheetView topLeftCell="A90" workbookViewId="0">
      <selection activeCell="J101" sqref="J101"/>
    </sheetView>
  </sheetViews>
  <sheetFormatPr defaultColWidth="9" defaultRowHeight="14.4"/>
  <cols>
    <col min="6" max="6" width="12" customWidth="1"/>
  </cols>
  <sheetData>
    <row r="1" spans="1:11">
      <c r="A1" t="s">
        <v>262</v>
      </c>
    </row>
    <row r="3" spans="1:11" ht="16.8">
      <c r="A3" s="1" t="s">
        <v>177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120</v>
      </c>
    </row>
    <row r="6" spans="1:11">
      <c r="A6">
        <v>0</v>
      </c>
      <c r="B6">
        <v>0</v>
      </c>
      <c r="C6">
        <f>1-(1/(1+(($K$15*$K$14*A6)/($K$7*$K$13))^($K$6)))</f>
        <v>0</v>
      </c>
      <c r="D6">
        <f>(B6-C6)^2</f>
        <v>0</v>
      </c>
      <c r="J6" t="s">
        <v>21</v>
      </c>
      <c r="K6">
        <v>3.4077957335003202</v>
      </c>
    </row>
    <row r="7" spans="1:11">
      <c r="A7">
        <v>10</v>
      </c>
      <c r="B7">
        <v>0</v>
      </c>
      <c r="C7">
        <f t="shared" ref="C7:C19" si="0">1-(1/(1+(($K$15*$K$14*A7)/($K$7*$K$13))^($K$6)))</f>
        <v>3.8148203066334929E-4</v>
      </c>
      <c r="D7">
        <f t="shared" ref="D7:D19" si="1">(B7-C7)^2</f>
        <v>1.4552853971903256E-7</v>
      </c>
      <c r="J7" t="s">
        <v>103</v>
      </c>
      <c r="K7">
        <v>20143.275178577998</v>
      </c>
    </row>
    <row r="8" spans="1:11">
      <c r="A8">
        <v>15</v>
      </c>
      <c r="B8">
        <v>0</v>
      </c>
      <c r="C8">
        <f t="shared" si="0"/>
        <v>1.5172718172515864E-3</v>
      </c>
      <c r="D8">
        <f t="shared" si="1"/>
        <v>2.3021137674259314E-6</v>
      </c>
    </row>
    <row r="9" spans="1:11">
      <c r="A9">
        <v>20</v>
      </c>
      <c r="B9">
        <v>0</v>
      </c>
      <c r="C9">
        <f t="shared" si="0"/>
        <v>4.0339736043760732E-3</v>
      </c>
      <c r="D9">
        <f t="shared" si="1"/>
        <v>1.6272943040802887E-5</v>
      </c>
    </row>
    <row r="10" spans="1:11">
      <c r="A10">
        <v>25</v>
      </c>
      <c r="B10">
        <v>0</v>
      </c>
      <c r="C10">
        <f t="shared" si="0"/>
        <v>8.5899644676808995E-3</v>
      </c>
      <c r="D10">
        <f t="shared" si="1"/>
        <v>7.37874895560204E-5</v>
      </c>
      <c r="G10" t="s">
        <v>100</v>
      </c>
      <c r="H10">
        <f>D20</f>
        <v>2.2250465935216364E-3</v>
      </c>
    </row>
    <row r="11" spans="1:11">
      <c r="A11">
        <v>40</v>
      </c>
      <c r="B11">
        <v>0.01</v>
      </c>
      <c r="C11">
        <f t="shared" si="0"/>
        <v>4.1215290208116095E-2</v>
      </c>
      <c r="D11">
        <f t="shared" si="1"/>
        <v>9.7439434277690848E-4</v>
      </c>
    </row>
    <row r="12" spans="1:11">
      <c r="A12">
        <v>70</v>
      </c>
      <c r="B12">
        <v>0.24</v>
      </c>
      <c r="C12">
        <f t="shared" si="0"/>
        <v>0.22447063488464714</v>
      </c>
      <c r="D12">
        <f t="shared" si="1"/>
        <v>2.4116118088593822E-4</v>
      </c>
    </row>
    <row r="13" spans="1:11">
      <c r="A13">
        <v>92</v>
      </c>
      <c r="B13">
        <v>0.43</v>
      </c>
      <c r="C13">
        <f t="shared" si="0"/>
        <v>0.42348748381784995</v>
      </c>
      <c r="D13">
        <f t="shared" si="1"/>
        <v>4.2412867022766143E-5</v>
      </c>
      <c r="J13" t="s">
        <v>105</v>
      </c>
      <c r="K13">
        <v>4</v>
      </c>
    </row>
    <row r="14" spans="1:11">
      <c r="A14">
        <v>110</v>
      </c>
      <c r="B14">
        <v>0.56000000000000005</v>
      </c>
      <c r="C14">
        <f t="shared" si="0"/>
        <v>0.57455790311309507</v>
      </c>
      <c r="D14">
        <f t="shared" si="1"/>
        <v>2.1193254305026157E-4</v>
      </c>
      <c r="J14" t="s">
        <v>8</v>
      </c>
      <c r="K14">
        <v>8</v>
      </c>
    </row>
    <row r="15" spans="1:11">
      <c r="A15">
        <v>130</v>
      </c>
      <c r="B15">
        <v>0.7</v>
      </c>
      <c r="C15">
        <f t="shared" si="0"/>
        <v>0.70469538646567398</v>
      </c>
      <c r="D15">
        <f t="shared" si="1"/>
        <v>2.2046654062034793E-5</v>
      </c>
      <c r="J15" t="s">
        <v>12</v>
      </c>
      <c r="K15">
        <v>100</v>
      </c>
    </row>
    <row r="16" spans="1:11">
      <c r="A16">
        <v>160</v>
      </c>
      <c r="B16">
        <v>0.85</v>
      </c>
      <c r="C16">
        <f t="shared" si="0"/>
        <v>0.8288289941349356</v>
      </c>
      <c r="D16">
        <f t="shared" si="1"/>
        <v>4.4821148933859011E-4</v>
      </c>
      <c r="J16" t="s">
        <v>210</v>
      </c>
      <c r="K16">
        <v>0.28870000000000001</v>
      </c>
    </row>
    <row r="17" spans="1:11">
      <c r="A17">
        <v>180</v>
      </c>
      <c r="B17">
        <v>0.88</v>
      </c>
      <c r="C17">
        <f t="shared" si="0"/>
        <v>0.87854585184140355</v>
      </c>
      <c r="D17">
        <f t="shared" si="1"/>
        <v>2.1145468671494688E-6</v>
      </c>
      <c r="J17" t="s">
        <v>106</v>
      </c>
      <c r="K17">
        <v>14</v>
      </c>
    </row>
    <row r="18" spans="1:11">
      <c r="A18">
        <v>190</v>
      </c>
      <c r="B18">
        <v>0.89</v>
      </c>
      <c r="C18">
        <f t="shared" si="0"/>
        <v>0.8968756179373264</v>
      </c>
      <c r="D18">
        <f t="shared" si="1"/>
        <v>4.7274122020084312E-5</v>
      </c>
    </row>
    <row r="19" spans="1:11">
      <c r="A19">
        <v>200</v>
      </c>
      <c r="B19">
        <v>0.9</v>
      </c>
      <c r="C19">
        <f t="shared" si="0"/>
        <v>0.91195787491964753</v>
      </c>
      <c r="D19">
        <f t="shared" si="1"/>
        <v>1.429907725939348E-4</v>
      </c>
    </row>
    <row r="20" spans="1:11">
      <c r="D20">
        <f>SUM(D6:D19)</f>
        <v>2.2250465935216364E-3</v>
      </c>
    </row>
    <row r="26" spans="1:11" ht="16.8">
      <c r="A26" s="2" t="s">
        <v>144</v>
      </c>
    </row>
    <row r="27" spans="1:11">
      <c r="B27" t="s">
        <v>63</v>
      </c>
    </row>
    <row r="28" spans="1:11">
      <c r="A28" t="s">
        <v>29</v>
      </c>
      <c r="B28" t="s">
        <v>43</v>
      </c>
      <c r="C28" t="s">
        <v>99</v>
      </c>
      <c r="D28" t="s">
        <v>120</v>
      </c>
      <c r="E28" t="s">
        <v>137</v>
      </c>
    </row>
    <row r="29" spans="1:11">
      <c r="A29">
        <v>0</v>
      </c>
      <c r="B29">
        <v>0</v>
      </c>
      <c r="C29">
        <f>1-(1/(1+(($K$38*$K$37*A29)/($K$30*$K$36))^($K$29)))</f>
        <v>0</v>
      </c>
      <c r="D29">
        <f>(B29-C29)^2</f>
        <v>0</v>
      </c>
      <c r="E29">
        <f>ABS(B29-C29)</f>
        <v>0</v>
      </c>
      <c r="J29" t="s">
        <v>21</v>
      </c>
      <c r="K29">
        <v>3.2714779268260901</v>
      </c>
    </row>
    <row r="30" spans="1:11">
      <c r="A30">
        <v>10</v>
      </c>
      <c r="B30">
        <v>0</v>
      </c>
      <c r="C30">
        <f t="shared" ref="C30:C42" si="2">1-(1/(1+(($K$38*$K$37*A30)/($K$30*$K$36))^($K$29)))</f>
        <v>5.3009379308344151E-4</v>
      </c>
      <c r="D30">
        <f t="shared" ref="D30:D42" si="3">(B30-C30)^2</f>
        <v>2.8099942946559049E-7</v>
      </c>
      <c r="E30">
        <f t="shared" ref="E30:E42" si="4">ABS(B30-C30)</f>
        <v>5.3009379308344151E-4</v>
      </c>
      <c r="J30" t="s">
        <v>103</v>
      </c>
      <c r="K30">
        <v>20055.5262381252</v>
      </c>
    </row>
    <row r="31" spans="1:11">
      <c r="A31">
        <v>15</v>
      </c>
      <c r="B31">
        <v>0</v>
      </c>
      <c r="C31">
        <f t="shared" si="2"/>
        <v>1.9943192321124625E-3</v>
      </c>
      <c r="D31">
        <f t="shared" si="3"/>
        <v>3.9773091995736421E-6</v>
      </c>
      <c r="E31">
        <f t="shared" si="4"/>
        <v>1.9943192321124625E-3</v>
      </c>
    </row>
    <row r="32" spans="1:11">
      <c r="A32">
        <v>20</v>
      </c>
      <c r="B32">
        <v>0</v>
      </c>
      <c r="C32">
        <f t="shared" si="2"/>
        <v>5.0953899514901702E-3</v>
      </c>
      <c r="D32">
        <f t="shared" si="3"/>
        <v>2.5962998757746997E-5</v>
      </c>
      <c r="E32">
        <f t="shared" si="4"/>
        <v>5.0953899514901702E-3</v>
      </c>
      <c r="G32" t="s">
        <v>132</v>
      </c>
      <c r="H32">
        <f>E43</f>
        <v>0.11713547862196844</v>
      </c>
    </row>
    <row r="33" spans="1:11">
      <c r="A33">
        <v>25</v>
      </c>
      <c r="B33">
        <v>0</v>
      </c>
      <c r="C33">
        <f t="shared" si="2"/>
        <v>1.0515835881801494E-2</v>
      </c>
      <c r="D33">
        <f t="shared" si="3"/>
        <v>1.1058280429298381E-4</v>
      </c>
      <c r="E33">
        <f t="shared" si="4"/>
        <v>1.0515835881801494E-2</v>
      </c>
    </row>
    <row r="34" spans="1:11">
      <c r="A34">
        <v>40</v>
      </c>
      <c r="B34">
        <v>0.01</v>
      </c>
      <c r="C34">
        <f t="shared" si="2"/>
        <v>4.7124331936225117E-2</v>
      </c>
      <c r="D34">
        <f t="shared" si="3"/>
        <v>1.3782160217110241E-3</v>
      </c>
      <c r="E34">
        <f t="shared" si="4"/>
        <v>3.7124331936225115E-2</v>
      </c>
    </row>
    <row r="35" spans="1:11">
      <c r="A35">
        <v>70</v>
      </c>
      <c r="B35">
        <v>0.24</v>
      </c>
      <c r="C35">
        <f t="shared" si="2"/>
        <v>0.23578581552704381</v>
      </c>
      <c r="D35">
        <f t="shared" si="3"/>
        <v>1.775935077210499E-5</v>
      </c>
      <c r="E35">
        <f t="shared" si="4"/>
        <v>4.2141844729561839E-3</v>
      </c>
    </row>
    <row r="36" spans="1:11">
      <c r="A36">
        <v>92</v>
      </c>
      <c r="B36">
        <v>0.43</v>
      </c>
      <c r="C36">
        <f t="shared" si="2"/>
        <v>0.43000000017447793</v>
      </c>
      <c r="D36">
        <f t="shared" si="3"/>
        <v>3.0442548790672108E-20</v>
      </c>
      <c r="E36">
        <f t="shared" si="4"/>
        <v>1.7447793210223494E-10</v>
      </c>
      <c r="J36" t="s">
        <v>105</v>
      </c>
      <c r="K36">
        <v>4</v>
      </c>
    </row>
    <row r="37" spans="1:11">
      <c r="A37">
        <v>110</v>
      </c>
      <c r="B37">
        <v>0.56000000000000005</v>
      </c>
      <c r="C37">
        <f t="shared" si="2"/>
        <v>0.5751109960526597</v>
      </c>
      <c r="D37">
        <f t="shared" si="3"/>
        <v>2.2834220170349527E-4</v>
      </c>
      <c r="E37">
        <f t="shared" si="4"/>
        <v>1.5110996052659642E-2</v>
      </c>
      <c r="J37" t="s">
        <v>8</v>
      </c>
      <c r="K37">
        <v>8</v>
      </c>
    </row>
    <row r="38" spans="1:11">
      <c r="A38">
        <v>130</v>
      </c>
      <c r="B38">
        <v>0.7</v>
      </c>
      <c r="C38">
        <f t="shared" si="2"/>
        <v>0.70040954614483897</v>
      </c>
      <c r="D38">
        <f t="shared" si="3"/>
        <v>1.6772804475249743E-7</v>
      </c>
      <c r="E38">
        <f t="shared" si="4"/>
        <v>4.0954614483901253E-4</v>
      </c>
      <c r="J38" t="s">
        <v>12</v>
      </c>
      <c r="K38">
        <v>100</v>
      </c>
    </row>
    <row r="39" spans="1:11">
      <c r="A39">
        <v>160</v>
      </c>
      <c r="B39">
        <v>0.85</v>
      </c>
      <c r="C39">
        <f t="shared" si="2"/>
        <v>0.82179207704110091</v>
      </c>
      <c r="D39">
        <f t="shared" si="3"/>
        <v>7.9568691765518511E-4</v>
      </c>
      <c r="E39">
        <f t="shared" si="4"/>
        <v>2.8207922958899068E-2</v>
      </c>
      <c r="J39" t="s">
        <v>210</v>
      </c>
      <c r="K39">
        <v>0.28870000000000001</v>
      </c>
    </row>
    <row r="40" spans="1:11">
      <c r="A40">
        <v>180</v>
      </c>
      <c r="B40">
        <v>0.88</v>
      </c>
      <c r="C40">
        <f t="shared" si="2"/>
        <v>0.87145229474226249</v>
      </c>
      <c r="D40">
        <f t="shared" si="3"/>
        <v>7.3063265173153551E-5</v>
      </c>
      <c r="E40">
        <f t="shared" si="4"/>
        <v>8.5477052577375146E-3</v>
      </c>
      <c r="J40" t="s">
        <v>106</v>
      </c>
      <c r="K40">
        <v>14</v>
      </c>
    </row>
    <row r="41" spans="1:11">
      <c r="A41">
        <v>190</v>
      </c>
      <c r="B41">
        <v>0.89</v>
      </c>
      <c r="C41">
        <f t="shared" si="2"/>
        <v>0.88999996726664055</v>
      </c>
      <c r="D41">
        <f t="shared" si="3"/>
        <v>1.071472822022503E-15</v>
      </c>
      <c r="E41">
        <f t="shared" si="4"/>
        <v>3.2733359467407297E-8</v>
      </c>
    </row>
    <row r="42" spans="1:11">
      <c r="A42">
        <v>200</v>
      </c>
      <c r="B42">
        <v>0.9</v>
      </c>
      <c r="C42">
        <f t="shared" si="2"/>
        <v>0.90538512003232696</v>
      </c>
      <c r="D42">
        <f t="shared" si="3"/>
        <v>2.8999517762568901E-5</v>
      </c>
      <c r="E42">
        <f t="shared" si="4"/>
        <v>5.3851200323269399E-3</v>
      </c>
    </row>
    <row r="43" spans="1:11">
      <c r="D43">
        <f>SUM(D29:D42)</f>
        <v>2.663039114503126E-3</v>
      </c>
      <c r="E43">
        <f>SUM(E29:E42)</f>
        <v>0.11713547862196844</v>
      </c>
    </row>
    <row r="49" spans="1:11" ht="16.8">
      <c r="A49" s="3" t="s">
        <v>263</v>
      </c>
    </row>
    <row r="50" spans="1:11">
      <c r="B50" t="s">
        <v>63</v>
      </c>
    </row>
    <row r="51" spans="1:11">
      <c r="A51" t="s">
        <v>29</v>
      </c>
      <c r="B51" t="s">
        <v>43</v>
      </c>
      <c r="C51" t="s">
        <v>99</v>
      </c>
      <c r="D51" t="s">
        <v>120</v>
      </c>
      <c r="E51" t="s">
        <v>101</v>
      </c>
    </row>
    <row r="52" spans="1:11">
      <c r="A52">
        <v>0</v>
      </c>
      <c r="B52">
        <v>0</v>
      </c>
      <c r="C52">
        <f>1-(1/(1+(($K$61*$K$60*A52)/($K$53*$K$59))^($K$52)))</f>
        <v>0</v>
      </c>
      <c r="D52">
        <f>(B52-C52)^2</f>
        <v>0</v>
      </c>
      <c r="E52">
        <f>(B52-C$20)^2</f>
        <v>0</v>
      </c>
      <c r="J52" t="s">
        <v>21</v>
      </c>
      <c r="K52">
        <v>5.00924017560222</v>
      </c>
    </row>
    <row r="53" spans="1:11">
      <c r="A53">
        <v>10</v>
      </c>
      <c r="B53">
        <v>0</v>
      </c>
      <c r="C53">
        <f t="shared" ref="C53:C65" si="5">1-(1/(1+(($K$61*$K$60*A53)/($K$53*$K$59))^($K$52)))</f>
        <v>1.0673188633569808E-5</v>
      </c>
      <c r="D53">
        <f t="shared" ref="D53:D65" si="6">(B53-C53)^2</f>
        <v>1.1391695560776374E-10</v>
      </c>
      <c r="E53">
        <f t="shared" ref="E53:E56" si="7">(B53-C$20)^2</f>
        <v>0</v>
      </c>
      <c r="J53" t="s">
        <v>103</v>
      </c>
      <c r="K53">
        <v>19657.851299496</v>
      </c>
    </row>
    <row r="54" spans="1:11">
      <c r="A54">
        <v>15</v>
      </c>
      <c r="B54">
        <v>0</v>
      </c>
      <c r="C54">
        <f t="shared" si="5"/>
        <v>8.1348003637793376E-5</v>
      </c>
      <c r="D54">
        <f t="shared" si="6"/>
        <v>6.6174976958544442E-9</v>
      </c>
      <c r="E54">
        <f t="shared" si="7"/>
        <v>0</v>
      </c>
    </row>
    <row r="55" spans="1:11">
      <c r="A55">
        <v>20</v>
      </c>
      <c r="B55">
        <v>0</v>
      </c>
      <c r="C55">
        <f t="shared" si="5"/>
        <v>3.4362211759564332E-4</v>
      </c>
      <c r="D55">
        <f t="shared" si="6"/>
        <v>1.1807615970091412E-7</v>
      </c>
      <c r="E55">
        <f t="shared" si="7"/>
        <v>0</v>
      </c>
      <c r="G55" t="s">
        <v>121</v>
      </c>
      <c r="H55">
        <f>(100)*(1/12)^0.5*F62^0.5</f>
        <v>1.1221097767712909</v>
      </c>
    </row>
    <row r="56" spans="1:11">
      <c r="A56">
        <v>25</v>
      </c>
      <c r="B56">
        <v>0</v>
      </c>
      <c r="C56">
        <f t="shared" si="5"/>
        <v>1.0500733066201029E-3</v>
      </c>
      <c r="D56">
        <f t="shared" si="6"/>
        <v>1.1026539492760766E-6</v>
      </c>
      <c r="E56">
        <f t="shared" si="7"/>
        <v>0</v>
      </c>
    </row>
    <row r="57" spans="1:11">
      <c r="A57">
        <v>40</v>
      </c>
      <c r="B57">
        <v>0.01</v>
      </c>
      <c r="C57">
        <f t="shared" si="5"/>
        <v>1.0949153293059455E-2</v>
      </c>
      <c r="D57">
        <f t="shared" si="6"/>
        <v>9.0089197372560699E-7</v>
      </c>
      <c r="E57">
        <f>(B57-C57)^2/B57^2</f>
        <v>9.0089197372560693E-3</v>
      </c>
    </row>
    <row r="58" spans="1:11">
      <c r="A58">
        <v>70</v>
      </c>
      <c r="B58">
        <v>0.24</v>
      </c>
      <c r="C58">
        <f t="shared" si="5"/>
        <v>0.15443474155373804</v>
      </c>
      <c r="D58">
        <f t="shared" si="6"/>
        <v>7.321413452975602E-3</v>
      </c>
      <c r="E58">
        <f t="shared" ref="E58:E65" si="8">(B58-C58)^2/B58^2</f>
        <v>0.12710787244749308</v>
      </c>
    </row>
    <row r="59" spans="1:11">
      <c r="A59">
        <v>92</v>
      </c>
      <c r="B59">
        <v>0.43</v>
      </c>
      <c r="C59">
        <f t="shared" si="5"/>
        <v>0.41793851140081884</v>
      </c>
      <c r="D59">
        <f t="shared" si="6"/>
        <v>1.4547950722817706E-4</v>
      </c>
      <c r="E59">
        <f t="shared" si="8"/>
        <v>7.8680101259154722E-4</v>
      </c>
      <c r="J59" t="s">
        <v>105</v>
      </c>
      <c r="K59">
        <v>4</v>
      </c>
    </row>
    <row r="60" spans="1:11">
      <c r="A60">
        <v>110</v>
      </c>
      <c r="B60">
        <v>0.56000000000000005</v>
      </c>
      <c r="C60">
        <f t="shared" si="5"/>
        <v>0.63734712026854412</v>
      </c>
      <c r="D60">
        <f t="shared" si="6"/>
        <v>5.9825770138366204E-3</v>
      </c>
      <c r="E60">
        <f t="shared" si="8"/>
        <v>1.9077095069632077E-2</v>
      </c>
      <c r="J60" t="s">
        <v>8</v>
      </c>
      <c r="K60">
        <v>8</v>
      </c>
    </row>
    <row r="61" spans="1:11">
      <c r="A61">
        <v>130</v>
      </c>
      <c r="B61">
        <v>0.7</v>
      </c>
      <c r="C61">
        <f t="shared" si="5"/>
        <v>0.80229214435581664</v>
      </c>
      <c r="D61">
        <f t="shared" si="6"/>
        <v>1.0463682796911239E-2</v>
      </c>
      <c r="E61">
        <f t="shared" si="8"/>
        <v>2.1354454687573958E-2</v>
      </c>
      <c r="J61" t="s">
        <v>12</v>
      </c>
      <c r="K61">
        <v>100</v>
      </c>
    </row>
    <row r="62" spans="1:11">
      <c r="A62">
        <v>160</v>
      </c>
      <c r="B62">
        <v>0.85</v>
      </c>
      <c r="C62">
        <f t="shared" si="5"/>
        <v>0.91988590167736406</v>
      </c>
      <c r="D62">
        <f t="shared" si="6"/>
        <v>4.8840392532581997E-3</v>
      </c>
      <c r="E62">
        <f t="shared" si="8"/>
        <v>6.7599159214646373E-3</v>
      </c>
      <c r="F62">
        <f>D66/B66^2</f>
        <v>1.5109564213508597E-3</v>
      </c>
      <c r="J62" t="s">
        <v>210</v>
      </c>
      <c r="K62">
        <v>0.28870000000000001</v>
      </c>
    </row>
    <row r="63" spans="1:11">
      <c r="A63">
        <v>180</v>
      </c>
      <c r="B63">
        <v>0.88</v>
      </c>
      <c r="C63">
        <f t="shared" si="5"/>
        <v>0.95394638942102172</v>
      </c>
      <c r="D63">
        <f t="shared" si="6"/>
        <v>5.4680685084053928E-3</v>
      </c>
      <c r="E63">
        <f t="shared" si="8"/>
        <v>7.0610388796557245E-3</v>
      </c>
      <c r="J63" t="s">
        <v>106</v>
      </c>
      <c r="K63">
        <v>14</v>
      </c>
    </row>
    <row r="64" spans="1:11">
      <c r="A64">
        <v>190</v>
      </c>
      <c r="B64">
        <v>0.89</v>
      </c>
      <c r="C64">
        <f t="shared" si="5"/>
        <v>0.96448492698261179</v>
      </c>
      <c r="D64">
        <f t="shared" si="6"/>
        <v>5.5480043476050078E-3</v>
      </c>
      <c r="E64">
        <f t="shared" si="8"/>
        <v>7.0041716293460518E-3</v>
      </c>
    </row>
    <row r="65" spans="1:11">
      <c r="A65">
        <v>200</v>
      </c>
      <c r="B65">
        <v>0.9</v>
      </c>
      <c r="C65">
        <f t="shared" si="5"/>
        <v>0.97230930242386315</v>
      </c>
      <c r="D65">
        <f t="shared" si="6"/>
        <v>5.2286352170256983E-3</v>
      </c>
      <c r="E65">
        <f t="shared" si="8"/>
        <v>6.4551052062045656E-3</v>
      </c>
    </row>
    <row r="66" spans="1:11">
      <c r="B66">
        <f>SUM(B52:B65)</f>
        <v>5.46</v>
      </c>
      <c r="D66">
        <f>SUM(D52:D65)</f>
        <v>4.504402845074329E-2</v>
      </c>
      <c r="E66">
        <f>SUM(E52:E65)</f>
        <v>0.2046153745912177</v>
      </c>
    </row>
    <row r="71" spans="1:11" ht="16.8">
      <c r="A71" s="2" t="s">
        <v>125</v>
      </c>
    </row>
    <row r="72" spans="1:11">
      <c r="B72" t="s">
        <v>63</v>
      </c>
    </row>
    <row r="73" spans="1:11">
      <c r="A73" t="s">
        <v>29</v>
      </c>
      <c r="B73" t="s">
        <v>43</v>
      </c>
      <c r="C73" t="s">
        <v>99</v>
      </c>
      <c r="D73" t="s">
        <v>120</v>
      </c>
      <c r="E73" t="s">
        <v>119</v>
      </c>
    </row>
    <row r="74" spans="1:11">
      <c r="A74">
        <v>0</v>
      </c>
      <c r="B74">
        <v>0</v>
      </c>
      <c r="C74">
        <f>1-(1/(1+(($K$83*$K$82*A74)/($K$75*$K$81))^($K$74)))</f>
        <v>0</v>
      </c>
      <c r="D74">
        <f>(B74-C74)^2</f>
        <v>0</v>
      </c>
      <c r="E74">
        <f>(B74-C$20)^2</f>
        <v>0</v>
      </c>
      <c r="J74" t="s">
        <v>21</v>
      </c>
      <c r="K74">
        <v>4.0673724709522503</v>
      </c>
    </row>
    <row r="75" spans="1:11">
      <c r="A75">
        <v>10</v>
      </c>
      <c r="B75">
        <v>0</v>
      </c>
      <c r="C75">
        <f t="shared" ref="C75:C87" si="9">1-(1/(1+(($K$83*$K$82*A75)/($K$75*$K$81))^($K$74)))</f>
        <v>8.0201810969904308E-5</v>
      </c>
      <c r="D75">
        <f t="shared" ref="D75:D87" si="10">(B75-C75)^2</f>
        <v>6.4323304828522626E-9</v>
      </c>
      <c r="E75">
        <f t="shared" ref="E75:E78" si="11">(B75-C$20)^2</f>
        <v>0</v>
      </c>
      <c r="J75" t="s">
        <v>103</v>
      </c>
      <c r="K75">
        <v>20324.247994172601</v>
      </c>
    </row>
    <row r="76" spans="1:11">
      <c r="A76">
        <v>15</v>
      </c>
      <c r="B76">
        <v>0</v>
      </c>
      <c r="C76">
        <f t="shared" si="9"/>
        <v>4.171253210003556E-4</v>
      </c>
      <c r="D76">
        <f t="shared" si="10"/>
        <v>1.739935334196497E-7</v>
      </c>
      <c r="E76">
        <f t="shared" si="11"/>
        <v>0</v>
      </c>
    </row>
    <row r="77" spans="1:11">
      <c r="A77">
        <v>20</v>
      </c>
      <c r="B77">
        <v>0</v>
      </c>
      <c r="C77">
        <f t="shared" si="9"/>
        <v>1.3428779052918616E-3</v>
      </c>
      <c r="D77">
        <f t="shared" si="10"/>
        <v>1.803321068521058E-6</v>
      </c>
      <c r="E77">
        <f t="shared" si="11"/>
        <v>0</v>
      </c>
    </row>
    <row r="78" spans="1:11">
      <c r="A78">
        <v>25</v>
      </c>
      <c r="B78">
        <v>0</v>
      </c>
      <c r="C78">
        <f t="shared" si="9"/>
        <v>3.321576813662519E-3</v>
      </c>
      <c r="D78">
        <f t="shared" si="10"/>
        <v>1.1032872529060452E-5</v>
      </c>
      <c r="E78">
        <f t="shared" si="11"/>
        <v>0</v>
      </c>
      <c r="G78" t="s">
        <v>134</v>
      </c>
      <c r="H78">
        <f>(100/12)*E88</f>
        <v>0.31942410759311263</v>
      </c>
    </row>
    <row r="79" spans="1:11">
      <c r="A79">
        <v>40</v>
      </c>
      <c r="B79">
        <v>0.01</v>
      </c>
      <c r="C79">
        <f t="shared" si="9"/>
        <v>2.2046489805468639E-2</v>
      </c>
      <c r="D79">
        <f t="shared" si="10"/>
        <v>1.4511791663325983E-4</v>
      </c>
      <c r="E79">
        <f>(B79-C79)^2/B79</f>
        <v>1.4511791663325982E-2</v>
      </c>
    </row>
    <row r="80" spans="1:11">
      <c r="A80">
        <v>70</v>
      </c>
      <c r="B80">
        <v>0.24</v>
      </c>
      <c r="C80">
        <f t="shared" si="9"/>
        <v>0.18003020137046688</v>
      </c>
      <c r="D80">
        <f t="shared" si="10"/>
        <v>3.5963767476667515E-3</v>
      </c>
      <c r="E80">
        <f t="shared" ref="E80:E87" si="12">(B80-C80)^2/B80</f>
        <v>1.4984903115278132E-2</v>
      </c>
    </row>
    <row r="81" spans="1:11">
      <c r="A81">
        <v>92</v>
      </c>
      <c r="B81">
        <v>0.43</v>
      </c>
      <c r="C81">
        <f t="shared" si="9"/>
        <v>0.40021794192173976</v>
      </c>
      <c r="D81">
        <f t="shared" si="10"/>
        <v>8.8697098337686556E-4</v>
      </c>
      <c r="E81">
        <f t="shared" si="12"/>
        <v>2.0627232171555013E-3</v>
      </c>
      <c r="J81" t="s">
        <v>105</v>
      </c>
      <c r="K81">
        <v>4</v>
      </c>
    </row>
    <row r="82" spans="1:11">
      <c r="A82">
        <v>110</v>
      </c>
      <c r="B82">
        <v>0.56000000000000005</v>
      </c>
      <c r="C82">
        <f t="shared" si="9"/>
        <v>0.57987224371333157</v>
      </c>
      <c r="D82">
        <f t="shared" si="10"/>
        <v>3.9490607020204398E-4</v>
      </c>
      <c r="E82">
        <f t="shared" si="12"/>
        <v>7.0518941107507844E-4</v>
      </c>
      <c r="J82" t="s">
        <v>8</v>
      </c>
      <c r="K82">
        <v>8</v>
      </c>
    </row>
    <row r="83" spans="1:11">
      <c r="A83">
        <v>130</v>
      </c>
      <c r="B83">
        <v>0.7</v>
      </c>
      <c r="C83">
        <f t="shared" si="9"/>
        <v>0.73139664585861097</v>
      </c>
      <c r="D83">
        <f t="shared" si="10"/>
        <v>9.8574937117103635E-4</v>
      </c>
      <c r="E83">
        <f t="shared" si="12"/>
        <v>1.408213387387195E-3</v>
      </c>
      <c r="J83" t="s">
        <v>12</v>
      </c>
      <c r="K83">
        <v>100</v>
      </c>
    </row>
    <row r="84" spans="1:11">
      <c r="A84">
        <v>160</v>
      </c>
      <c r="B84">
        <v>0.85</v>
      </c>
      <c r="C84">
        <f t="shared" si="9"/>
        <v>0.86368818459036323</v>
      </c>
      <c r="D84">
        <f t="shared" si="10"/>
        <v>1.8736639737985795E-4</v>
      </c>
      <c r="E84">
        <f t="shared" si="12"/>
        <v>2.2043105574100935E-4</v>
      </c>
      <c r="J84" t="s">
        <v>210</v>
      </c>
      <c r="K84">
        <v>0.28870000000000001</v>
      </c>
    </row>
    <row r="85" spans="1:11">
      <c r="A85">
        <v>180</v>
      </c>
      <c r="B85">
        <v>0.88</v>
      </c>
      <c r="C85">
        <f t="shared" si="9"/>
        <v>0.91095359030708056</v>
      </c>
      <c r="D85">
        <f t="shared" si="10"/>
        <v>9.5812475289859154E-4</v>
      </c>
      <c r="E85">
        <f t="shared" si="12"/>
        <v>1.0887781282938539E-3</v>
      </c>
      <c r="J85" t="s">
        <v>106</v>
      </c>
      <c r="K85">
        <v>14</v>
      </c>
    </row>
    <row r="86" spans="1:11">
      <c r="A86">
        <v>190</v>
      </c>
      <c r="B86">
        <v>0.89</v>
      </c>
      <c r="C86">
        <f t="shared" si="9"/>
        <v>0.92725347251748691</v>
      </c>
      <c r="D86">
        <f t="shared" si="10"/>
        <v>1.3878212146111516E-3</v>
      </c>
      <c r="E86">
        <f t="shared" si="12"/>
        <v>1.5593496793383725E-3</v>
      </c>
    </row>
    <row r="87" spans="1:11">
      <c r="A87">
        <v>200</v>
      </c>
      <c r="B87">
        <v>0.9</v>
      </c>
      <c r="C87">
        <f t="shared" si="9"/>
        <v>0.94013180693939091</v>
      </c>
      <c r="D87">
        <f t="shared" si="10"/>
        <v>1.6105619282205429E-3</v>
      </c>
      <c r="E87">
        <f t="shared" si="12"/>
        <v>1.7895132535783809E-3</v>
      </c>
    </row>
    <row r="88" spans="1:11">
      <c r="D88">
        <f>SUM(D74:D87)</f>
        <v>1.0166012001621583E-2</v>
      </c>
      <c r="E88">
        <f>SUM(E74:E87)</f>
        <v>3.833089291117351E-2</v>
      </c>
    </row>
    <row r="94" spans="1:11" ht="16.8">
      <c r="A94" s="2" t="s">
        <v>240</v>
      </c>
    </row>
    <row r="95" spans="1:11">
      <c r="B95" t="s">
        <v>130</v>
      </c>
    </row>
    <row r="96" spans="1:11">
      <c r="A96" t="s">
        <v>29</v>
      </c>
      <c r="B96" t="s">
        <v>43</v>
      </c>
      <c r="C96" t="s">
        <v>99</v>
      </c>
      <c r="D96" t="s">
        <v>120</v>
      </c>
    </row>
    <row r="97" spans="1:11">
      <c r="A97">
        <v>0</v>
      </c>
      <c r="B97">
        <v>0</v>
      </c>
      <c r="C97">
        <f>1-(1/(1+(($K$107*$K$106*A97)/($K$99*$K$105))^($K$98)))</f>
        <v>0</v>
      </c>
      <c r="D97">
        <f>(B97-C97)^2</f>
        <v>0</v>
      </c>
    </row>
    <row r="98" spans="1:11">
      <c r="A98">
        <v>20</v>
      </c>
      <c r="B98">
        <v>0</v>
      </c>
      <c r="C98">
        <f t="shared" ref="C98:C114" si="13">1-(1/(1+(($K$107*$K$106*A98)/($K$99*$K$105))^($K$98)))</f>
        <v>1.3861092438283151E-6</v>
      </c>
      <c r="D98">
        <f t="shared" ref="D98:D114" si="14">(B98-C98)^2</f>
        <v>1.9212988358263035E-12</v>
      </c>
      <c r="J98" t="s">
        <v>21</v>
      </c>
      <c r="K98">
        <v>5.8835547305472504</v>
      </c>
    </row>
    <row r="99" spans="1:11">
      <c r="A99">
        <v>30</v>
      </c>
      <c r="B99">
        <v>0</v>
      </c>
      <c r="C99">
        <f t="shared" si="13"/>
        <v>1.506031589215695E-5</v>
      </c>
      <c r="D99">
        <f t="shared" si="14"/>
        <v>2.2681311477155519E-10</v>
      </c>
      <c r="J99" t="s">
        <v>103</v>
      </c>
      <c r="K99">
        <v>19802.540096717501</v>
      </c>
    </row>
    <row r="100" spans="1:11">
      <c r="A100">
        <v>40</v>
      </c>
      <c r="B100">
        <v>0</v>
      </c>
      <c r="C100">
        <f t="shared" si="13"/>
        <v>8.1825558631898332E-5</v>
      </c>
      <c r="D100">
        <f t="shared" si="14"/>
        <v>6.6954220454222314E-9</v>
      </c>
    </row>
    <row r="101" spans="1:11">
      <c r="A101">
        <v>50</v>
      </c>
      <c r="B101">
        <v>0</v>
      </c>
      <c r="C101">
        <f t="shared" si="13"/>
        <v>3.0406596291765453E-4</v>
      </c>
      <c r="D101">
        <f t="shared" si="14"/>
        <v>9.2456109805040458E-8</v>
      </c>
    </row>
    <row r="102" spans="1:11">
      <c r="A102">
        <v>60</v>
      </c>
      <c r="B102">
        <v>0</v>
      </c>
      <c r="C102">
        <f t="shared" si="13"/>
        <v>8.8834385544489525E-4</v>
      </c>
      <c r="D102">
        <f t="shared" si="14"/>
        <v>7.8915480550670099E-7</v>
      </c>
      <c r="F102" t="s">
        <v>100</v>
      </c>
      <c r="G102">
        <f>D115</f>
        <v>3.7570652006350389E-3</v>
      </c>
    </row>
    <row r="103" spans="1:11">
      <c r="A103">
        <v>70</v>
      </c>
      <c r="B103">
        <v>0</v>
      </c>
      <c r="C103">
        <f t="shared" si="13"/>
        <v>2.1973378474599015E-3</v>
      </c>
      <c r="D103">
        <f t="shared" si="14"/>
        <v>4.8282936158797134E-6</v>
      </c>
    </row>
    <row r="104" spans="1:11">
      <c r="A104">
        <v>80</v>
      </c>
      <c r="B104">
        <v>0</v>
      </c>
      <c r="C104">
        <f t="shared" si="13"/>
        <v>4.8079271638343801E-3</v>
      </c>
      <c r="D104">
        <f t="shared" si="14"/>
        <v>2.3116163612736505E-5</v>
      </c>
    </row>
    <row r="105" spans="1:11">
      <c r="A105">
        <v>115</v>
      </c>
      <c r="B105">
        <v>0.01</v>
      </c>
      <c r="C105">
        <f t="shared" si="13"/>
        <v>3.9260085159562585E-2</v>
      </c>
      <c r="D105">
        <f t="shared" si="14"/>
        <v>8.5615258354485458E-4</v>
      </c>
      <c r="J105" t="s">
        <v>105</v>
      </c>
      <c r="K105">
        <v>8</v>
      </c>
    </row>
    <row r="106" spans="1:11">
      <c r="A106">
        <v>140</v>
      </c>
      <c r="B106">
        <v>0.08</v>
      </c>
      <c r="C106">
        <f t="shared" si="13"/>
        <v>0.11505251866201105</v>
      </c>
      <c r="D106">
        <f t="shared" si="14"/>
        <v>1.2286790645506327E-3</v>
      </c>
      <c r="J106" t="s">
        <v>8</v>
      </c>
      <c r="K106">
        <v>8</v>
      </c>
    </row>
    <row r="107" spans="1:11">
      <c r="A107">
        <v>170</v>
      </c>
      <c r="B107">
        <v>0.3</v>
      </c>
      <c r="C107">
        <f t="shared" si="13"/>
        <v>0.28950032823129568</v>
      </c>
      <c r="D107">
        <f t="shared" si="14"/>
        <v>1.1024310725052631E-4</v>
      </c>
      <c r="J107" t="s">
        <v>12</v>
      </c>
      <c r="K107">
        <v>100</v>
      </c>
    </row>
    <row r="108" spans="1:11">
      <c r="A108">
        <v>195</v>
      </c>
      <c r="B108">
        <v>0.49</v>
      </c>
      <c r="C108">
        <f t="shared" si="13"/>
        <v>0.47737003441110204</v>
      </c>
      <c r="D108">
        <f t="shared" si="14"/>
        <v>1.5951603077674637E-4</v>
      </c>
      <c r="J108" t="s">
        <v>210</v>
      </c>
      <c r="K108">
        <v>0.28870000000000001</v>
      </c>
    </row>
    <row r="109" spans="1:11">
      <c r="A109">
        <v>210</v>
      </c>
      <c r="B109">
        <v>0.6</v>
      </c>
      <c r="C109">
        <f t="shared" si="13"/>
        <v>0.58551052163566086</v>
      </c>
      <c r="D109">
        <f t="shared" si="14"/>
        <v>2.0994498327065131E-4</v>
      </c>
      <c r="J109" t="s">
        <v>106</v>
      </c>
      <c r="K109">
        <v>18</v>
      </c>
    </row>
    <row r="110" spans="1:11">
      <c r="A110">
        <v>230</v>
      </c>
      <c r="B110">
        <v>0.71</v>
      </c>
      <c r="C110">
        <f t="shared" si="13"/>
        <v>0.70696187075213124</v>
      </c>
      <c r="D110">
        <f t="shared" si="14"/>
        <v>9.2302293267553916E-6</v>
      </c>
    </row>
    <row r="111" spans="1:11">
      <c r="A111">
        <v>250</v>
      </c>
      <c r="B111">
        <v>0.8</v>
      </c>
      <c r="C111">
        <f t="shared" si="13"/>
        <v>0.79758272233377303</v>
      </c>
      <c r="D111">
        <f t="shared" si="14"/>
        <v>5.8432313156399169E-6</v>
      </c>
    </row>
    <row r="112" spans="1:11">
      <c r="A112">
        <v>270</v>
      </c>
      <c r="B112">
        <v>0.85</v>
      </c>
      <c r="C112">
        <f t="shared" si="13"/>
        <v>0.86105243324257263</v>
      </c>
      <c r="D112">
        <f t="shared" si="14"/>
        <v>1.2215628058152514E-4</v>
      </c>
    </row>
    <row r="113" spans="1:11">
      <c r="A113">
        <v>285</v>
      </c>
      <c r="B113">
        <v>0.87</v>
      </c>
      <c r="C113">
        <f t="shared" si="13"/>
        <v>0.89493446668452081</v>
      </c>
      <c r="D113">
        <f t="shared" si="14"/>
        <v>6.2172762884147854E-4</v>
      </c>
    </row>
    <row r="114" spans="1:11">
      <c r="A114">
        <v>300</v>
      </c>
      <c r="B114">
        <v>0.9</v>
      </c>
      <c r="C114">
        <f t="shared" si="13"/>
        <v>0.92011812786707159</v>
      </c>
      <c r="D114">
        <f t="shared" si="14"/>
        <v>4.0473906887584154E-4</v>
      </c>
    </row>
    <row r="115" spans="1:11">
      <c r="D115">
        <f>SUM(D97:D114)</f>
        <v>3.7570652006350389E-3</v>
      </c>
    </row>
    <row r="120" spans="1:11" ht="16.8">
      <c r="A120" s="2" t="s">
        <v>144</v>
      </c>
    </row>
    <row r="121" spans="1:11">
      <c r="B121" t="s">
        <v>130</v>
      </c>
    </row>
    <row r="122" spans="1:11">
      <c r="A122" t="s">
        <v>29</v>
      </c>
      <c r="B122" t="s">
        <v>43</v>
      </c>
      <c r="C122" t="s">
        <v>99</v>
      </c>
      <c r="D122" t="s">
        <v>120</v>
      </c>
      <c r="E122" t="s">
        <v>137</v>
      </c>
    </row>
    <row r="123" spans="1:11">
      <c r="A123">
        <v>0</v>
      </c>
      <c r="B123">
        <v>0</v>
      </c>
      <c r="C123">
        <f>1-(1/(1+(($K$133*$K$132*A123)/($K$125*$K$131))^($K$124)))</f>
        <v>0</v>
      </c>
      <c r="D123">
        <f>(B123-C123)^2</f>
        <v>0</v>
      </c>
      <c r="E123">
        <f>ABS(B123-C123)</f>
        <v>0</v>
      </c>
    </row>
    <row r="124" spans="1:11">
      <c r="A124">
        <v>20</v>
      </c>
      <c r="B124">
        <v>0</v>
      </c>
      <c r="C124">
        <f t="shared" ref="C124:C140" si="15">1-(1/(1+(($K$133*$K$132*A124)/($K$125*$K$131))^($K$124)))</f>
        <v>1.861372538658479E-6</v>
      </c>
      <c r="D124">
        <f t="shared" ref="D124:D140" si="16">(B124-C124)^2</f>
        <v>3.4647077276719109E-12</v>
      </c>
      <c r="E124">
        <f t="shared" ref="E124:E140" si="17">ABS(B124-C124)</f>
        <v>1.861372538658479E-6</v>
      </c>
      <c r="J124" t="s">
        <v>21</v>
      </c>
      <c r="K124">
        <v>5.7694002798967299</v>
      </c>
    </row>
    <row r="125" spans="1:11">
      <c r="A125">
        <v>30</v>
      </c>
      <c r="B125">
        <v>0</v>
      </c>
      <c r="C125">
        <f t="shared" si="15"/>
        <v>1.9309306845349816E-5</v>
      </c>
      <c r="D125">
        <f t="shared" si="16"/>
        <v>3.7284933084787328E-10</v>
      </c>
      <c r="E125">
        <f t="shared" si="17"/>
        <v>1.9309306845349816E-5</v>
      </c>
      <c r="J125" t="s">
        <v>103</v>
      </c>
      <c r="K125">
        <v>19689.2678803159</v>
      </c>
    </row>
    <row r="126" spans="1:11">
      <c r="A126">
        <v>40</v>
      </c>
      <c r="B126">
        <v>0</v>
      </c>
      <c r="C126">
        <f t="shared" si="15"/>
        <v>1.0152022229659163E-4</v>
      </c>
      <c r="D126">
        <f t="shared" si="16"/>
        <v>1.0306355535149381E-8</v>
      </c>
      <c r="E126">
        <f t="shared" si="17"/>
        <v>1.0152022229659163E-4</v>
      </c>
    </row>
    <row r="127" spans="1:11">
      <c r="A127">
        <v>50</v>
      </c>
      <c r="B127">
        <v>0</v>
      </c>
      <c r="C127">
        <f t="shared" si="15"/>
        <v>3.6774736375333461E-4</v>
      </c>
      <c r="D127">
        <f t="shared" si="16"/>
        <v>1.352381235475274E-7</v>
      </c>
      <c r="E127">
        <f t="shared" si="17"/>
        <v>3.6774736375333461E-4</v>
      </c>
    </row>
    <row r="128" spans="1:11">
      <c r="A128">
        <v>60</v>
      </c>
      <c r="B128">
        <v>0</v>
      </c>
      <c r="C128">
        <f t="shared" si="15"/>
        <v>1.0521566994607934E-3</v>
      </c>
      <c r="D128">
        <f t="shared" si="16"/>
        <v>1.1070337202202303E-6</v>
      </c>
      <c r="E128">
        <f t="shared" si="17"/>
        <v>1.0521566994607934E-3</v>
      </c>
      <c r="G128" t="s">
        <v>132</v>
      </c>
      <c r="H128">
        <f>E141</f>
        <v>0.15291756834397033</v>
      </c>
    </row>
    <row r="129" spans="1:11">
      <c r="A129">
        <v>70</v>
      </c>
      <c r="B129">
        <v>0</v>
      </c>
      <c r="C129">
        <f t="shared" si="15"/>
        <v>2.556634728521745E-3</v>
      </c>
      <c r="D129">
        <f t="shared" si="16"/>
        <v>6.536381135083457E-6</v>
      </c>
      <c r="E129">
        <f t="shared" si="17"/>
        <v>2.556634728521745E-3</v>
      </c>
    </row>
    <row r="130" spans="1:11">
      <c r="A130">
        <v>80</v>
      </c>
      <c r="B130">
        <v>0</v>
      </c>
      <c r="C130">
        <f t="shared" si="15"/>
        <v>5.5075781877937935E-3</v>
      </c>
      <c r="D130">
        <f t="shared" si="16"/>
        <v>3.0333417494661966E-5</v>
      </c>
      <c r="E130">
        <f t="shared" si="17"/>
        <v>5.5075781877937935E-3</v>
      </c>
    </row>
    <row r="131" spans="1:11">
      <c r="A131">
        <v>115</v>
      </c>
      <c r="B131">
        <v>0.01</v>
      </c>
      <c r="C131">
        <f t="shared" si="15"/>
        <v>4.3009994656584061E-2</v>
      </c>
      <c r="D131">
        <f t="shared" si="16"/>
        <v>1.0896597472277081E-3</v>
      </c>
      <c r="E131">
        <f t="shared" si="17"/>
        <v>3.3009994656584059E-2</v>
      </c>
      <c r="J131" t="s">
        <v>105</v>
      </c>
      <c r="K131">
        <v>8</v>
      </c>
    </row>
    <row r="132" spans="1:11">
      <c r="A132">
        <v>140</v>
      </c>
      <c r="B132">
        <v>0.08</v>
      </c>
      <c r="C132">
        <f t="shared" si="15"/>
        <v>0.12266196978063149</v>
      </c>
      <c r="D132">
        <f t="shared" si="16"/>
        <v>1.8200436655635139E-3</v>
      </c>
      <c r="E132">
        <f t="shared" si="17"/>
        <v>4.2661969780631484E-2</v>
      </c>
      <c r="J132" t="s">
        <v>8</v>
      </c>
      <c r="K132">
        <v>8</v>
      </c>
    </row>
    <row r="133" spans="1:11">
      <c r="A133">
        <v>170</v>
      </c>
      <c r="B133">
        <v>0.3</v>
      </c>
      <c r="C133">
        <f t="shared" si="15"/>
        <v>0.30000034146560528</v>
      </c>
      <c r="D133">
        <f t="shared" si="16"/>
        <v>1.1659875959699338E-13</v>
      </c>
      <c r="E133">
        <f t="shared" si="17"/>
        <v>3.4146560529135783E-7</v>
      </c>
      <c r="J133" t="s">
        <v>12</v>
      </c>
      <c r="K133">
        <v>100</v>
      </c>
    </row>
    <row r="134" spans="1:11">
      <c r="A134">
        <v>195</v>
      </c>
      <c r="B134">
        <v>0.49</v>
      </c>
      <c r="C134">
        <f t="shared" si="15"/>
        <v>0.48607159312785864</v>
      </c>
      <c r="D134">
        <f t="shared" si="16"/>
        <v>1.5432380553087422E-5</v>
      </c>
      <c r="E134">
        <f t="shared" si="17"/>
        <v>3.9284068721413545E-3</v>
      </c>
      <c r="J134" t="s">
        <v>210</v>
      </c>
      <c r="K134">
        <v>0.28870000000000001</v>
      </c>
    </row>
    <row r="135" spans="1:11">
      <c r="A135">
        <v>210</v>
      </c>
      <c r="B135">
        <v>0.6</v>
      </c>
      <c r="C135">
        <f t="shared" si="15"/>
        <v>0.59190121997044742</v>
      </c>
      <c r="D135">
        <f t="shared" si="16"/>
        <v>6.5590237967079283E-5</v>
      </c>
      <c r="E135">
        <f t="shared" si="17"/>
        <v>8.0987800295525547E-3</v>
      </c>
      <c r="J135" t="s">
        <v>106</v>
      </c>
      <c r="K135">
        <v>18</v>
      </c>
    </row>
    <row r="136" spans="1:11">
      <c r="A136">
        <v>230</v>
      </c>
      <c r="B136">
        <v>0.71</v>
      </c>
      <c r="C136">
        <f t="shared" si="15"/>
        <v>0.71026740457419346</v>
      </c>
      <c r="D136">
        <f t="shared" si="16"/>
        <v>7.1505206299605529E-8</v>
      </c>
      <c r="E136">
        <f t="shared" si="17"/>
        <v>2.6740457419349717E-4</v>
      </c>
    </row>
    <row r="137" spans="1:11">
      <c r="A137">
        <v>250</v>
      </c>
      <c r="B137">
        <v>0.8</v>
      </c>
      <c r="C137">
        <f t="shared" si="15"/>
        <v>0.79862859163145961</v>
      </c>
      <c r="D137">
        <f t="shared" si="16"/>
        <v>1.880760913302748E-6</v>
      </c>
      <c r="E137">
        <f t="shared" si="17"/>
        <v>1.3714083685404388E-3</v>
      </c>
    </row>
    <row r="138" spans="1:11">
      <c r="A138">
        <v>270</v>
      </c>
      <c r="B138">
        <v>0.85</v>
      </c>
      <c r="C138">
        <f t="shared" si="15"/>
        <v>0.8607776635608938</v>
      </c>
      <c r="D138">
        <f t="shared" si="16"/>
        <v>1.1615803183181855E-4</v>
      </c>
      <c r="E138">
        <f t="shared" si="17"/>
        <v>1.0777663560893824E-2</v>
      </c>
    </row>
    <row r="139" spans="1:11">
      <c r="A139">
        <v>285</v>
      </c>
      <c r="B139">
        <v>0.87</v>
      </c>
      <c r="C139">
        <f t="shared" si="15"/>
        <v>0.89413570152498656</v>
      </c>
      <c r="D139">
        <f t="shared" si="16"/>
        <v>5.8253208810323876E-4</v>
      </c>
      <c r="E139">
        <f t="shared" si="17"/>
        <v>2.4135701524986564E-2</v>
      </c>
    </row>
    <row r="140" spans="1:11">
      <c r="A140">
        <v>300</v>
      </c>
      <c r="B140">
        <v>0.9</v>
      </c>
      <c r="C140">
        <f t="shared" si="15"/>
        <v>0.91905908962963101</v>
      </c>
      <c r="D140">
        <f t="shared" si="16"/>
        <v>3.6324889751030744E-4</v>
      </c>
      <c r="E140">
        <f t="shared" si="17"/>
        <v>1.9059089629630988E-2</v>
      </c>
    </row>
    <row r="141" spans="1:11">
      <c r="D141">
        <f>SUM(D123:D140)</f>
        <v>4.0927400681360412E-3</v>
      </c>
      <c r="E141">
        <f>SUM(E123:E140)</f>
        <v>0.15291756834397033</v>
      </c>
    </row>
    <row r="149" spans="1:11" ht="16.8">
      <c r="A149" s="3" t="s">
        <v>263</v>
      </c>
    </row>
    <row r="150" spans="1:11">
      <c r="B150" t="s">
        <v>130</v>
      </c>
    </row>
    <row r="151" spans="1:11">
      <c r="A151" t="s">
        <v>29</v>
      </c>
      <c r="B151" t="s">
        <v>43</v>
      </c>
      <c r="C151" t="s">
        <v>99</v>
      </c>
      <c r="D151" t="s">
        <v>120</v>
      </c>
      <c r="E151" t="s">
        <v>119</v>
      </c>
    </row>
    <row r="152" spans="1:11">
      <c r="A152">
        <v>0</v>
      </c>
      <c r="B152">
        <v>0</v>
      </c>
      <c r="C152">
        <f>1-(1/(1+(($K$162*$K$161*A152)/($K$154*$K$160))^($K$153)))</f>
        <v>0</v>
      </c>
      <c r="D152">
        <f>(B152-C152)^2</f>
        <v>0</v>
      </c>
      <c r="E152">
        <f>(B152-C$46)^2</f>
        <v>0</v>
      </c>
    </row>
    <row r="153" spans="1:11">
      <c r="A153">
        <v>20</v>
      </c>
      <c r="B153">
        <v>0</v>
      </c>
      <c r="C153">
        <f t="shared" ref="C153:C169" si="18">1-(1/(1+(($K$162*$K$161*A153)/($K$154*$K$160))^($K$153)))</f>
        <v>3.9423817543848827E-9</v>
      </c>
      <c r="D153">
        <f t="shared" ref="D153:D169" si="19">(B153-C153)^2</f>
        <v>1.5542373897306826E-17</v>
      </c>
      <c r="E153">
        <f t="shared" ref="E153:E159" si="20">(B153-C$46)^2</f>
        <v>0</v>
      </c>
      <c r="J153" t="s">
        <v>21</v>
      </c>
      <c r="K153">
        <v>8.5186709076695699</v>
      </c>
    </row>
    <row r="154" spans="1:11">
      <c r="A154">
        <v>30</v>
      </c>
      <c r="B154">
        <v>0</v>
      </c>
      <c r="C154">
        <f t="shared" si="18"/>
        <v>1.2468726851011525E-7</v>
      </c>
      <c r="D154">
        <f t="shared" si="19"/>
        <v>1.5546914928513577E-14</v>
      </c>
      <c r="E154">
        <f t="shared" si="20"/>
        <v>0</v>
      </c>
      <c r="J154" t="s">
        <v>103</v>
      </c>
      <c r="K154">
        <v>19390.865653601901</v>
      </c>
    </row>
    <row r="155" spans="1:11">
      <c r="A155">
        <v>40</v>
      </c>
      <c r="B155">
        <v>0</v>
      </c>
      <c r="C155">
        <f t="shared" si="18"/>
        <v>1.4458842210185452E-6</v>
      </c>
      <c r="D155">
        <f t="shared" si="19"/>
        <v>2.0905811805904053E-12</v>
      </c>
      <c r="E155">
        <f t="shared" si="20"/>
        <v>0</v>
      </c>
    </row>
    <row r="156" spans="1:11">
      <c r="A156">
        <v>50</v>
      </c>
      <c r="B156">
        <v>0</v>
      </c>
      <c r="C156">
        <f t="shared" si="18"/>
        <v>9.6755230669653969E-6</v>
      </c>
      <c r="D156">
        <f t="shared" si="19"/>
        <v>9.3615746619379474E-11</v>
      </c>
      <c r="E156">
        <f t="shared" si="20"/>
        <v>0</v>
      </c>
    </row>
    <row r="157" spans="1:11">
      <c r="A157">
        <v>60</v>
      </c>
      <c r="B157">
        <v>0</v>
      </c>
      <c r="C157">
        <f t="shared" si="18"/>
        <v>4.5727533036110657E-5</v>
      </c>
      <c r="D157">
        <f t="shared" si="19"/>
        <v>2.0910072775685916E-9</v>
      </c>
      <c r="E157">
        <f t="shared" si="20"/>
        <v>0</v>
      </c>
      <c r="G157" t="s">
        <v>121</v>
      </c>
      <c r="H157">
        <f>(100)*(1/16)^0.5*F165^0.5</f>
        <v>1.0048215548373682</v>
      </c>
      <c r="J157" t="s">
        <v>104</v>
      </c>
      <c r="K157">
        <f>1-(D170/E170)</f>
        <v>0.75332158474414512</v>
      </c>
    </row>
    <row r="158" spans="1:11">
      <c r="A158">
        <v>70</v>
      </c>
      <c r="B158">
        <v>0</v>
      </c>
      <c r="C158">
        <f t="shared" si="18"/>
        <v>1.6998925453526326E-4</v>
      </c>
      <c r="D158">
        <f t="shared" si="19"/>
        <v>2.889634665745452E-8</v>
      </c>
      <c r="E158">
        <f t="shared" si="20"/>
        <v>0</v>
      </c>
    </row>
    <row r="159" spans="1:11">
      <c r="A159">
        <v>80</v>
      </c>
      <c r="B159">
        <v>0</v>
      </c>
      <c r="C159">
        <f t="shared" si="18"/>
        <v>5.30004276283913E-4</v>
      </c>
      <c r="D159">
        <f t="shared" si="19"/>
        <v>2.809045328792344E-7</v>
      </c>
      <c r="E159">
        <f t="shared" si="20"/>
        <v>0</v>
      </c>
    </row>
    <row r="160" spans="1:11">
      <c r="A160">
        <v>115</v>
      </c>
      <c r="B160">
        <v>0.01</v>
      </c>
      <c r="C160">
        <f t="shared" si="18"/>
        <v>1.1536647426774183E-2</v>
      </c>
      <c r="D160">
        <f t="shared" si="19"/>
        <v>2.3612853142117159E-6</v>
      </c>
      <c r="E160">
        <f>(B160-C160)^2/B160^2</f>
        <v>2.3612853142117158E-2</v>
      </c>
      <c r="J160" t="s">
        <v>105</v>
      </c>
      <c r="K160">
        <v>8</v>
      </c>
    </row>
    <row r="161" spans="1:11">
      <c r="A161">
        <v>140</v>
      </c>
      <c r="B161">
        <v>0.08</v>
      </c>
      <c r="C161">
        <f t="shared" si="18"/>
        <v>5.8695003312625005E-2</v>
      </c>
      <c r="D161">
        <f t="shared" si="19"/>
        <v>4.5390288384905959E-4</v>
      </c>
      <c r="E161">
        <f t="shared" ref="E161:E169" si="21">(B161-C161)^2/B161^2</f>
        <v>7.0922325601415565E-2</v>
      </c>
      <c r="J161" t="s">
        <v>8</v>
      </c>
      <c r="K161">
        <v>8</v>
      </c>
    </row>
    <row r="162" spans="1:11">
      <c r="A162">
        <v>170</v>
      </c>
      <c r="B162">
        <v>0.3</v>
      </c>
      <c r="C162">
        <f t="shared" si="18"/>
        <v>0.24583299462250874</v>
      </c>
      <c r="D162">
        <f t="shared" si="19"/>
        <v>2.9340644715651659E-3</v>
      </c>
      <c r="E162">
        <f t="shared" si="21"/>
        <v>3.260071635072407E-2</v>
      </c>
      <c r="J162" t="s">
        <v>12</v>
      </c>
      <c r="K162">
        <v>100</v>
      </c>
    </row>
    <row r="163" spans="1:11">
      <c r="A163">
        <v>195</v>
      </c>
      <c r="B163">
        <v>0.49</v>
      </c>
      <c r="C163">
        <f t="shared" si="18"/>
        <v>0.51195017081479377</v>
      </c>
      <c r="D163">
        <f t="shared" si="19"/>
        <v>4.8180999879862457E-4</v>
      </c>
      <c r="E163">
        <f t="shared" si="21"/>
        <v>2.0067055343549545E-3</v>
      </c>
      <c r="J163" t="s">
        <v>210</v>
      </c>
      <c r="K163">
        <v>0.28870000000000001</v>
      </c>
    </row>
    <row r="164" spans="1:11">
      <c r="A164">
        <v>210</v>
      </c>
      <c r="B164">
        <v>0.6</v>
      </c>
      <c r="C164">
        <f t="shared" si="18"/>
        <v>0.66354030082165183</v>
      </c>
      <c r="D164">
        <f t="shared" si="19"/>
        <v>4.037369828506011E-3</v>
      </c>
      <c r="E164">
        <f t="shared" si="21"/>
        <v>1.1214916190294475E-2</v>
      </c>
      <c r="J164" t="s">
        <v>106</v>
      </c>
      <c r="K164">
        <v>18</v>
      </c>
    </row>
    <row r="165" spans="1:11">
      <c r="A165">
        <v>230</v>
      </c>
      <c r="B165">
        <v>0.71</v>
      </c>
      <c r="C165">
        <f t="shared" si="18"/>
        <v>0.81062399849645983</v>
      </c>
      <c r="D165">
        <f t="shared" si="19"/>
        <v>1.0125189073415558E-2</v>
      </c>
      <c r="E165">
        <f t="shared" si="21"/>
        <v>2.0085675606854907E-2</v>
      </c>
      <c r="F165">
        <f>D170/B170^2</f>
        <v>1.6154661713052583E-3</v>
      </c>
    </row>
    <row r="166" spans="1:11">
      <c r="A166">
        <v>250</v>
      </c>
      <c r="B166">
        <v>0.8</v>
      </c>
      <c r="C166">
        <f t="shared" si="18"/>
        <v>0.89700401592323686</v>
      </c>
      <c r="D166">
        <f t="shared" si="19"/>
        <v>9.4097791052355825E-3</v>
      </c>
      <c r="E166">
        <f t="shared" si="21"/>
        <v>1.4702779851930595E-2</v>
      </c>
    </row>
    <row r="167" spans="1:11">
      <c r="A167">
        <v>270</v>
      </c>
      <c r="B167">
        <v>0.85</v>
      </c>
      <c r="C167">
        <f t="shared" si="18"/>
        <v>0.94374579883614573</v>
      </c>
      <c r="D167">
        <f t="shared" si="19"/>
        <v>8.7882747994271065E-3</v>
      </c>
      <c r="E167">
        <f t="shared" si="21"/>
        <v>1.216370214453579E-2</v>
      </c>
    </row>
    <row r="168" spans="1:11">
      <c r="A168">
        <v>285</v>
      </c>
      <c r="B168">
        <v>0.87</v>
      </c>
      <c r="C168">
        <f t="shared" si="18"/>
        <v>0.96375574459000934</v>
      </c>
      <c r="D168">
        <f t="shared" si="19"/>
        <v>8.7901396436270672E-3</v>
      </c>
      <c r="E168">
        <f t="shared" si="21"/>
        <v>1.161334343192901E-2</v>
      </c>
    </row>
    <row r="169" spans="1:11">
      <c r="A169">
        <v>300</v>
      </c>
      <c r="B169">
        <v>0.9</v>
      </c>
      <c r="C169">
        <f t="shared" si="18"/>
        <v>0.97628177903398117</v>
      </c>
      <c r="D169">
        <f t="shared" si="19"/>
        <v>5.818909812589125E-3</v>
      </c>
      <c r="E169">
        <f t="shared" si="21"/>
        <v>7.1838392748013883E-3</v>
      </c>
    </row>
    <row r="170" spans="1:11">
      <c r="B170">
        <f>SUM(B152:B169)</f>
        <v>5.61</v>
      </c>
      <c r="D170">
        <f>SUM(D152:D169)</f>
        <v>5.0842112889936224E-2</v>
      </c>
      <c r="E170">
        <f>SUM(E152:E169)</f>
        <v>0.2061068571289579</v>
      </c>
    </row>
    <row r="178" spans="1:11" ht="16.8">
      <c r="A178" s="2" t="s">
        <v>125</v>
      </c>
    </row>
    <row r="179" spans="1:11">
      <c r="B179" t="s">
        <v>130</v>
      </c>
    </row>
    <row r="180" spans="1:11">
      <c r="A180" t="s">
        <v>29</v>
      </c>
      <c r="B180" t="s">
        <v>43</v>
      </c>
      <c r="C180" t="s">
        <v>99</v>
      </c>
      <c r="D180" t="s">
        <v>120</v>
      </c>
      <c r="E180" t="s">
        <v>220</v>
      </c>
    </row>
    <row r="181" spans="1:11">
      <c r="A181">
        <v>0</v>
      </c>
      <c r="B181">
        <v>0</v>
      </c>
      <c r="C181">
        <f>1-(1/(1+(($K$191*$K$190*A181)/($K$183*$K$189))^($K$182)))</f>
        <v>0</v>
      </c>
      <c r="D181">
        <f>(B181-C181)^2</f>
        <v>0</v>
      </c>
      <c r="E181">
        <f>(B181-C$46)^2</f>
        <v>0</v>
      </c>
    </row>
    <row r="182" spans="1:11">
      <c r="A182">
        <v>20</v>
      </c>
      <c r="B182">
        <v>0</v>
      </c>
      <c r="C182">
        <f t="shared" ref="C182:C198" si="22">1-(1/(1+(($K$191*$K$190*A182)/($K$183*$K$189))^($K$182)))</f>
        <v>9.7347042316009436E-8</v>
      </c>
      <c r="D182">
        <f t="shared" ref="D182:D198" si="23">(B182-C182)^2</f>
        <v>9.4764466476749321E-15</v>
      </c>
      <c r="E182">
        <f t="shared" ref="E182:E188" si="24">(B182-C$46)^2</f>
        <v>0</v>
      </c>
      <c r="J182" t="s">
        <v>21</v>
      </c>
      <c r="K182">
        <v>7.0298429421341897</v>
      </c>
    </row>
    <row r="183" spans="1:11">
      <c r="A183">
        <v>30</v>
      </c>
      <c r="B183">
        <v>0</v>
      </c>
      <c r="C183">
        <f t="shared" si="22"/>
        <v>1.6835110325796876E-6</v>
      </c>
      <c r="D183">
        <f t="shared" si="23"/>
        <v>2.8342093968175259E-12</v>
      </c>
      <c r="E183">
        <f t="shared" si="24"/>
        <v>0</v>
      </c>
      <c r="J183" t="s">
        <v>103</v>
      </c>
      <c r="K183">
        <v>19881.3516014048</v>
      </c>
    </row>
    <row r="184" spans="1:11">
      <c r="A184">
        <v>40</v>
      </c>
      <c r="B184">
        <v>0</v>
      </c>
      <c r="C184">
        <f t="shared" si="22"/>
        <v>1.2720695857781905E-5</v>
      </c>
      <c r="D184">
        <f t="shared" si="23"/>
        <v>1.6181610310618972E-10</v>
      </c>
      <c r="E184">
        <f t="shared" si="24"/>
        <v>0</v>
      </c>
    </row>
    <row r="185" spans="1:11">
      <c r="A185">
        <v>50</v>
      </c>
      <c r="B185">
        <v>0</v>
      </c>
      <c r="C185">
        <f t="shared" si="22"/>
        <v>6.1059331627588698E-5</v>
      </c>
      <c r="D185">
        <f t="shared" si="23"/>
        <v>3.7282419788078533E-9</v>
      </c>
      <c r="E185">
        <f t="shared" si="24"/>
        <v>0</v>
      </c>
    </row>
    <row r="186" spans="1:11">
      <c r="A186">
        <v>60</v>
      </c>
      <c r="B186">
        <v>0</v>
      </c>
      <c r="C186">
        <f t="shared" si="22"/>
        <v>2.1994533583158393E-4</v>
      </c>
      <c r="D186">
        <f t="shared" si="23"/>
        <v>4.8375950754068236E-8</v>
      </c>
      <c r="E186">
        <f t="shared" si="24"/>
        <v>0</v>
      </c>
      <c r="G186" t="s">
        <v>134</v>
      </c>
      <c r="H186">
        <f>(100/16)*E199</f>
        <v>0.20302997408887347</v>
      </c>
    </row>
    <row r="187" spans="1:11">
      <c r="A187">
        <v>70</v>
      </c>
      <c r="B187">
        <v>0</v>
      </c>
      <c r="C187">
        <f t="shared" si="22"/>
        <v>6.4976067855671005E-4</v>
      </c>
      <c r="D187">
        <f t="shared" si="23"/>
        <v>4.2218893939847629E-7</v>
      </c>
      <c r="E187">
        <f t="shared" si="24"/>
        <v>0</v>
      </c>
    </row>
    <row r="188" spans="1:11">
      <c r="A188">
        <v>80</v>
      </c>
      <c r="B188">
        <v>0</v>
      </c>
      <c r="C188">
        <f t="shared" si="22"/>
        <v>1.6595435538737657E-3</v>
      </c>
      <c r="D188">
        <f t="shared" si="23"/>
        <v>2.7540848072039686E-6</v>
      </c>
      <c r="E188">
        <f t="shared" si="24"/>
        <v>0</v>
      </c>
    </row>
    <row r="189" spans="1:11">
      <c r="A189">
        <v>115</v>
      </c>
      <c r="B189">
        <v>0.01</v>
      </c>
      <c r="C189">
        <f t="shared" si="22"/>
        <v>2.0869357649095921E-2</v>
      </c>
      <c r="D189">
        <f t="shared" si="23"/>
        <v>1.1814293570396E-4</v>
      </c>
      <c r="E189">
        <f>(B189-C189)^2/B189</f>
        <v>1.1814293570396E-2</v>
      </c>
      <c r="J189" t="s">
        <v>105</v>
      </c>
      <c r="K189">
        <v>8</v>
      </c>
    </row>
    <row r="190" spans="1:11">
      <c r="A190">
        <v>140</v>
      </c>
      <c r="B190">
        <v>0.08</v>
      </c>
      <c r="C190">
        <f t="shared" si="22"/>
        <v>7.8309492588826801E-2</v>
      </c>
      <c r="D190">
        <f t="shared" si="23"/>
        <v>2.8578153072315163E-6</v>
      </c>
      <c r="E190">
        <f t="shared" ref="E190:E198" si="25">(B190-C190)^2/B190</f>
        <v>3.572269134039395E-5</v>
      </c>
      <c r="J190" t="s">
        <v>8</v>
      </c>
      <c r="K190">
        <v>8</v>
      </c>
    </row>
    <row r="191" spans="1:11">
      <c r="A191">
        <v>170</v>
      </c>
      <c r="B191">
        <v>0.3</v>
      </c>
      <c r="C191">
        <f t="shared" si="22"/>
        <v>0.24961730433271423</v>
      </c>
      <c r="D191">
        <f t="shared" si="23"/>
        <v>2.5384160227023352E-3</v>
      </c>
      <c r="E191">
        <f t="shared" si="25"/>
        <v>8.461386742341117E-3</v>
      </c>
      <c r="J191" t="s">
        <v>12</v>
      </c>
      <c r="K191">
        <v>100</v>
      </c>
    </row>
    <row r="192" spans="1:11">
      <c r="A192">
        <v>195</v>
      </c>
      <c r="B192">
        <v>0.49</v>
      </c>
      <c r="C192">
        <f t="shared" si="22"/>
        <v>0.46601447419566033</v>
      </c>
      <c r="D192">
        <f t="shared" si="23"/>
        <v>5.7530544811064356E-4</v>
      </c>
      <c r="E192">
        <f t="shared" si="25"/>
        <v>1.1740927512462114E-3</v>
      </c>
      <c r="J192" t="s">
        <v>210</v>
      </c>
      <c r="K192">
        <v>0.28870000000000001</v>
      </c>
    </row>
    <row r="193" spans="1:11">
      <c r="A193">
        <v>210</v>
      </c>
      <c r="B193">
        <v>0.6</v>
      </c>
      <c r="C193">
        <f t="shared" si="22"/>
        <v>0.59503398361105631</v>
      </c>
      <c r="D193">
        <f t="shared" si="23"/>
        <v>2.4661318775257154E-5</v>
      </c>
      <c r="E193">
        <f t="shared" si="25"/>
        <v>4.1102197958761925E-5</v>
      </c>
      <c r="J193" t="s">
        <v>106</v>
      </c>
      <c r="K193">
        <v>18</v>
      </c>
    </row>
    <row r="194" spans="1:11">
      <c r="A194">
        <v>230</v>
      </c>
      <c r="B194">
        <v>0.71</v>
      </c>
      <c r="C194">
        <f t="shared" si="22"/>
        <v>0.73581569312368866</v>
      </c>
      <c r="D194">
        <f t="shared" si="23"/>
        <v>6.6645001145646801E-4</v>
      </c>
      <c r="E194">
        <f t="shared" si="25"/>
        <v>9.3866198796685636E-4</v>
      </c>
    </row>
    <row r="195" spans="1:11">
      <c r="A195">
        <v>250</v>
      </c>
      <c r="B195">
        <v>0.8</v>
      </c>
      <c r="C195">
        <f t="shared" si="22"/>
        <v>0.83347972373252532</v>
      </c>
      <c r="D195">
        <f t="shared" si="23"/>
        <v>1.1208919012062164E-3</v>
      </c>
      <c r="E195">
        <f t="shared" si="25"/>
        <v>1.4011148765077704E-3</v>
      </c>
    </row>
    <row r="196" spans="1:11">
      <c r="A196">
        <v>270</v>
      </c>
      <c r="B196">
        <v>0.85</v>
      </c>
      <c r="C196">
        <f t="shared" si="22"/>
        <v>0.89581038679655856</v>
      </c>
      <c r="D196">
        <f t="shared" si="23"/>
        <v>2.0985915384503086E-3</v>
      </c>
      <c r="E196">
        <f t="shared" si="25"/>
        <v>2.4689312217062455E-3</v>
      </c>
    </row>
    <row r="197" spans="1:11">
      <c r="A197">
        <v>285</v>
      </c>
      <c r="B197">
        <v>0.87</v>
      </c>
      <c r="C197">
        <f t="shared" si="22"/>
        <v>0.92632764679159696</v>
      </c>
      <c r="D197">
        <f t="shared" si="23"/>
        <v>3.1728037930789038E-3</v>
      </c>
      <c r="E197">
        <f t="shared" si="25"/>
        <v>3.6469009115849471E-3</v>
      </c>
    </row>
    <row r="198" spans="1:11">
      <c r="A198">
        <v>300</v>
      </c>
      <c r="B198">
        <v>0.9</v>
      </c>
      <c r="C198">
        <f t="shared" si="22"/>
        <v>0.94745871903933254</v>
      </c>
      <c r="D198">
        <f t="shared" si="23"/>
        <v>2.252330012854303E-3</v>
      </c>
      <c r="E198">
        <f t="shared" si="25"/>
        <v>2.5025889031714478E-3</v>
      </c>
    </row>
    <row r="199" spans="1:11">
      <c r="D199">
        <f>SUM(D181:D198)</f>
        <v>1.2573679340244752E-2</v>
      </c>
      <c r="E199">
        <f>SUM(E181:E198)</f>
        <v>3.2484795854219754E-2</v>
      </c>
    </row>
    <row r="208" spans="1:11" ht="16.8">
      <c r="A208" s="1" t="s">
        <v>177</v>
      </c>
    </row>
    <row r="209" spans="1:11">
      <c r="B209" t="s">
        <v>171</v>
      </c>
    </row>
    <row r="210" spans="1:11">
      <c r="A210" t="s">
        <v>29</v>
      </c>
      <c r="B210" t="s">
        <v>43</v>
      </c>
      <c r="C210" t="s">
        <v>99</v>
      </c>
      <c r="D210" t="s">
        <v>139</v>
      </c>
    </row>
    <row r="211" spans="1:11">
      <c r="A211">
        <v>0</v>
      </c>
      <c r="B211">
        <v>0</v>
      </c>
      <c r="C211">
        <f>1-(1/(1+(($K$221*$K$220*A211)/($K$213*$K$219))^($K$212)))</f>
        <v>0</v>
      </c>
      <c r="D211">
        <f>(B211-C211)^2</f>
        <v>0</v>
      </c>
    </row>
    <row r="212" spans="1:11">
      <c r="A212">
        <v>20</v>
      </c>
      <c r="B212">
        <v>0</v>
      </c>
      <c r="C212">
        <f t="shared" ref="C212:C232" si="26">1-(1/(1+(($K$221*$K$220*A212)/($K$213*$K$219))^($K$212)))</f>
        <v>8.2156503822261584E-15</v>
      </c>
      <c r="D212">
        <f t="shared" ref="D212:D232" si="27">(B212-C212)^2</f>
        <v>6.7496911202972823E-29</v>
      </c>
      <c r="J212" t="s">
        <v>21</v>
      </c>
      <c r="K212">
        <v>11.761802019361401</v>
      </c>
    </row>
    <row r="213" spans="1:11">
      <c r="A213">
        <v>30</v>
      </c>
      <c r="B213">
        <v>0</v>
      </c>
      <c r="C213">
        <f t="shared" si="26"/>
        <v>9.6345154076971085E-13</v>
      </c>
      <c r="D213">
        <f t="shared" si="27"/>
        <v>9.282388714115298E-25</v>
      </c>
      <c r="J213" t="s">
        <v>103</v>
      </c>
      <c r="K213">
        <v>21020.969219362301</v>
      </c>
    </row>
    <row r="214" spans="1:11">
      <c r="A214">
        <v>40</v>
      </c>
      <c r="B214">
        <v>0</v>
      </c>
      <c r="C214">
        <f t="shared" si="26"/>
        <v>2.8403945862010005E-11</v>
      </c>
      <c r="D214">
        <f t="shared" si="27"/>
        <v>8.0678414053199528E-22</v>
      </c>
    </row>
    <row r="215" spans="1:11">
      <c r="A215">
        <v>50</v>
      </c>
      <c r="B215">
        <v>0</v>
      </c>
      <c r="C215">
        <f t="shared" si="26"/>
        <v>3.9193737144671559E-10</v>
      </c>
      <c r="D215">
        <f t="shared" si="27"/>
        <v>1.5361490313656071E-19</v>
      </c>
    </row>
    <row r="216" spans="1:11">
      <c r="A216">
        <v>60</v>
      </c>
      <c r="B216">
        <v>0</v>
      </c>
      <c r="C216">
        <f t="shared" si="26"/>
        <v>3.3460374471161458E-9</v>
      </c>
      <c r="D216">
        <f t="shared" si="27"/>
        <v>1.1195966597503534E-17</v>
      </c>
    </row>
    <row r="217" spans="1:11">
      <c r="A217">
        <v>80</v>
      </c>
      <c r="B217">
        <v>0</v>
      </c>
      <c r="C217">
        <f t="shared" si="26"/>
        <v>9.8635996925722225E-8</v>
      </c>
      <c r="D217">
        <f t="shared" si="27"/>
        <v>9.7290598895310841E-15</v>
      </c>
      <c r="G217" t="s">
        <v>100</v>
      </c>
      <c r="H217">
        <f>D233</f>
        <v>3.975144470975182E-4</v>
      </c>
    </row>
    <row r="218" spans="1:11">
      <c r="A218">
        <v>100</v>
      </c>
      <c r="B218">
        <v>0</v>
      </c>
      <c r="C218">
        <f t="shared" si="26"/>
        <v>1.3610412171738417E-6</v>
      </c>
      <c r="D218">
        <f t="shared" si="27"/>
        <v>1.8524331948460527E-12</v>
      </c>
    </row>
    <row r="219" spans="1:11">
      <c r="A219">
        <v>140</v>
      </c>
      <c r="B219">
        <v>0</v>
      </c>
      <c r="C219">
        <f t="shared" si="26"/>
        <v>7.1214751687254108E-5</v>
      </c>
      <c r="D219">
        <f t="shared" si="27"/>
        <v>5.0715408578772616E-9</v>
      </c>
      <c r="J219" t="s">
        <v>105</v>
      </c>
      <c r="K219">
        <v>12</v>
      </c>
    </row>
    <row r="220" spans="1:11">
      <c r="A220">
        <v>180</v>
      </c>
      <c r="B220">
        <v>0</v>
      </c>
      <c r="C220">
        <f t="shared" si="26"/>
        <v>1.3669180658928415E-3</v>
      </c>
      <c r="D220">
        <f t="shared" si="27"/>
        <v>1.8684649988642265E-6</v>
      </c>
      <c r="J220" t="s">
        <v>8</v>
      </c>
      <c r="K220">
        <v>8</v>
      </c>
    </row>
    <row r="221" spans="1:11">
      <c r="A221">
        <v>230</v>
      </c>
      <c r="B221">
        <v>0.02</v>
      </c>
      <c r="C221">
        <f t="shared" si="26"/>
        <v>2.3875274544656766E-2</v>
      </c>
      <c r="D221">
        <f t="shared" si="27"/>
        <v>1.5017752796464702E-5</v>
      </c>
      <c r="J221" t="s">
        <v>12</v>
      </c>
      <c r="K221">
        <v>100</v>
      </c>
    </row>
    <row r="222" spans="1:11">
      <c r="A222">
        <v>255</v>
      </c>
      <c r="B222">
        <v>0.08</v>
      </c>
      <c r="C222">
        <f t="shared" si="26"/>
        <v>7.60607171523352E-2</v>
      </c>
      <c r="D222">
        <f t="shared" si="27"/>
        <v>1.551794935390611E-5</v>
      </c>
      <c r="J222" t="s">
        <v>210</v>
      </c>
      <c r="K222">
        <v>0.28870000000000001</v>
      </c>
    </row>
    <row r="223" spans="1:11">
      <c r="A223">
        <v>280</v>
      </c>
      <c r="B223">
        <v>0.21</v>
      </c>
      <c r="C223">
        <f t="shared" si="26"/>
        <v>0.1982799678088939</v>
      </c>
      <c r="D223">
        <f t="shared" si="27"/>
        <v>1.3735915456056312E-4</v>
      </c>
      <c r="J223" t="s">
        <v>106</v>
      </c>
      <c r="K223">
        <v>23</v>
      </c>
    </row>
    <row r="224" spans="1:11">
      <c r="A224">
        <v>293</v>
      </c>
      <c r="B224">
        <v>0.3</v>
      </c>
      <c r="C224">
        <f t="shared" si="26"/>
        <v>0.29665169469976238</v>
      </c>
      <c r="D224">
        <f t="shared" si="27"/>
        <v>1.1211148383599261E-5</v>
      </c>
    </row>
    <row r="225" spans="1:5">
      <c r="A225">
        <v>300</v>
      </c>
      <c r="B225">
        <v>0.35</v>
      </c>
      <c r="C225">
        <f t="shared" si="26"/>
        <v>0.35764529455639271</v>
      </c>
      <c r="D225">
        <f t="shared" si="27"/>
        <v>5.8450528854008374E-5</v>
      </c>
    </row>
    <row r="226" spans="1:5">
      <c r="A226">
        <v>315</v>
      </c>
      <c r="B226">
        <v>0.49</v>
      </c>
      <c r="C226">
        <f t="shared" si="26"/>
        <v>0.49706535808680108</v>
      </c>
      <c r="D226">
        <f t="shared" si="27"/>
        <v>4.9919284894725528E-5</v>
      </c>
    </row>
    <row r="227" spans="1:5">
      <c r="A227">
        <v>337</v>
      </c>
      <c r="B227">
        <v>0.68</v>
      </c>
      <c r="C227">
        <f t="shared" si="26"/>
        <v>0.68617646198321025</v>
      </c>
      <c r="D227">
        <f t="shared" si="27"/>
        <v>3.8148682630040901E-5</v>
      </c>
    </row>
    <row r="228" spans="1:5">
      <c r="A228">
        <v>354</v>
      </c>
      <c r="B228">
        <v>0.8</v>
      </c>
      <c r="C228">
        <f t="shared" si="26"/>
        <v>0.79594639356110652</v>
      </c>
      <c r="D228">
        <f t="shared" si="27"/>
        <v>1.6431725161439003E-5</v>
      </c>
    </row>
    <row r="229" spans="1:5">
      <c r="A229">
        <v>362</v>
      </c>
      <c r="B229">
        <v>0.84</v>
      </c>
      <c r="C229">
        <f t="shared" si="26"/>
        <v>0.83534516069747577</v>
      </c>
      <c r="D229">
        <f t="shared" si="27"/>
        <v>2.1667528932323926E-5</v>
      </c>
    </row>
    <row r="230" spans="1:5">
      <c r="A230">
        <v>370</v>
      </c>
      <c r="B230">
        <v>0.87</v>
      </c>
      <c r="C230">
        <f t="shared" si="26"/>
        <v>0.86773655264320504</v>
      </c>
      <c r="D230">
        <f t="shared" si="27"/>
        <v>5.1231939369820749E-6</v>
      </c>
    </row>
    <row r="231" spans="1:5">
      <c r="A231">
        <v>375</v>
      </c>
      <c r="B231">
        <v>0.89</v>
      </c>
      <c r="C231">
        <f t="shared" si="26"/>
        <v>0.88482847956326216</v>
      </c>
      <c r="D231">
        <f t="shared" si="27"/>
        <v>2.6744623627597276E-5</v>
      </c>
    </row>
    <row r="232" spans="1:5">
      <c r="A232">
        <v>380</v>
      </c>
      <c r="B232">
        <v>0.9</v>
      </c>
      <c r="C232">
        <f t="shared" si="26"/>
        <v>0.89977788389528857</v>
      </c>
      <c r="D232">
        <f t="shared" si="27"/>
        <v>4.9335563972190551E-8</v>
      </c>
    </row>
    <row r="233" spans="1:5">
      <c r="D233">
        <f>SUM(D211:D232)</f>
        <v>3.975144470975182E-4</v>
      </c>
    </row>
    <row r="238" spans="1:5" ht="16.8">
      <c r="A238" s="2" t="s">
        <v>144</v>
      </c>
    </row>
    <row r="239" spans="1:5">
      <c r="B239" t="s">
        <v>171</v>
      </c>
    </row>
    <row r="240" spans="1:5">
      <c r="A240" t="s">
        <v>29</v>
      </c>
      <c r="B240" t="s">
        <v>43</v>
      </c>
      <c r="C240" t="s">
        <v>99</v>
      </c>
      <c r="D240" t="s">
        <v>120</v>
      </c>
      <c r="E240" t="s">
        <v>119</v>
      </c>
    </row>
    <row r="241" spans="1:11">
      <c r="A241">
        <v>0</v>
      </c>
      <c r="B241">
        <v>0</v>
      </c>
      <c r="C241">
        <f>1-(1/(1+(($K$251*$K$250*A241)/($K$243*$K$249))^($K$242)))</f>
        <v>0</v>
      </c>
      <c r="D241">
        <f>(B241-C241)^2</f>
        <v>0</v>
      </c>
      <c r="E241">
        <f>ABS(B241-C241)</f>
        <v>0</v>
      </c>
    </row>
    <row r="242" spans="1:11">
      <c r="A242">
        <v>20</v>
      </c>
      <c r="B242">
        <v>0</v>
      </c>
      <c r="C242">
        <f t="shared" ref="C242:C262" si="28">1-(1/(1+(($K$251*$K$250*A242)/($K$243*$K$249))^($K$242)))</f>
        <v>8.659739592076221E-15</v>
      </c>
      <c r="D242">
        <f t="shared" ref="D242:D262" si="29">(B242-C242)^2</f>
        <v>7.4991089802572435E-29</v>
      </c>
      <c r="E242">
        <f t="shared" ref="E242:E262" si="30">ABS(B242-C242)</f>
        <v>8.659739592076221E-15</v>
      </c>
      <c r="J242" t="s">
        <v>21</v>
      </c>
      <c r="K242">
        <v>11.7432315608877</v>
      </c>
    </row>
    <row r="243" spans="1:11">
      <c r="A243">
        <v>30</v>
      </c>
      <c r="B243">
        <v>0</v>
      </c>
      <c r="C243">
        <f t="shared" si="28"/>
        <v>1.021405182655144E-12</v>
      </c>
      <c r="D243">
        <f t="shared" si="29"/>
        <v>1.0432685471547881E-24</v>
      </c>
      <c r="E243">
        <f t="shared" si="30"/>
        <v>1.021405182655144E-12</v>
      </c>
      <c r="J243" t="s">
        <v>103</v>
      </c>
      <c r="K243">
        <v>20994.7914155322</v>
      </c>
    </row>
    <row r="244" spans="1:11">
      <c r="A244">
        <v>40</v>
      </c>
      <c r="B244">
        <v>0</v>
      </c>
      <c r="C244">
        <f t="shared" si="28"/>
        <v>2.9949376312288223E-11</v>
      </c>
      <c r="D244">
        <f t="shared" si="29"/>
        <v>8.9696514149505091E-22</v>
      </c>
      <c r="E244">
        <f t="shared" si="30"/>
        <v>2.9949376312288223E-11</v>
      </c>
    </row>
    <row r="245" spans="1:11">
      <c r="A245">
        <v>50</v>
      </c>
      <c r="B245">
        <v>0</v>
      </c>
      <c r="C245">
        <f t="shared" si="28"/>
        <v>4.1155123753355838E-10</v>
      </c>
      <c r="D245">
        <f t="shared" si="29"/>
        <v>1.6937442111540339E-19</v>
      </c>
      <c r="E245">
        <f t="shared" si="30"/>
        <v>4.1155123753355838E-10</v>
      </c>
    </row>
    <row r="246" spans="1:11">
      <c r="A246">
        <v>60</v>
      </c>
      <c r="B246">
        <v>0</v>
      </c>
      <c r="C246">
        <f t="shared" si="28"/>
        <v>3.5016090027539803E-9</v>
      </c>
      <c r="D246">
        <f t="shared" si="29"/>
        <v>1.2261265608167725E-17</v>
      </c>
      <c r="E246">
        <f t="shared" si="30"/>
        <v>3.5016090027539803E-9</v>
      </c>
      <c r="J246" t="s">
        <v>104</v>
      </c>
      <c r="K246">
        <f>1-(D263/E263)</f>
        <v>0.9921826346379915</v>
      </c>
    </row>
    <row r="247" spans="1:11">
      <c r="A247">
        <v>80</v>
      </c>
      <c r="B247">
        <v>0</v>
      </c>
      <c r="C247">
        <f t="shared" si="28"/>
        <v>1.0267202166236444E-7</v>
      </c>
      <c r="D247">
        <f t="shared" si="29"/>
        <v>1.0541544032237034E-14</v>
      </c>
      <c r="E247">
        <f t="shared" si="30"/>
        <v>1.0267202166236444E-7</v>
      </c>
      <c r="G247" t="s">
        <v>132</v>
      </c>
      <c r="H247">
        <f>E263</f>
        <v>5.9256700623700725E-2</v>
      </c>
    </row>
    <row r="248" spans="1:11">
      <c r="A248">
        <v>100</v>
      </c>
      <c r="B248">
        <v>0</v>
      </c>
      <c r="C248">
        <f t="shared" si="28"/>
        <v>1.4108741254181822E-6</v>
      </c>
      <c r="D248">
        <f t="shared" si="29"/>
        <v>1.9905657977745207E-12</v>
      </c>
      <c r="E248">
        <f t="shared" si="30"/>
        <v>1.4108741254181822E-6</v>
      </c>
    </row>
    <row r="249" spans="1:11">
      <c r="A249">
        <v>140</v>
      </c>
      <c r="B249">
        <v>0</v>
      </c>
      <c r="C249">
        <f t="shared" si="28"/>
        <v>7.3362205667670821E-5</v>
      </c>
      <c r="D249">
        <f t="shared" si="29"/>
        <v>5.3820132204256328E-9</v>
      </c>
      <c r="E249">
        <f t="shared" si="30"/>
        <v>7.3362205667670821E-5</v>
      </c>
      <c r="J249" t="s">
        <v>105</v>
      </c>
      <c r="K249">
        <v>12</v>
      </c>
    </row>
    <row r="250" spans="1:11">
      <c r="A250">
        <v>180</v>
      </c>
      <c r="B250">
        <v>0</v>
      </c>
      <c r="C250">
        <f t="shared" si="28"/>
        <v>1.4015348922836735E-3</v>
      </c>
      <c r="D250">
        <f t="shared" si="29"/>
        <v>1.9643000542886082E-6</v>
      </c>
      <c r="E250">
        <f t="shared" si="30"/>
        <v>1.4015348922836735E-3</v>
      </c>
      <c r="J250" t="s">
        <v>8</v>
      </c>
      <c r="K250">
        <v>8</v>
      </c>
    </row>
    <row r="251" spans="1:11">
      <c r="A251">
        <v>230</v>
      </c>
      <c r="B251">
        <v>0.02</v>
      </c>
      <c r="C251">
        <f t="shared" si="28"/>
        <v>2.4357533986250957E-2</v>
      </c>
      <c r="D251">
        <f t="shared" si="29"/>
        <v>1.8988102441332149E-5</v>
      </c>
      <c r="E251">
        <f t="shared" si="30"/>
        <v>4.3575339862509561E-3</v>
      </c>
      <c r="J251" t="s">
        <v>12</v>
      </c>
      <c r="K251">
        <v>100</v>
      </c>
    </row>
    <row r="252" spans="1:11">
      <c r="A252">
        <v>255</v>
      </c>
      <c r="B252">
        <v>0.08</v>
      </c>
      <c r="C252">
        <f t="shared" si="28"/>
        <v>7.7376465522162041E-2</v>
      </c>
      <c r="D252">
        <f t="shared" si="29"/>
        <v>6.8829331564044999E-6</v>
      </c>
      <c r="E252">
        <f t="shared" si="30"/>
        <v>2.6235344778379605E-3</v>
      </c>
      <c r="J252" t="s">
        <v>210</v>
      </c>
      <c r="K252">
        <v>0.28870000000000001</v>
      </c>
    </row>
    <row r="253" spans="1:11">
      <c r="A253">
        <v>280</v>
      </c>
      <c r="B253">
        <v>0.21</v>
      </c>
      <c r="C253">
        <f t="shared" si="28"/>
        <v>0.20097038486178653</v>
      </c>
      <c r="D253">
        <f t="shared" si="29"/>
        <v>8.1533949544253671E-5</v>
      </c>
      <c r="E253">
        <f t="shared" si="30"/>
        <v>9.0296151382134593E-3</v>
      </c>
      <c r="J253" t="s">
        <v>106</v>
      </c>
      <c r="K253">
        <v>23</v>
      </c>
    </row>
    <row r="254" spans="1:11">
      <c r="A254">
        <v>293</v>
      </c>
      <c r="B254">
        <v>0.3</v>
      </c>
      <c r="C254">
        <f t="shared" si="28"/>
        <v>0.30000011652083769</v>
      </c>
      <c r="D254">
        <f t="shared" si="29"/>
        <v>1.3577105618484743E-14</v>
      </c>
      <c r="E254">
        <f t="shared" si="30"/>
        <v>1.1652083770075095E-7</v>
      </c>
    </row>
    <row r="255" spans="1:11">
      <c r="A255">
        <v>300</v>
      </c>
      <c r="B255">
        <v>0.35</v>
      </c>
      <c r="C255">
        <f t="shared" si="28"/>
        <v>0.36122732140376312</v>
      </c>
      <c r="D255">
        <f t="shared" si="29"/>
        <v>1.2605274590339808E-4</v>
      </c>
      <c r="E255">
        <f t="shared" si="30"/>
        <v>1.1227321403763146E-2</v>
      </c>
    </row>
    <row r="256" spans="1:11">
      <c r="A256">
        <v>315</v>
      </c>
      <c r="B256">
        <v>0.49</v>
      </c>
      <c r="C256">
        <f t="shared" si="28"/>
        <v>0.50072825186778425</v>
      </c>
      <c r="D256">
        <f t="shared" si="29"/>
        <v>1.1509538813861636E-4</v>
      </c>
      <c r="E256">
        <f t="shared" si="30"/>
        <v>1.0728251867784255E-2</v>
      </c>
    </row>
    <row r="257" spans="1:11">
      <c r="A257">
        <v>337</v>
      </c>
      <c r="B257">
        <v>0.68</v>
      </c>
      <c r="C257">
        <f t="shared" si="28"/>
        <v>0.68905434644249586</v>
      </c>
      <c r="D257">
        <f t="shared" si="29"/>
        <v>8.19811895007365E-5</v>
      </c>
      <c r="E257">
        <f t="shared" si="30"/>
        <v>9.0543464424958087E-3</v>
      </c>
    </row>
    <row r="258" spans="1:11">
      <c r="A258">
        <v>354</v>
      </c>
      <c r="B258">
        <v>0.8</v>
      </c>
      <c r="C258">
        <f t="shared" si="28"/>
        <v>0.79796651614167102</v>
      </c>
      <c r="D258">
        <f t="shared" si="29"/>
        <v>4.1350566020846842E-6</v>
      </c>
      <c r="E258">
        <f t="shared" si="30"/>
        <v>2.0334838583290216E-3</v>
      </c>
    </row>
    <row r="259" spans="1:11">
      <c r="A259">
        <v>362</v>
      </c>
      <c r="B259">
        <v>0.84</v>
      </c>
      <c r="C259">
        <f t="shared" si="28"/>
        <v>0.83699847539500094</v>
      </c>
      <c r="D259">
        <f t="shared" si="29"/>
        <v>9.0091499544145739E-6</v>
      </c>
      <c r="E259">
        <f t="shared" si="30"/>
        <v>3.0015246049990285E-3</v>
      </c>
    </row>
    <row r="260" spans="1:11">
      <c r="A260">
        <v>370</v>
      </c>
      <c r="B260">
        <v>0.87</v>
      </c>
      <c r="C260">
        <f t="shared" si="28"/>
        <v>0.86906940000388389</v>
      </c>
      <c r="D260">
        <f t="shared" si="29"/>
        <v>8.6601635277130478E-7</v>
      </c>
      <c r="E260">
        <f t="shared" si="30"/>
        <v>9.3059999611611044E-4</v>
      </c>
    </row>
    <row r="261" spans="1:11">
      <c r="A261">
        <v>375</v>
      </c>
      <c r="B261">
        <v>0.89</v>
      </c>
      <c r="C261">
        <f t="shared" si="28"/>
        <v>0.88598653607875844</v>
      </c>
      <c r="D261">
        <f t="shared" si="29"/>
        <v>1.6107892647107822E-5</v>
      </c>
      <c r="E261">
        <f t="shared" si="30"/>
        <v>4.0134639212415779E-3</v>
      </c>
    </row>
    <row r="262" spans="1:11">
      <c r="A262">
        <v>380</v>
      </c>
      <c r="B262">
        <v>0.9</v>
      </c>
      <c r="C262">
        <f t="shared" si="28"/>
        <v>0.90078049381759362</v>
      </c>
      <c r="D262">
        <f t="shared" si="29"/>
        <v>6.0917059930182727E-7</v>
      </c>
      <c r="E262">
        <f t="shared" si="30"/>
        <v>7.8049381759359715E-4</v>
      </c>
    </row>
    <row r="263" spans="1:11">
      <c r="D263">
        <f>SUM(D241:D262)</f>
        <v>4.6323127892262744E-4</v>
      </c>
      <c r="E263">
        <f>SUM(E241:E262)</f>
        <v>5.9256700623700725E-2</v>
      </c>
    </row>
    <row r="268" spans="1:11" ht="16.8">
      <c r="A268" s="2" t="s">
        <v>125</v>
      </c>
    </row>
    <row r="269" spans="1:11">
      <c r="B269" t="s">
        <v>171</v>
      </c>
    </row>
    <row r="270" spans="1:11">
      <c r="A270" t="s">
        <v>29</v>
      </c>
      <c r="B270" t="s">
        <v>43</v>
      </c>
      <c r="C270" t="s">
        <v>99</v>
      </c>
      <c r="D270" t="s">
        <v>120</v>
      </c>
      <c r="E270" t="s">
        <v>220</v>
      </c>
    </row>
    <row r="271" spans="1:11">
      <c r="A271">
        <v>0</v>
      </c>
      <c r="B271">
        <v>0</v>
      </c>
      <c r="C271">
        <f>1-(1/(1+(($K$281*$K$280*A271)/($K$273*$K$279))^($K$272)))</f>
        <v>0</v>
      </c>
      <c r="D271">
        <f>(B271-C271)^2</f>
        <v>0</v>
      </c>
      <c r="E271">
        <v>0</v>
      </c>
    </row>
    <row r="272" spans="1:11">
      <c r="A272">
        <v>20</v>
      </c>
      <c r="B272">
        <v>0</v>
      </c>
      <c r="C272">
        <f t="shared" ref="C272:C292" si="31">1-(1/(1+(($K$281*$K$280*A272)/($K$273*$K$279))^($K$272)))</f>
        <v>7.9936057773011271E-15</v>
      </c>
      <c r="D272">
        <f t="shared" ref="D272:D292" si="32">(B272-C272)^2</f>
        <v>6.3897733322901956E-29</v>
      </c>
      <c r="E272">
        <v>0</v>
      </c>
      <c r="J272" t="s">
        <v>21</v>
      </c>
      <c r="K272">
        <v>11.7661546552942</v>
      </c>
    </row>
    <row r="273" spans="1:11">
      <c r="A273">
        <v>30</v>
      </c>
      <c r="B273">
        <v>0</v>
      </c>
      <c r="C273">
        <f t="shared" si="31"/>
        <v>9.5634611341210984E-13</v>
      </c>
      <c r="D273">
        <f t="shared" si="32"/>
        <v>9.1459788863844806E-25</v>
      </c>
      <c r="E273">
        <v>0</v>
      </c>
      <c r="J273" t="s">
        <v>103</v>
      </c>
      <c r="K273">
        <v>21015.939924550399</v>
      </c>
    </row>
    <row r="274" spans="1:11">
      <c r="A274">
        <v>40</v>
      </c>
      <c r="B274">
        <v>0</v>
      </c>
      <c r="C274">
        <f t="shared" si="31"/>
        <v>2.8229196757934005E-11</v>
      </c>
      <c r="D274">
        <f t="shared" si="32"/>
        <v>7.9688754959815176E-22</v>
      </c>
      <c r="E274">
        <v>0</v>
      </c>
    </row>
    <row r="275" spans="1:11">
      <c r="A275">
        <v>50</v>
      </c>
      <c r="B275">
        <v>0</v>
      </c>
      <c r="C275">
        <f t="shared" si="31"/>
        <v>3.8990455308862693E-10</v>
      </c>
      <c r="D275">
        <f t="shared" si="32"/>
        <v>1.5202556051924189E-19</v>
      </c>
      <c r="E275">
        <v>0</v>
      </c>
      <c r="G275" t="s">
        <v>134</v>
      </c>
      <c r="H275">
        <f>(100/21)*E293</f>
        <v>9.7050639918150813E-3</v>
      </c>
    </row>
    <row r="276" spans="1:11">
      <c r="A276">
        <v>60</v>
      </c>
      <c r="B276">
        <v>0</v>
      </c>
      <c r="C276">
        <f t="shared" si="31"/>
        <v>3.3313252156830231E-9</v>
      </c>
      <c r="D276">
        <f t="shared" si="32"/>
        <v>1.109772769264554E-17</v>
      </c>
      <c r="E276">
        <v>0</v>
      </c>
      <c r="J276" t="s">
        <v>104</v>
      </c>
      <c r="K276">
        <f>1-(D293/E293)</f>
        <v>0.8036579776170496</v>
      </c>
    </row>
    <row r="277" spans="1:11">
      <c r="A277">
        <v>80</v>
      </c>
      <c r="B277">
        <v>0</v>
      </c>
      <c r="C277">
        <f t="shared" si="31"/>
        <v>9.8325347308581001E-8</v>
      </c>
      <c r="D277">
        <f t="shared" si="32"/>
        <v>9.6678739233530777E-15</v>
      </c>
      <c r="E277">
        <v>0</v>
      </c>
    </row>
    <row r="278" spans="1:11">
      <c r="A278">
        <v>100</v>
      </c>
      <c r="B278">
        <v>0</v>
      </c>
      <c r="C278">
        <f t="shared" si="31"/>
        <v>1.3580730856554979E-6</v>
      </c>
      <c r="D278">
        <f t="shared" si="32"/>
        <v>1.8443625059818453E-12</v>
      </c>
      <c r="E278">
        <v>0</v>
      </c>
    </row>
    <row r="279" spans="1:11">
      <c r="A279">
        <v>140</v>
      </c>
      <c r="B279">
        <v>0</v>
      </c>
      <c r="C279">
        <f t="shared" si="31"/>
        <v>7.1163597142764878E-5</v>
      </c>
      <c r="D279">
        <f t="shared" si="32"/>
        <v>5.0642575582977334E-9</v>
      </c>
      <c r="E279">
        <v>0</v>
      </c>
      <c r="J279" t="s">
        <v>105</v>
      </c>
      <c r="K279">
        <v>12</v>
      </c>
    </row>
    <row r="280" spans="1:11">
      <c r="A280">
        <v>180</v>
      </c>
      <c r="B280">
        <v>0</v>
      </c>
      <c r="C280">
        <f t="shared" si="31"/>
        <v>1.3674304062616383E-3</v>
      </c>
      <c r="D280">
        <f t="shared" si="32"/>
        <v>1.8698659159688691E-6</v>
      </c>
      <c r="E280">
        <v>0</v>
      </c>
      <c r="J280" t="s">
        <v>8</v>
      </c>
      <c r="K280">
        <v>8</v>
      </c>
    </row>
    <row r="281" spans="1:11">
      <c r="A281">
        <v>230</v>
      </c>
      <c r="B281">
        <v>0.02</v>
      </c>
      <c r="C281">
        <f t="shared" si="31"/>
        <v>2.3908908130223505E-2</v>
      </c>
      <c r="D281">
        <f t="shared" si="32"/>
        <v>1.5279562770527415E-5</v>
      </c>
      <c r="E281">
        <f t="shared" ref="E281:E292" si="33">(B281-C281)^2/B281</f>
        <v>7.6397813852637072E-4</v>
      </c>
      <c r="J281" t="s">
        <v>12</v>
      </c>
      <c r="K281">
        <v>100</v>
      </c>
    </row>
    <row r="282" spans="1:11">
      <c r="A282">
        <v>255</v>
      </c>
      <c r="B282">
        <v>0.08</v>
      </c>
      <c r="C282">
        <f t="shared" si="31"/>
        <v>7.6193736444843507E-2</v>
      </c>
      <c r="D282">
        <f t="shared" si="32"/>
        <v>1.4487642251312556E-5</v>
      </c>
      <c r="E282">
        <f t="shared" si="33"/>
        <v>1.8109552814140695E-4</v>
      </c>
      <c r="J282" t="s">
        <v>210</v>
      </c>
      <c r="K282">
        <v>0.28870000000000001</v>
      </c>
    </row>
    <row r="283" spans="1:11">
      <c r="A283">
        <v>280</v>
      </c>
      <c r="B283">
        <v>0.21</v>
      </c>
      <c r="C283">
        <f t="shared" si="31"/>
        <v>0.1986455854751521</v>
      </c>
      <c r="D283">
        <f t="shared" si="32"/>
        <v>1.2892272920207685E-4</v>
      </c>
      <c r="E283">
        <f t="shared" si="33"/>
        <v>6.1391775810512789E-4</v>
      </c>
      <c r="J283" t="s">
        <v>106</v>
      </c>
      <c r="K283">
        <v>23</v>
      </c>
    </row>
    <row r="284" spans="1:11">
      <c r="A284">
        <v>293</v>
      </c>
      <c r="B284">
        <v>0.3</v>
      </c>
      <c r="C284">
        <f t="shared" si="31"/>
        <v>0.29717273331766259</v>
      </c>
      <c r="D284">
        <f t="shared" si="32"/>
        <v>7.9934368930551498E-6</v>
      </c>
      <c r="E284">
        <f t="shared" si="33"/>
        <v>2.6644789643517167E-5</v>
      </c>
    </row>
    <row r="285" spans="1:11">
      <c r="A285">
        <v>300</v>
      </c>
      <c r="B285">
        <v>0.35</v>
      </c>
      <c r="C285">
        <f t="shared" si="31"/>
        <v>0.35824252671946355</v>
      </c>
      <c r="D285">
        <f t="shared" si="32"/>
        <v>6.7939246721070916E-5</v>
      </c>
      <c r="E285">
        <f t="shared" si="33"/>
        <v>1.9411213348877404E-4</v>
      </c>
    </row>
    <row r="286" spans="1:11">
      <c r="A286">
        <v>315</v>
      </c>
      <c r="B286">
        <v>0.49</v>
      </c>
      <c r="C286">
        <f t="shared" si="31"/>
        <v>0.49776810442537456</v>
      </c>
      <c r="D286">
        <f t="shared" si="32"/>
        <v>6.034344636352393E-5</v>
      </c>
      <c r="E286">
        <f t="shared" si="33"/>
        <v>1.2314989053780395E-4</v>
      </c>
    </row>
    <row r="287" spans="1:11">
      <c r="A287">
        <v>337</v>
      </c>
      <c r="B287">
        <v>0.68</v>
      </c>
      <c r="C287">
        <f t="shared" si="31"/>
        <v>0.68684468098667506</v>
      </c>
      <c r="D287">
        <f t="shared" si="32"/>
        <v>4.6849657809350405E-5</v>
      </c>
      <c r="E287">
        <f t="shared" si="33"/>
        <v>6.8896555601985886E-5</v>
      </c>
    </row>
    <row r="288" spans="1:11">
      <c r="A288">
        <v>354</v>
      </c>
      <c r="B288">
        <v>0.8</v>
      </c>
      <c r="C288">
        <f t="shared" si="31"/>
        <v>0.79648494122389657</v>
      </c>
      <c r="D288">
        <f t="shared" si="32"/>
        <v>1.2355638199462057E-5</v>
      </c>
      <c r="E288">
        <f t="shared" si="33"/>
        <v>1.5444547749327571E-5</v>
      </c>
    </row>
    <row r="289" spans="1:5">
      <c r="A289">
        <v>362</v>
      </c>
      <c r="B289">
        <v>0.84</v>
      </c>
      <c r="C289">
        <f t="shared" si="31"/>
        <v>0.835814524995519</v>
      </c>
      <c r="D289">
        <f t="shared" si="32"/>
        <v>1.7518201013134937E-5</v>
      </c>
      <c r="E289">
        <f t="shared" si="33"/>
        <v>2.0855001206113022E-5</v>
      </c>
    </row>
    <row r="290" spans="1:5">
      <c r="A290">
        <v>370</v>
      </c>
      <c r="B290">
        <v>0.87</v>
      </c>
      <c r="C290">
        <f t="shared" si="31"/>
        <v>0.86813905041707828</v>
      </c>
      <c r="D290">
        <f t="shared" si="32"/>
        <v>3.463133350176492E-6</v>
      </c>
      <c r="E290">
        <f t="shared" si="33"/>
        <v>3.9806130461798757E-6</v>
      </c>
    </row>
    <row r="291" spans="1:5">
      <c r="A291">
        <v>375</v>
      </c>
      <c r="B291">
        <v>0.89</v>
      </c>
      <c r="C291">
        <f t="shared" si="31"/>
        <v>0.88519178388604025</v>
      </c>
      <c r="D291">
        <f t="shared" si="32"/>
        <v>2.3118942198542319E-5</v>
      </c>
      <c r="E291">
        <f t="shared" si="33"/>
        <v>2.5976339548923954E-5</v>
      </c>
    </row>
    <row r="292" spans="1:5">
      <c r="A292">
        <v>380</v>
      </c>
      <c r="B292">
        <v>0.9</v>
      </c>
      <c r="C292">
        <f t="shared" si="31"/>
        <v>0.90010453906959553</v>
      </c>
      <c r="D292">
        <f t="shared" si="32"/>
        <v>1.0928417071895014E-8</v>
      </c>
      <c r="E292">
        <f t="shared" si="33"/>
        <v>1.2142685635438905E-8</v>
      </c>
    </row>
    <row r="293" spans="1:5">
      <c r="D293">
        <f>SUM(D271:D292)</f>
        <v>4.0015749721687374E-4</v>
      </c>
      <c r="E293">
        <f>SUM(E271:E292)</f>
        <v>2.0380634382811671E-3</v>
      </c>
    </row>
    <row r="308" spans="1:11" ht="16.8">
      <c r="A308" s="3" t="s">
        <v>263</v>
      </c>
    </row>
    <row r="309" spans="1:11">
      <c r="B309" t="s">
        <v>171</v>
      </c>
    </row>
    <row r="310" spans="1:11">
      <c r="A310" t="s">
        <v>29</v>
      </c>
      <c r="B310" t="s">
        <v>43</v>
      </c>
      <c r="C310" t="s">
        <v>99</v>
      </c>
      <c r="D310" t="s">
        <v>120</v>
      </c>
      <c r="E310" t="s">
        <v>119</v>
      </c>
    </row>
    <row r="311" spans="1:11">
      <c r="A311">
        <v>0</v>
      </c>
      <c r="B311">
        <v>0</v>
      </c>
      <c r="C311">
        <f>1-(1/(1+(($K$321*$K$320*A311)/($K$313*$K$319))^($K$312)))</f>
        <v>0</v>
      </c>
      <c r="D311">
        <f>(B311-C311)^2</f>
        <v>0</v>
      </c>
      <c r="E311">
        <v>0</v>
      </c>
    </row>
    <row r="312" spans="1:11">
      <c r="A312">
        <v>20</v>
      </c>
      <c r="B312">
        <v>0</v>
      </c>
      <c r="C312">
        <f t="shared" ref="C312:C332" si="34">1-(1/(1+(($K$321*$K$320*A312)/($K$313*$K$319))^($K$312)))</f>
        <v>2.2204460492503131E-15</v>
      </c>
      <c r="D312">
        <f t="shared" ref="D312:D332" si="35">(B312-C312)^2</f>
        <v>4.9303806576313238E-30</v>
      </c>
      <c r="E312">
        <v>0</v>
      </c>
      <c r="J312" t="s">
        <v>21</v>
      </c>
      <c r="K312">
        <v>12.2411999478288</v>
      </c>
    </row>
    <row r="313" spans="1:11">
      <c r="A313">
        <v>30</v>
      </c>
      <c r="B313">
        <v>0</v>
      </c>
      <c r="C313">
        <f t="shared" si="34"/>
        <v>3.2573943542502093E-13</v>
      </c>
      <c r="D313">
        <f t="shared" si="35"/>
        <v>1.0610617979101138E-25</v>
      </c>
      <c r="E313">
        <v>0</v>
      </c>
      <c r="J313" t="s">
        <v>103</v>
      </c>
      <c r="K313">
        <v>20947.142853152902</v>
      </c>
    </row>
    <row r="314" spans="1:11">
      <c r="A314">
        <v>40</v>
      </c>
      <c r="B314">
        <v>0</v>
      </c>
      <c r="C314">
        <f t="shared" si="34"/>
        <v>1.1020961920849004E-11</v>
      </c>
      <c r="D314">
        <f t="shared" si="35"/>
        <v>1.2146160166080377E-22</v>
      </c>
      <c r="E314">
        <v>0</v>
      </c>
    </row>
    <row r="315" spans="1:11">
      <c r="A315">
        <v>50</v>
      </c>
      <c r="B315">
        <v>0</v>
      </c>
      <c r="C315">
        <f t="shared" si="34"/>
        <v>1.6924284196306871E-10</v>
      </c>
      <c r="D315">
        <f t="shared" si="35"/>
        <v>2.8643139555736252E-20</v>
      </c>
      <c r="E315">
        <v>0</v>
      </c>
    </row>
    <row r="316" spans="1:11">
      <c r="A316">
        <v>60</v>
      </c>
      <c r="B316">
        <v>0</v>
      </c>
      <c r="C316">
        <f t="shared" si="34"/>
        <v>1.5768266692361976E-9</v>
      </c>
      <c r="D316">
        <f t="shared" si="35"/>
        <v>2.486382344814521E-18</v>
      </c>
      <c r="E316">
        <v>0</v>
      </c>
      <c r="G316" t="s">
        <v>121</v>
      </c>
      <c r="H316">
        <f>(100)*(1/21)^0.5*F323^0.5</f>
        <v>0.14120116689954024</v>
      </c>
    </row>
    <row r="317" spans="1:11">
      <c r="A317">
        <v>80</v>
      </c>
      <c r="B317">
        <v>0</v>
      </c>
      <c r="C317">
        <f t="shared" si="34"/>
        <v>5.3356090656819788E-8</v>
      </c>
      <c r="D317">
        <f t="shared" si="35"/>
        <v>2.8468724101787717E-15</v>
      </c>
      <c r="E317">
        <v>0</v>
      </c>
    </row>
    <row r="318" spans="1:11">
      <c r="A318">
        <v>100</v>
      </c>
      <c r="B318">
        <v>0</v>
      </c>
      <c r="C318">
        <f t="shared" si="34"/>
        <v>8.193670885114912E-7</v>
      </c>
      <c r="D318">
        <f t="shared" si="35"/>
        <v>6.7136242573579782E-13</v>
      </c>
      <c r="E318">
        <v>0</v>
      </c>
    </row>
    <row r="319" spans="1:11">
      <c r="A319">
        <v>140</v>
      </c>
      <c r="B319">
        <v>0</v>
      </c>
      <c r="C319">
        <f t="shared" si="34"/>
        <v>5.037783443906374E-5</v>
      </c>
      <c r="D319">
        <f t="shared" si="35"/>
        <v>2.5379262027697164E-9</v>
      </c>
      <c r="E319">
        <v>0</v>
      </c>
      <c r="J319" t="s">
        <v>105</v>
      </c>
      <c r="K319">
        <v>12</v>
      </c>
    </row>
    <row r="320" spans="1:11">
      <c r="A320">
        <v>180</v>
      </c>
      <c r="B320">
        <v>0</v>
      </c>
      <c r="C320">
        <f t="shared" si="34"/>
        <v>1.0910547637890122E-3</v>
      </c>
      <c r="D320">
        <f t="shared" si="35"/>
        <v>1.1904004975866972E-6</v>
      </c>
      <c r="E320">
        <v>0</v>
      </c>
      <c r="J320" t="s">
        <v>8</v>
      </c>
      <c r="K320">
        <v>8</v>
      </c>
    </row>
    <row r="321" spans="1:11">
      <c r="A321">
        <v>230</v>
      </c>
      <c r="B321">
        <v>0.02</v>
      </c>
      <c r="C321">
        <f t="shared" si="34"/>
        <v>2.1479858122383177E-2</v>
      </c>
      <c r="D321">
        <f t="shared" si="35"/>
        <v>2.1899800623834625E-6</v>
      </c>
      <c r="E321">
        <f>(B321-C321)^2/B321^2</f>
        <v>5.4749501559586558E-3</v>
      </c>
      <c r="J321" t="s">
        <v>12</v>
      </c>
      <c r="K321">
        <v>100</v>
      </c>
    </row>
    <row r="322" spans="1:11">
      <c r="A322">
        <v>255</v>
      </c>
      <c r="B322">
        <v>0.08</v>
      </c>
      <c r="C322">
        <f t="shared" si="34"/>
        <v>7.2036007055031104E-2</v>
      </c>
      <c r="D322">
        <f t="shared" si="35"/>
        <v>6.3425183627514382E-5</v>
      </c>
      <c r="E322">
        <f t="shared" ref="E322:E332" si="36">(B322-C322)^2/B322^2</f>
        <v>9.910184941799122E-3</v>
      </c>
      <c r="J322" t="s">
        <v>210</v>
      </c>
      <c r="K322">
        <v>0.28870000000000001</v>
      </c>
    </row>
    <row r="323" spans="1:11">
      <c r="A323">
        <v>280</v>
      </c>
      <c r="B323">
        <v>0.21</v>
      </c>
      <c r="C323">
        <f t="shared" si="34"/>
        <v>0.19608336699678619</v>
      </c>
      <c r="D323">
        <f t="shared" si="35"/>
        <v>1.9367267414613961E-4</v>
      </c>
      <c r="E323">
        <f t="shared" si="36"/>
        <v>4.3916706155587223E-3</v>
      </c>
      <c r="F323">
        <f>D333/B333^2</f>
        <v>4.1869316020962818E-5</v>
      </c>
      <c r="J323" t="s">
        <v>106</v>
      </c>
      <c r="K323">
        <v>23</v>
      </c>
    </row>
    <row r="324" spans="1:11">
      <c r="A324">
        <v>293</v>
      </c>
      <c r="B324">
        <v>0.3</v>
      </c>
      <c r="C324">
        <f t="shared" si="34"/>
        <v>0.29829854664313149</v>
      </c>
      <c r="D324">
        <f t="shared" si="35"/>
        <v>2.8949435255990825E-6</v>
      </c>
      <c r="E324">
        <f t="shared" si="36"/>
        <v>3.2166039173323138E-5</v>
      </c>
    </row>
    <row r="325" spans="1:11">
      <c r="A325">
        <v>300</v>
      </c>
      <c r="B325">
        <v>0.35</v>
      </c>
      <c r="C325">
        <f t="shared" si="34"/>
        <v>0.36206789076290435</v>
      </c>
      <c r="D325">
        <f t="shared" si="35"/>
        <v>1.4563398746539276E-4</v>
      </c>
      <c r="E325">
        <f t="shared" si="36"/>
        <v>1.1888488772685126E-3</v>
      </c>
    </row>
    <row r="326" spans="1:11">
      <c r="A326">
        <v>315</v>
      </c>
      <c r="B326">
        <v>0.49</v>
      </c>
      <c r="C326">
        <f t="shared" si="34"/>
        <v>0.50771189513723425</v>
      </c>
      <c r="D326">
        <f t="shared" si="35"/>
        <v>3.1371122935238251E-4</v>
      </c>
      <c r="E326">
        <f t="shared" si="36"/>
        <v>1.3065857115884321E-3</v>
      </c>
    </row>
    <row r="327" spans="1:11">
      <c r="A327">
        <v>337</v>
      </c>
      <c r="B327">
        <v>0.68</v>
      </c>
      <c r="C327">
        <f t="shared" si="34"/>
        <v>0.70208724550427393</v>
      </c>
      <c r="D327">
        <f t="shared" si="35"/>
        <v>4.8784641396606662E-4</v>
      </c>
      <c r="E327">
        <f t="shared" si="36"/>
        <v>1.0550311720719432E-3</v>
      </c>
    </row>
    <row r="328" spans="1:11">
      <c r="A328">
        <v>354</v>
      </c>
      <c r="B328">
        <v>0.8</v>
      </c>
      <c r="C328">
        <f t="shared" si="34"/>
        <v>0.81148605315892697</v>
      </c>
      <c r="D328">
        <f t="shared" si="35"/>
        <v>1.3192941716969514E-4</v>
      </c>
      <c r="E328">
        <f t="shared" si="36"/>
        <v>2.0613971432764861E-4</v>
      </c>
    </row>
    <row r="329" spans="1:11">
      <c r="A329">
        <v>362</v>
      </c>
      <c r="B329">
        <v>0.84</v>
      </c>
      <c r="C329">
        <f t="shared" si="34"/>
        <v>0.84982803662346684</v>
      </c>
      <c r="D329">
        <f t="shared" si="35"/>
        <v>9.6590303872206147E-5</v>
      </c>
      <c r="E329">
        <f t="shared" si="36"/>
        <v>1.3689102022704954E-4</v>
      </c>
    </row>
    <row r="330" spans="1:11">
      <c r="A330">
        <v>370</v>
      </c>
      <c r="B330">
        <v>0.87</v>
      </c>
      <c r="C330">
        <f t="shared" si="34"/>
        <v>0.88088428166603849</v>
      </c>
      <c r="D330">
        <f t="shared" si="35"/>
        <v>1.1846758738566177E-4</v>
      </c>
      <c r="E330">
        <f t="shared" si="36"/>
        <v>1.5651682835997064E-4</v>
      </c>
    </row>
    <row r="331" spans="1:11">
      <c r="A331">
        <v>375</v>
      </c>
      <c r="B331">
        <v>0.89</v>
      </c>
      <c r="C331">
        <f t="shared" si="34"/>
        <v>0.89707553531018769</v>
      </c>
      <c r="D331">
        <f t="shared" si="35"/>
        <v>5.00631999257126E-5</v>
      </c>
      <c r="E331">
        <f t="shared" si="36"/>
        <v>6.3203130824028027E-5</v>
      </c>
    </row>
    <row r="332" spans="1:11">
      <c r="A332">
        <v>380</v>
      </c>
      <c r="B332">
        <v>0.9</v>
      </c>
      <c r="C332">
        <f t="shared" si="34"/>
        <v>0.9111114726457995</v>
      </c>
      <c r="D332">
        <f t="shared" si="35"/>
        <v>1.2346482435835011E-4</v>
      </c>
      <c r="E332">
        <f t="shared" si="36"/>
        <v>1.5242570908438282E-4</v>
      </c>
    </row>
    <row r="333" spans="1:11">
      <c r="B333">
        <f>SUM(B311:B332)</f>
        <v>6.43</v>
      </c>
      <c r="D333">
        <f>SUM(D311:D332)</f>
        <v>1.7310826839551053E-3</v>
      </c>
      <c r="E333">
        <f>SUM(E311:E332)</f>
        <v>2.4074613916241792E-2</v>
      </c>
    </row>
    <row r="338" spans="1:11" ht="16.8">
      <c r="A338" s="2" t="s">
        <v>109</v>
      </c>
    </row>
    <row r="339" spans="1:11">
      <c r="B339" t="s">
        <v>53</v>
      </c>
    </row>
    <row r="340" spans="1:11">
      <c r="A340" t="s">
        <v>29</v>
      </c>
      <c r="B340" t="s">
        <v>43</v>
      </c>
      <c r="C340" t="s">
        <v>99</v>
      </c>
      <c r="D340" t="s">
        <v>120</v>
      </c>
    </row>
    <row r="341" spans="1:11">
      <c r="A341">
        <v>0</v>
      </c>
      <c r="B341">
        <v>0</v>
      </c>
      <c r="C341">
        <f>1-(1/(1+(($K$351*$K$350*A341)/($K$343*$K$349))^($K$342)))</f>
        <v>0</v>
      </c>
      <c r="D341">
        <f>(B341-C341)^2</f>
        <v>0</v>
      </c>
    </row>
    <row r="342" spans="1:11">
      <c r="A342">
        <v>20</v>
      </c>
      <c r="B342">
        <v>0</v>
      </c>
      <c r="C342">
        <f t="shared" ref="C342:C358" si="37">1-(1/(1+(($K$351*$K$350*A342)/($K$343*$K$349))^($K$342)))</f>
        <v>3.2887665035730151E-8</v>
      </c>
      <c r="D342">
        <f t="shared" ref="D342:D358" si="38">(B342-C342)^2</f>
        <v>1.0815985115023875E-15</v>
      </c>
      <c r="J342" t="s">
        <v>21</v>
      </c>
      <c r="K342">
        <v>6.9259379404720596</v>
      </c>
    </row>
    <row r="343" spans="1:11">
      <c r="A343">
        <v>30</v>
      </c>
      <c r="B343">
        <v>0</v>
      </c>
      <c r="C343">
        <f t="shared" si="37"/>
        <v>5.4529303472605761E-7</v>
      </c>
      <c r="D343">
        <f t="shared" si="38"/>
        <v>2.9734449372075347E-13</v>
      </c>
      <c r="J343" t="s">
        <v>103</v>
      </c>
      <c r="K343">
        <v>24068.9144823194</v>
      </c>
    </row>
    <row r="344" spans="1:11">
      <c r="A344">
        <v>40</v>
      </c>
      <c r="B344">
        <v>0</v>
      </c>
      <c r="C344">
        <f t="shared" si="37"/>
        <v>3.9989537972129341E-6</v>
      </c>
      <c r="D344">
        <f t="shared" si="38"/>
        <v>1.5991631472243744E-11</v>
      </c>
    </row>
    <row r="345" spans="1:11">
      <c r="A345">
        <v>50</v>
      </c>
      <c r="B345">
        <v>0</v>
      </c>
      <c r="C345">
        <f t="shared" si="37"/>
        <v>1.8755675642356806E-5</v>
      </c>
      <c r="D345">
        <f t="shared" si="38"/>
        <v>3.5177536880129639E-10</v>
      </c>
    </row>
    <row r="346" spans="1:11">
      <c r="A346">
        <v>60</v>
      </c>
      <c r="B346">
        <v>0</v>
      </c>
      <c r="C346">
        <f t="shared" si="37"/>
        <v>6.630044760047582E-5</v>
      </c>
      <c r="D346">
        <f t="shared" si="38"/>
        <v>4.3957493520234397E-9</v>
      </c>
      <c r="G346" t="s">
        <v>100</v>
      </c>
      <c r="H346">
        <f>D359</f>
        <v>9.2250416308330347E-4</v>
      </c>
    </row>
    <row r="347" spans="1:11">
      <c r="A347">
        <v>90</v>
      </c>
      <c r="B347">
        <v>0</v>
      </c>
      <c r="C347">
        <f t="shared" si="37"/>
        <v>1.0981589385600232E-3</v>
      </c>
      <c r="D347">
        <f t="shared" si="38"/>
        <v>1.2059530543392769E-6</v>
      </c>
    </row>
    <row r="348" spans="1:11">
      <c r="A348">
        <v>150</v>
      </c>
      <c r="B348">
        <v>0.02</v>
      </c>
      <c r="C348">
        <f t="shared" si="37"/>
        <v>3.6436237005007976E-2</v>
      </c>
      <c r="D348">
        <f t="shared" si="38"/>
        <v>2.7014988688479354E-4</v>
      </c>
    </row>
    <row r="349" spans="1:11">
      <c r="A349">
        <v>210</v>
      </c>
      <c r="B349">
        <v>0.28999999999999998</v>
      </c>
      <c r="C349">
        <f t="shared" si="37"/>
        <v>0.27995415356537723</v>
      </c>
      <c r="D349">
        <f t="shared" si="38"/>
        <v>1.0091903058802265E-4</v>
      </c>
      <c r="J349" t="s">
        <v>105</v>
      </c>
      <c r="K349">
        <v>4</v>
      </c>
    </row>
    <row r="350" spans="1:11">
      <c r="A350">
        <v>235</v>
      </c>
      <c r="B350">
        <v>0.45</v>
      </c>
      <c r="C350">
        <f t="shared" si="37"/>
        <v>0.458676102262352</v>
      </c>
      <c r="D350">
        <f t="shared" si="38"/>
        <v>7.5274750466789364E-5</v>
      </c>
      <c r="J350" t="s">
        <v>8</v>
      </c>
      <c r="K350">
        <v>4</v>
      </c>
    </row>
    <row r="351" spans="1:11">
      <c r="A351">
        <v>260</v>
      </c>
      <c r="B351">
        <v>0.63</v>
      </c>
      <c r="C351">
        <f t="shared" si="37"/>
        <v>0.63053483208358296</v>
      </c>
      <c r="D351">
        <f t="shared" si="38"/>
        <v>2.8604535762968921E-7</v>
      </c>
      <c r="J351" t="s">
        <v>12</v>
      </c>
      <c r="K351">
        <v>100</v>
      </c>
    </row>
    <row r="352" spans="1:11">
      <c r="A352">
        <v>280</v>
      </c>
      <c r="B352">
        <v>0.74</v>
      </c>
      <c r="C352">
        <f t="shared" si="37"/>
        <v>0.74034820651731514</v>
      </c>
      <c r="D352">
        <f t="shared" si="38"/>
        <v>1.2124777870074775E-7</v>
      </c>
      <c r="J352" t="s">
        <v>210</v>
      </c>
      <c r="K352">
        <v>0.14430000000000001</v>
      </c>
    </row>
    <row r="353" spans="1:11">
      <c r="A353">
        <v>290</v>
      </c>
      <c r="B353">
        <v>0.79</v>
      </c>
      <c r="C353">
        <f t="shared" si="37"/>
        <v>0.78428585739045431</v>
      </c>
      <c r="D353">
        <f t="shared" si="38"/>
        <v>3.2651425762226029E-5</v>
      </c>
      <c r="J353" t="s">
        <v>106</v>
      </c>
      <c r="K353">
        <v>18</v>
      </c>
    </row>
    <row r="354" spans="1:11">
      <c r="A354">
        <v>300</v>
      </c>
      <c r="B354">
        <v>0.83</v>
      </c>
      <c r="C354">
        <f t="shared" si="37"/>
        <v>0.82136448954505903</v>
      </c>
      <c r="D354">
        <f t="shared" si="38"/>
        <v>7.4572040817394132E-5</v>
      </c>
    </row>
    <row r="355" spans="1:11">
      <c r="A355">
        <v>315</v>
      </c>
      <c r="B355">
        <v>0.87</v>
      </c>
      <c r="C355">
        <f t="shared" si="37"/>
        <v>0.86570869836543063</v>
      </c>
      <c r="D355">
        <f t="shared" si="38"/>
        <v>1.8415269718857718E-5</v>
      </c>
    </row>
    <row r="356" spans="1:11">
      <c r="A356">
        <v>320</v>
      </c>
      <c r="B356">
        <v>0.88</v>
      </c>
      <c r="C356">
        <f t="shared" si="37"/>
        <v>0.87789110012871563</v>
      </c>
      <c r="D356">
        <f t="shared" si="38"/>
        <v>4.4474586671032553E-6</v>
      </c>
    </row>
    <row r="357" spans="1:11">
      <c r="A357">
        <v>330</v>
      </c>
      <c r="B357">
        <v>0.89</v>
      </c>
      <c r="C357">
        <f t="shared" si="37"/>
        <v>0.89896089217533182</v>
      </c>
      <c r="D357">
        <f t="shared" si="38"/>
        <v>8.0297588577922722E-5</v>
      </c>
    </row>
    <row r="358" spans="1:11">
      <c r="A358">
        <v>340</v>
      </c>
      <c r="B358">
        <v>0.9</v>
      </c>
      <c r="C358">
        <f t="shared" si="37"/>
        <v>0.91625295977952159</v>
      </c>
      <c r="D358">
        <f t="shared" si="38"/>
        <v>2.6415870159474586E-4</v>
      </c>
    </row>
    <row r="359" spans="1:11">
      <c r="D359">
        <f>SUM(D341:D358)</f>
        <v>9.2250416308330347E-4</v>
      </c>
    </row>
    <row r="365" spans="1:11" ht="16.8">
      <c r="A365" s="2" t="s">
        <v>264</v>
      </c>
    </row>
    <row r="366" spans="1:11">
      <c r="B366" t="s">
        <v>53</v>
      </c>
    </row>
    <row r="367" spans="1:11">
      <c r="A367" t="s">
        <v>29</v>
      </c>
      <c r="B367" t="s">
        <v>43</v>
      </c>
      <c r="C367" t="s">
        <v>99</v>
      </c>
      <c r="D367" t="s">
        <v>120</v>
      </c>
      <c r="E367" t="s">
        <v>137</v>
      </c>
    </row>
    <row r="368" spans="1:11">
      <c r="A368">
        <v>0</v>
      </c>
      <c r="B368">
        <v>0</v>
      </c>
      <c r="C368">
        <f>1-(1/(1+(($K$378*$K$377*A368)/($K$370*$K$376))^($K$369)))</f>
        <v>0</v>
      </c>
      <c r="D368">
        <f>(B368-C368)^2</f>
        <v>0</v>
      </c>
      <c r="E368">
        <f>ABS(B368-C368)</f>
        <v>0</v>
      </c>
    </row>
    <row r="369" spans="1:11">
      <c r="A369">
        <v>20</v>
      </c>
      <c r="B369">
        <v>0</v>
      </c>
      <c r="C369">
        <f t="shared" ref="C369:C385" si="39">1-(1/(1+(($K$378*$K$377*A369)/($K$370*$K$376))^($K$369)))</f>
        <v>2.2134698962616994E-8</v>
      </c>
      <c r="D369">
        <f t="shared" ref="D369:D385" si="40">(B369-C369)^2</f>
        <v>4.8994489816567784E-16</v>
      </c>
      <c r="E369">
        <f t="shared" ref="E369:E385" si="41">ABS(B369-C369)</f>
        <v>2.2134698962616994E-8</v>
      </c>
      <c r="J369" t="s">
        <v>21</v>
      </c>
      <c r="K369">
        <v>7.0794131335452404</v>
      </c>
    </row>
    <row r="370" spans="1:11">
      <c r="A370">
        <v>30</v>
      </c>
      <c r="B370">
        <v>0</v>
      </c>
      <c r="C370">
        <f t="shared" si="39"/>
        <v>3.9056761469424828E-7</v>
      </c>
      <c r="D370">
        <f t="shared" si="40"/>
        <v>1.5254306164795479E-13</v>
      </c>
      <c r="E370">
        <f t="shared" si="41"/>
        <v>3.9056761469424828E-7</v>
      </c>
      <c r="J370" t="s">
        <v>103</v>
      </c>
      <c r="K370">
        <v>24117.035069923299</v>
      </c>
    </row>
    <row r="371" spans="1:11">
      <c r="A371">
        <v>40</v>
      </c>
      <c r="B371">
        <v>0</v>
      </c>
      <c r="C371">
        <f t="shared" si="39"/>
        <v>2.9935604445308073E-6</v>
      </c>
      <c r="D371">
        <f t="shared" si="40"/>
        <v>8.9614041350594849E-12</v>
      </c>
      <c r="E371">
        <f t="shared" si="41"/>
        <v>2.9935604445308073E-6</v>
      </c>
    </row>
    <row r="372" spans="1:11">
      <c r="A372">
        <v>50</v>
      </c>
      <c r="B372">
        <v>0</v>
      </c>
      <c r="C372">
        <f t="shared" si="39"/>
        <v>1.4529445507949212E-5</v>
      </c>
      <c r="D372">
        <f t="shared" si="40"/>
        <v>2.1110478676846556E-10</v>
      </c>
      <c r="E372">
        <f t="shared" si="41"/>
        <v>1.4529445507949212E-5</v>
      </c>
      <c r="G372" t="s">
        <v>132</v>
      </c>
      <c r="H372">
        <f>E386</f>
        <v>8.037948645735106E-2</v>
      </c>
    </row>
    <row r="373" spans="1:11">
      <c r="A373">
        <v>60</v>
      </c>
      <c r="B373">
        <v>0</v>
      </c>
      <c r="C373">
        <f t="shared" si="39"/>
        <v>5.2818877115834439E-5</v>
      </c>
      <c r="D373">
        <f t="shared" si="40"/>
        <v>2.7898337797776191E-9</v>
      </c>
      <c r="E373">
        <f t="shared" si="41"/>
        <v>5.2818877115834439E-5</v>
      </c>
    </row>
    <row r="374" spans="1:11">
      <c r="A374">
        <v>90</v>
      </c>
      <c r="B374">
        <v>0</v>
      </c>
      <c r="C374">
        <f t="shared" si="39"/>
        <v>9.3117280578636219E-4</v>
      </c>
      <c r="D374">
        <f t="shared" si="40"/>
        <v>8.6708279423604625E-7</v>
      </c>
      <c r="E374">
        <f t="shared" si="41"/>
        <v>9.3117280578636219E-4</v>
      </c>
    </row>
    <row r="375" spans="1:11">
      <c r="A375">
        <v>150</v>
      </c>
      <c r="B375">
        <v>0.02</v>
      </c>
      <c r="C375">
        <f t="shared" si="39"/>
        <v>3.3511250224343647E-2</v>
      </c>
      <c r="D375">
        <f t="shared" si="40"/>
        <v>1.8255388262482624E-4</v>
      </c>
      <c r="E375">
        <f t="shared" si="41"/>
        <v>1.3511250224343647E-2</v>
      </c>
    </row>
    <row r="376" spans="1:11">
      <c r="A376">
        <v>210</v>
      </c>
      <c r="B376">
        <v>0.28999999999999998</v>
      </c>
      <c r="C376">
        <f t="shared" si="39"/>
        <v>0.27293891588564645</v>
      </c>
      <c r="D376">
        <f t="shared" si="40"/>
        <v>2.9108059115704642E-4</v>
      </c>
      <c r="E376">
        <f t="shared" si="41"/>
        <v>1.7061084114353531E-2</v>
      </c>
      <c r="J376" t="s">
        <v>105</v>
      </c>
      <c r="K376">
        <v>4</v>
      </c>
    </row>
    <row r="377" spans="1:11">
      <c r="A377">
        <v>235</v>
      </c>
      <c r="B377">
        <v>0.45</v>
      </c>
      <c r="C377">
        <f t="shared" si="39"/>
        <v>0.45425717044600644</v>
      </c>
      <c r="D377">
        <f t="shared" si="40"/>
        <v>1.8123500206350592E-5</v>
      </c>
      <c r="E377">
        <f t="shared" si="41"/>
        <v>4.2571704460064308E-3</v>
      </c>
      <c r="J377" t="s">
        <v>8</v>
      </c>
      <c r="K377">
        <v>4</v>
      </c>
    </row>
    <row r="378" spans="1:11">
      <c r="A378">
        <v>260</v>
      </c>
      <c r="B378">
        <v>0.63</v>
      </c>
      <c r="C378">
        <f t="shared" si="39"/>
        <v>0.62999999989108235</v>
      </c>
      <c r="D378">
        <f t="shared" si="40"/>
        <v>1.1863055064173935E-20</v>
      </c>
      <c r="E378">
        <f t="shared" si="41"/>
        <v>1.0891765267473374E-10</v>
      </c>
      <c r="J378" t="s">
        <v>12</v>
      </c>
      <c r="K378">
        <v>100</v>
      </c>
    </row>
    <row r="379" spans="1:11">
      <c r="A379">
        <v>280</v>
      </c>
      <c r="B379">
        <v>0.74</v>
      </c>
      <c r="C379">
        <f t="shared" si="39"/>
        <v>0.74208960226480558</v>
      </c>
      <c r="D379">
        <f t="shared" si="40"/>
        <v>4.3664376250806518E-6</v>
      </c>
      <c r="E379">
        <f t="shared" si="41"/>
        <v>2.0896022648055901E-3</v>
      </c>
      <c r="J379" t="s">
        <v>210</v>
      </c>
      <c r="K379">
        <v>0.14430000000000001</v>
      </c>
    </row>
    <row r="380" spans="1:11">
      <c r="A380">
        <v>290</v>
      </c>
      <c r="B380">
        <v>0.79</v>
      </c>
      <c r="C380">
        <f t="shared" si="39"/>
        <v>0.78672288059205542</v>
      </c>
      <c r="D380">
        <f t="shared" si="40"/>
        <v>1.0739511613927281E-5</v>
      </c>
      <c r="E380">
        <f t="shared" si="41"/>
        <v>3.2771194079446175E-3</v>
      </c>
      <c r="J380" t="s">
        <v>106</v>
      </c>
      <c r="K380">
        <v>18</v>
      </c>
    </row>
    <row r="381" spans="1:11">
      <c r="A381">
        <v>300</v>
      </c>
      <c r="B381">
        <v>0.83</v>
      </c>
      <c r="C381">
        <f t="shared" si="39"/>
        <v>0.8242319572835044</v>
      </c>
      <c r="D381">
        <f t="shared" si="40"/>
        <v>3.3270316779317457E-5</v>
      </c>
      <c r="E381">
        <f t="shared" si="41"/>
        <v>5.7680427164955583E-3</v>
      </c>
    </row>
    <row r="382" spans="1:11">
      <c r="A382">
        <v>315</v>
      </c>
      <c r="B382">
        <v>0.87</v>
      </c>
      <c r="C382">
        <f t="shared" si="39"/>
        <v>0.86883447270149283</v>
      </c>
      <c r="D382">
        <f t="shared" si="40"/>
        <v>1.3584538835654054E-6</v>
      </c>
      <c r="E382">
        <f t="shared" si="41"/>
        <v>1.165527298507163E-3</v>
      </c>
    </row>
    <row r="383" spans="1:11">
      <c r="A383">
        <v>320</v>
      </c>
      <c r="B383">
        <v>0.88</v>
      </c>
      <c r="C383">
        <f t="shared" si="39"/>
        <v>0.88102594798429479</v>
      </c>
      <c r="D383">
        <f t="shared" si="40"/>
        <v>1.05256926647853E-6</v>
      </c>
      <c r="E383">
        <f t="shared" si="41"/>
        <v>1.0259479842947838E-3</v>
      </c>
    </row>
    <row r="384" spans="1:11">
      <c r="A384">
        <v>330</v>
      </c>
      <c r="B384">
        <v>0.89</v>
      </c>
      <c r="C384">
        <f t="shared" si="39"/>
        <v>0.90203357672839113</v>
      </c>
      <c r="D384">
        <f t="shared" si="40"/>
        <v>1.4480696887807622E-4</v>
      </c>
      <c r="E384">
        <f t="shared" si="41"/>
        <v>1.2033576728391115E-2</v>
      </c>
    </row>
    <row r="385" spans="1:11">
      <c r="A385">
        <v>340</v>
      </c>
      <c r="B385">
        <v>0.9</v>
      </c>
      <c r="C385">
        <f t="shared" si="39"/>
        <v>0.91918823777212266</v>
      </c>
      <c r="D385">
        <f t="shared" si="40"/>
        <v>3.6818846879951405E-4</v>
      </c>
      <c r="E385">
        <f t="shared" si="41"/>
        <v>1.918823777212264E-2</v>
      </c>
    </row>
    <row r="386" spans="1:11">
      <c r="D386">
        <f>SUM(D368:D385)</f>
        <v>1.0564107936814225E-3</v>
      </c>
      <c r="E386">
        <f>SUM(E368:E385)</f>
        <v>8.037948645735106E-2</v>
      </c>
    </row>
    <row r="392" spans="1:11" ht="16.8">
      <c r="A392" s="3" t="s">
        <v>263</v>
      </c>
    </row>
    <row r="393" spans="1:11">
      <c r="B393" t="s">
        <v>53</v>
      </c>
    </row>
    <row r="394" spans="1:11">
      <c r="A394" t="s">
        <v>29</v>
      </c>
      <c r="B394" t="s">
        <v>43</v>
      </c>
      <c r="C394" t="s">
        <v>99</v>
      </c>
      <c r="D394" t="s">
        <v>120</v>
      </c>
      <c r="E394" t="s">
        <v>119</v>
      </c>
    </row>
    <row r="395" spans="1:11">
      <c r="A395">
        <v>0</v>
      </c>
      <c r="B395">
        <v>0</v>
      </c>
      <c r="C395">
        <f>1-(1/(1+(($K$405*$K$404*A395)/($K$397*$K$403))^($K$396)))</f>
        <v>0</v>
      </c>
      <c r="D395">
        <f>(B395-C395)^2</f>
        <v>0</v>
      </c>
      <c r="E395">
        <v>0</v>
      </c>
    </row>
    <row r="396" spans="1:11">
      <c r="A396">
        <v>20</v>
      </c>
      <c r="B396">
        <v>0</v>
      </c>
      <c r="C396">
        <f t="shared" ref="C396:C412" si="42">1-(1/(1+(($K$405*$K$404*A396)/($K$397*$K$403))^($K$396)))</f>
        <v>1.638111646329321E-9</v>
      </c>
      <c r="D396">
        <f t="shared" ref="D396:D412" si="43">(B396-C396)^2</f>
        <v>2.6834097658397586E-18</v>
      </c>
      <c r="E396">
        <v>0</v>
      </c>
      <c r="J396" t="s">
        <v>21</v>
      </c>
      <c r="K396">
        <v>8.1306116554683108</v>
      </c>
    </row>
    <row r="397" spans="1:11">
      <c r="A397">
        <v>30</v>
      </c>
      <c r="B397">
        <v>0</v>
      </c>
      <c r="C397">
        <f t="shared" si="42"/>
        <v>4.4266290188943458E-8</v>
      </c>
      <c r="D397">
        <f t="shared" si="43"/>
        <v>1.9595044470917518E-15</v>
      </c>
      <c r="E397">
        <v>0</v>
      </c>
      <c r="J397" t="s">
        <v>103</v>
      </c>
      <c r="K397">
        <v>24076.605429429099</v>
      </c>
    </row>
    <row r="398" spans="1:11">
      <c r="A398">
        <v>40</v>
      </c>
      <c r="B398">
        <v>0</v>
      </c>
      <c r="C398">
        <f t="shared" si="42"/>
        <v>4.5909366042096167E-7</v>
      </c>
      <c r="D398">
        <f t="shared" si="43"/>
        <v>2.1076698903871727E-13</v>
      </c>
      <c r="E398">
        <v>0</v>
      </c>
    </row>
    <row r="399" spans="1:11">
      <c r="A399">
        <v>50</v>
      </c>
      <c r="B399">
        <v>0</v>
      </c>
      <c r="C399">
        <f t="shared" si="42"/>
        <v>2.8173315105295416E-6</v>
      </c>
      <c r="D399">
        <f t="shared" si="43"/>
        <v>7.9373568402226684E-12</v>
      </c>
      <c r="E399">
        <v>0</v>
      </c>
    </row>
    <row r="400" spans="1:11">
      <c r="A400">
        <v>60</v>
      </c>
      <c r="B400">
        <v>0</v>
      </c>
      <c r="C400">
        <f t="shared" si="42"/>
        <v>1.2405827851447171E-5</v>
      </c>
      <c r="D400">
        <f t="shared" si="43"/>
        <v>1.5390456467974234E-10</v>
      </c>
      <c r="E400">
        <v>0</v>
      </c>
      <c r="G400" t="s">
        <v>121</v>
      </c>
      <c r="H400">
        <f>(100)*(1/16)^0.5*F409^0.5</f>
        <v>0.3431783493962533</v>
      </c>
    </row>
    <row r="401" spans="1:11">
      <c r="A401">
        <v>90</v>
      </c>
      <c r="B401">
        <v>0</v>
      </c>
      <c r="C401">
        <f t="shared" si="42"/>
        <v>3.3513146991681619E-4</v>
      </c>
      <c r="D401">
        <f t="shared" si="43"/>
        <v>1.1231310212860588E-7</v>
      </c>
      <c r="E401">
        <v>0</v>
      </c>
    </row>
    <row r="402" spans="1:11">
      <c r="A402">
        <v>150</v>
      </c>
      <c r="B402">
        <v>0.02</v>
      </c>
      <c r="C402">
        <f t="shared" si="42"/>
        <v>2.0890935215265416E-2</v>
      </c>
      <c r="D402">
        <f t="shared" si="43"/>
        <v>7.9376555780003238E-7</v>
      </c>
      <c r="E402">
        <f>(B402-C402)^2/B402^2</f>
        <v>1.9844138945000808E-3</v>
      </c>
    </row>
    <row r="403" spans="1:11">
      <c r="A403">
        <v>210</v>
      </c>
      <c r="B403">
        <v>0.28999999999999998</v>
      </c>
      <c r="C403">
        <f t="shared" si="42"/>
        <v>0.24757223350794599</v>
      </c>
      <c r="D403">
        <f t="shared" si="43"/>
        <v>1.8001153695042591E-3</v>
      </c>
      <c r="E403">
        <f t="shared" ref="E403:E412" si="44">(B403-C403)^2/B403^2</f>
        <v>2.1404463371037564E-2</v>
      </c>
      <c r="J403" t="s">
        <v>105</v>
      </c>
      <c r="K403">
        <v>4</v>
      </c>
    </row>
    <row r="404" spans="1:11">
      <c r="A404">
        <v>235</v>
      </c>
      <c r="B404">
        <v>0.45</v>
      </c>
      <c r="C404">
        <f t="shared" si="42"/>
        <v>0.45088692317334533</v>
      </c>
      <c r="D404">
        <f t="shared" si="43"/>
        <v>7.8663271541693609E-7</v>
      </c>
      <c r="E404">
        <f t="shared" si="44"/>
        <v>3.8846060020589438E-6</v>
      </c>
      <c r="J404" t="s">
        <v>8</v>
      </c>
      <c r="K404">
        <v>4</v>
      </c>
    </row>
    <row r="405" spans="1:11">
      <c r="A405">
        <v>260</v>
      </c>
      <c r="B405">
        <v>0.63</v>
      </c>
      <c r="C405">
        <f t="shared" si="42"/>
        <v>0.65132885325209955</v>
      </c>
      <c r="D405">
        <f t="shared" si="43"/>
        <v>4.5491998104959733E-4</v>
      </c>
      <c r="E405">
        <f t="shared" si="44"/>
        <v>1.1461828698654504E-3</v>
      </c>
      <c r="J405" t="s">
        <v>12</v>
      </c>
      <c r="K405">
        <v>100</v>
      </c>
    </row>
    <row r="406" spans="1:11">
      <c r="A406">
        <v>280</v>
      </c>
      <c r="B406">
        <v>0.74</v>
      </c>
      <c r="C406">
        <f t="shared" si="42"/>
        <v>0.77336820274228391</v>
      </c>
      <c r="D406">
        <f t="shared" si="43"/>
        <v>1.1134369542501637E-3</v>
      </c>
      <c r="E406">
        <f t="shared" si="44"/>
        <v>2.0333034226628264E-3</v>
      </c>
      <c r="J406" t="s">
        <v>210</v>
      </c>
      <c r="K406">
        <v>0.14430000000000001</v>
      </c>
    </row>
    <row r="407" spans="1:11">
      <c r="A407">
        <v>290</v>
      </c>
      <c r="B407">
        <v>0.79</v>
      </c>
      <c r="C407">
        <f t="shared" si="42"/>
        <v>0.81946728910313893</v>
      </c>
      <c r="D407">
        <f t="shared" si="43"/>
        <v>8.6832112708796821E-4</v>
      </c>
      <c r="E407">
        <f t="shared" si="44"/>
        <v>1.3913173002531134E-3</v>
      </c>
      <c r="J407" t="s">
        <v>106</v>
      </c>
      <c r="K407">
        <v>18</v>
      </c>
    </row>
    <row r="408" spans="1:11">
      <c r="A408">
        <v>300</v>
      </c>
      <c r="B408">
        <v>0.83</v>
      </c>
      <c r="C408">
        <f t="shared" si="42"/>
        <v>0.85672889446843115</v>
      </c>
      <c r="D408">
        <f t="shared" si="43"/>
        <v>7.1443379950453126E-4</v>
      </c>
      <c r="E408">
        <f t="shared" si="44"/>
        <v>1.0370645950131098E-3</v>
      </c>
    </row>
    <row r="409" spans="1:11">
      <c r="A409">
        <v>315</v>
      </c>
      <c r="B409">
        <v>0.87</v>
      </c>
      <c r="C409">
        <f t="shared" si="42"/>
        <v>0.89890136841366375</v>
      </c>
      <c r="D409">
        <f t="shared" si="43"/>
        <v>8.3528909618232092E-4</v>
      </c>
      <c r="E409">
        <f t="shared" si="44"/>
        <v>1.1035659878218006E-3</v>
      </c>
      <c r="F409">
        <f>D413/B413^2</f>
        <v>1.8843420719093907E-4</v>
      </c>
    </row>
    <row r="410" spans="1:11">
      <c r="A410">
        <v>320</v>
      </c>
      <c r="B410">
        <v>0.88</v>
      </c>
      <c r="C410">
        <f t="shared" si="42"/>
        <v>0.90995785935734241</v>
      </c>
      <c r="D410">
        <f t="shared" si="43"/>
        <v>8.9747333727430818E-4</v>
      </c>
      <c r="E410">
        <f t="shared" si="44"/>
        <v>1.1589273466868649E-3</v>
      </c>
    </row>
    <row r="411" spans="1:11">
      <c r="A411">
        <v>330</v>
      </c>
      <c r="B411">
        <v>0.89</v>
      </c>
      <c r="C411">
        <f t="shared" si="42"/>
        <v>0.92846281230742456</v>
      </c>
      <c r="D411">
        <f t="shared" si="43"/>
        <v>1.4793879305961689E-3</v>
      </c>
      <c r="E411">
        <f t="shared" si="44"/>
        <v>1.8676782358239728E-3</v>
      </c>
    </row>
    <row r="412" spans="1:11">
      <c r="A412">
        <v>340</v>
      </c>
      <c r="B412">
        <v>0.9</v>
      </c>
      <c r="C412">
        <f t="shared" si="42"/>
        <v>0.94300111488667093</v>
      </c>
      <c r="D412">
        <f t="shared" si="43"/>
        <v>1.8490958814966706E-3</v>
      </c>
      <c r="E412">
        <f t="shared" si="44"/>
        <v>2.2828344216008277E-3</v>
      </c>
    </row>
    <row r="413" spans="1:11">
      <c r="B413">
        <f>SUM(B395:B412)</f>
        <v>7.29</v>
      </c>
      <c r="D413">
        <f>SUM(D395:D412)</f>
        <v>1.0014166350375985E-2</v>
      </c>
      <c r="E413">
        <f>SUM(E395:E412)</f>
        <v>3.5413636051267669E-2</v>
      </c>
    </row>
    <row r="420" spans="1:11" ht="16.8">
      <c r="A420" s="2" t="s">
        <v>125</v>
      </c>
    </row>
    <row r="421" spans="1:11">
      <c r="B421" t="s">
        <v>53</v>
      </c>
    </row>
    <row r="422" spans="1:11">
      <c r="A422" t="s">
        <v>29</v>
      </c>
      <c r="B422" t="s">
        <v>43</v>
      </c>
      <c r="C422" t="s">
        <v>99</v>
      </c>
      <c r="D422" t="s">
        <v>120</v>
      </c>
      <c r="E422" t="s">
        <v>119</v>
      </c>
    </row>
    <row r="423" spans="1:11">
      <c r="A423">
        <v>0</v>
      </c>
      <c r="B423">
        <v>0</v>
      </c>
      <c r="C423">
        <f>1-(1/(1+(($K$433*$K$432*A423)/($K$425*$K$431))^($K$424)))</f>
        <v>0</v>
      </c>
      <c r="D423">
        <f>(B423-C423)^2</f>
        <v>0</v>
      </c>
      <c r="E423">
        <v>0</v>
      </c>
    </row>
    <row r="424" spans="1:11">
      <c r="A424">
        <v>20</v>
      </c>
      <c r="B424">
        <v>0</v>
      </c>
      <c r="C424">
        <f t="shared" ref="C424:C440" si="45">1-(1/(1+(($K$433*$K$432*A424)/($K$425*$K$431))^($K$424)))</f>
        <v>9.1313573369333767E-9</v>
      </c>
      <c r="D424">
        <f t="shared" ref="D424:D440" si="46">(B424-C424)^2</f>
        <v>8.3381686814767009E-17</v>
      </c>
      <c r="E424">
        <v>0</v>
      </c>
      <c r="J424" t="s">
        <v>21</v>
      </c>
      <c r="K424">
        <v>7.4280591709367503</v>
      </c>
    </row>
    <row r="425" spans="1:11">
      <c r="A425">
        <v>30</v>
      </c>
      <c r="B425">
        <v>0</v>
      </c>
      <c r="C425">
        <f t="shared" si="45"/>
        <v>1.8558870884533007E-7</v>
      </c>
      <c r="D425">
        <f t="shared" si="46"/>
        <v>3.4443168850876694E-14</v>
      </c>
      <c r="E425">
        <v>0</v>
      </c>
      <c r="J425" t="s">
        <v>103</v>
      </c>
      <c r="K425">
        <v>24173.540173853398</v>
      </c>
    </row>
    <row r="426" spans="1:11">
      <c r="A426">
        <v>40</v>
      </c>
      <c r="B426">
        <v>0</v>
      </c>
      <c r="C426">
        <f t="shared" si="45"/>
        <v>1.5725457036541712E-6</v>
      </c>
      <c r="D426">
        <f t="shared" si="46"/>
        <v>2.4728999900811926E-12</v>
      </c>
      <c r="E426">
        <v>0</v>
      </c>
    </row>
    <row r="427" spans="1:11">
      <c r="A427">
        <v>50</v>
      </c>
      <c r="B427">
        <v>0</v>
      </c>
      <c r="C427">
        <f t="shared" si="45"/>
        <v>8.249995036568869E-6</v>
      </c>
      <c r="D427">
        <f t="shared" si="46"/>
        <v>6.8062418103410975E-11</v>
      </c>
      <c r="E427">
        <v>0</v>
      </c>
      <c r="G427" t="s">
        <v>134</v>
      </c>
      <c r="H427">
        <f>(100/16)*E441</f>
        <v>4.9167920208917172E-2</v>
      </c>
    </row>
    <row r="428" spans="1:11">
      <c r="A428">
        <v>60</v>
      </c>
      <c r="B428">
        <v>0</v>
      </c>
      <c r="C428">
        <f t="shared" si="45"/>
        <v>3.1959970577033481E-5</v>
      </c>
      <c r="D428">
        <f t="shared" si="46"/>
        <v>1.0214397192848458E-9</v>
      </c>
      <c r="E428">
        <v>0</v>
      </c>
    </row>
    <row r="429" spans="1:11">
      <c r="A429">
        <v>90</v>
      </c>
      <c r="B429">
        <v>0</v>
      </c>
      <c r="C429">
        <f t="shared" si="45"/>
        <v>6.4916414240046016E-4</v>
      </c>
      <c r="D429">
        <f t="shared" si="46"/>
        <v>4.2141408377852492E-7</v>
      </c>
      <c r="E429">
        <v>0</v>
      </c>
    </row>
    <row r="430" spans="1:11">
      <c r="A430">
        <v>150</v>
      </c>
      <c r="B430">
        <v>0.02</v>
      </c>
      <c r="C430">
        <f t="shared" si="45"/>
        <v>2.806590175818946E-2</v>
      </c>
      <c r="D430">
        <f t="shared" si="46"/>
        <v>6.5058771172763817E-5</v>
      </c>
      <c r="E430">
        <f>(B430-C430)^2/B430</f>
        <v>3.2529385586381908E-3</v>
      </c>
    </row>
    <row r="431" spans="1:11">
      <c r="A431">
        <v>210</v>
      </c>
      <c r="B431">
        <v>0.28999999999999998</v>
      </c>
      <c r="C431">
        <f t="shared" si="45"/>
        <v>0.26010999383607336</v>
      </c>
      <c r="D431">
        <f t="shared" si="46"/>
        <v>8.9341246847957133E-4</v>
      </c>
      <c r="E431">
        <f t="shared" ref="E431:E440" si="47">(B431-C431)^2/B431</f>
        <v>3.0807326499295564E-3</v>
      </c>
      <c r="J431" t="s">
        <v>105</v>
      </c>
      <c r="K431">
        <v>4</v>
      </c>
    </row>
    <row r="432" spans="1:11">
      <c r="A432">
        <v>235</v>
      </c>
      <c r="B432">
        <v>0.45</v>
      </c>
      <c r="C432">
        <f t="shared" si="45"/>
        <v>0.44771587146060188</v>
      </c>
      <c r="D432">
        <f t="shared" si="46"/>
        <v>5.2172431844930517E-6</v>
      </c>
      <c r="E432">
        <f t="shared" si="47"/>
        <v>1.1593873743317892E-5</v>
      </c>
      <c r="J432" t="s">
        <v>8</v>
      </c>
      <c r="K432">
        <v>4</v>
      </c>
    </row>
    <row r="433" spans="1:11">
      <c r="A433">
        <v>260</v>
      </c>
      <c r="B433">
        <v>0.63</v>
      </c>
      <c r="C433">
        <f t="shared" si="45"/>
        <v>0.63205527189513178</v>
      </c>
      <c r="D433">
        <f t="shared" si="46"/>
        <v>4.2241425629185445E-6</v>
      </c>
      <c r="E433">
        <f t="shared" si="47"/>
        <v>6.7049881951088003E-6</v>
      </c>
      <c r="J433" t="s">
        <v>12</v>
      </c>
      <c r="K433">
        <v>100</v>
      </c>
    </row>
    <row r="434" spans="1:11">
      <c r="A434">
        <v>280</v>
      </c>
      <c r="B434">
        <v>0.74</v>
      </c>
      <c r="C434">
        <f t="shared" si="45"/>
        <v>0.74866831296236669</v>
      </c>
      <c r="D434">
        <f t="shared" si="46"/>
        <v>7.5139649613534514E-5</v>
      </c>
      <c r="E434">
        <f t="shared" si="47"/>
        <v>1.0154006704531691E-4</v>
      </c>
      <c r="J434" t="s">
        <v>210</v>
      </c>
      <c r="K434">
        <v>0.14430000000000001</v>
      </c>
    </row>
    <row r="435" spans="1:11">
      <c r="A435">
        <v>290</v>
      </c>
      <c r="B435">
        <v>0.79</v>
      </c>
      <c r="C435">
        <f t="shared" si="45"/>
        <v>0.79448627919421544</v>
      </c>
      <c r="D435">
        <f t="shared" si="46"/>
        <v>2.0126701008450008E-5</v>
      </c>
      <c r="E435">
        <f t="shared" si="47"/>
        <v>2.547683671955697E-5</v>
      </c>
      <c r="J435" t="s">
        <v>106</v>
      </c>
      <c r="K435">
        <v>18</v>
      </c>
    </row>
    <row r="436" spans="1:11">
      <c r="A436">
        <v>300</v>
      </c>
      <c r="B436">
        <v>0.83</v>
      </c>
      <c r="C436">
        <f t="shared" si="45"/>
        <v>0.83257748540792631</v>
      </c>
      <c r="D436">
        <f t="shared" si="46"/>
        <v>6.6434310280732617E-6</v>
      </c>
      <c r="E436">
        <f t="shared" si="47"/>
        <v>8.0041337687629665E-6</v>
      </c>
    </row>
    <row r="437" spans="1:11">
      <c r="A437">
        <v>315</v>
      </c>
      <c r="B437">
        <v>0.87</v>
      </c>
      <c r="C437">
        <f t="shared" si="45"/>
        <v>0.87722626771746737</v>
      </c>
      <c r="D437">
        <f t="shared" si="46"/>
        <v>5.2218945124511098E-5</v>
      </c>
      <c r="E437">
        <f t="shared" si="47"/>
        <v>6.0021776005185173E-5</v>
      </c>
    </row>
    <row r="438" spans="1:11">
      <c r="A438">
        <v>320</v>
      </c>
      <c r="B438">
        <v>0.88</v>
      </c>
      <c r="C438">
        <f t="shared" si="45"/>
        <v>0.88927940405655737</v>
      </c>
      <c r="D438">
        <f t="shared" si="46"/>
        <v>8.6107339644853211E-5</v>
      </c>
      <c r="E438">
        <f t="shared" si="47"/>
        <v>9.78492495964241E-5</v>
      </c>
    </row>
    <row r="439" spans="1:11">
      <c r="A439">
        <v>330</v>
      </c>
      <c r="B439">
        <v>0.89</v>
      </c>
      <c r="C439">
        <f t="shared" si="45"/>
        <v>0.90986398413521385</v>
      </c>
      <c r="D439">
        <f t="shared" si="46"/>
        <v>3.945778657240272E-4</v>
      </c>
      <c r="E439">
        <f t="shared" si="47"/>
        <v>4.4334591654385079E-4</v>
      </c>
    </row>
    <row r="440" spans="1:11">
      <c r="A440">
        <v>340</v>
      </c>
      <c r="B440">
        <v>0.9</v>
      </c>
      <c r="C440">
        <f t="shared" si="45"/>
        <v>0.92647250016370442</v>
      </c>
      <c r="D440">
        <f t="shared" si="46"/>
        <v>7.0079326491732908E-4</v>
      </c>
      <c r="E440">
        <f t="shared" si="47"/>
        <v>7.7865918324147669E-4</v>
      </c>
    </row>
    <row r="441" spans="1:11">
      <c r="D441">
        <f>SUM(D423:D440)</f>
        <v>2.3039423285538679E-3</v>
      </c>
      <c r="E441">
        <f>SUM(E423:E440)</f>
        <v>7.866867233426748E-3</v>
      </c>
    </row>
    <row r="448" spans="1:11" ht="15.6">
      <c r="A448" t="s">
        <v>265</v>
      </c>
    </row>
    <row r="449" spans="1:11">
      <c r="B449" t="s">
        <v>55</v>
      </c>
    </row>
    <row r="450" spans="1:11">
      <c r="A450" t="s">
        <v>29</v>
      </c>
      <c r="B450" t="s">
        <v>43</v>
      </c>
      <c r="C450" t="s">
        <v>99</v>
      </c>
      <c r="D450" t="s">
        <v>120</v>
      </c>
    </row>
    <row r="451" spans="1:11">
      <c r="A451">
        <v>0</v>
      </c>
      <c r="B451">
        <v>0</v>
      </c>
      <c r="C451">
        <f>1-(1/(1+(($K$460*$K$459*A451)/($K$452*$K$458))^($K$451)))</f>
        <v>0</v>
      </c>
      <c r="D451">
        <f>(B451-C451)^2</f>
        <v>0</v>
      </c>
      <c r="J451" t="s">
        <v>21</v>
      </c>
      <c r="K451">
        <v>2.64449623884216</v>
      </c>
    </row>
    <row r="452" spans="1:11">
      <c r="A452">
        <v>10</v>
      </c>
      <c r="B452">
        <v>0</v>
      </c>
      <c r="C452">
        <f t="shared" ref="C452:C459" si="48">1-(1/(1+(($K$460*$K$459*A452)/($K$452*$K$458))^($K$451)))</f>
        <v>2.302475205348864E-2</v>
      </c>
      <c r="D452">
        <f t="shared" ref="D452:D459" si="49">(B452-C452)^2</f>
        <v>5.301392071246293E-4</v>
      </c>
      <c r="J452" t="s">
        <v>103</v>
      </c>
      <c r="K452">
        <v>12377.1796547958</v>
      </c>
    </row>
    <row r="453" spans="1:11">
      <c r="A453">
        <v>20</v>
      </c>
      <c r="B453">
        <v>0.08</v>
      </c>
      <c r="C453">
        <f t="shared" si="48"/>
        <v>0.1284351248057588</v>
      </c>
      <c r="D453">
        <f t="shared" si="49"/>
        <v>2.3459613149494317E-3</v>
      </c>
      <c r="F453" t="s">
        <v>100</v>
      </c>
      <c r="G453">
        <f>D460</f>
        <v>6.3556098002336258E-3</v>
      </c>
    </row>
    <row r="454" spans="1:11">
      <c r="A454">
        <v>30</v>
      </c>
      <c r="B454">
        <v>0.32</v>
      </c>
      <c r="C454">
        <f t="shared" si="48"/>
        <v>0.30098422858941798</v>
      </c>
      <c r="D454">
        <f t="shared" si="49"/>
        <v>3.6159956233950877E-4</v>
      </c>
    </row>
    <row r="455" spans="1:11">
      <c r="A455">
        <v>48</v>
      </c>
      <c r="B455">
        <v>0.62</v>
      </c>
      <c r="C455">
        <f t="shared" si="48"/>
        <v>0.59876151201793582</v>
      </c>
      <c r="D455">
        <f t="shared" si="49"/>
        <v>4.5107337176428464E-4</v>
      </c>
    </row>
    <row r="456" spans="1:11">
      <c r="A456">
        <v>60</v>
      </c>
      <c r="B456">
        <v>0.74</v>
      </c>
      <c r="C456">
        <f t="shared" si="48"/>
        <v>0.72916883300464352</v>
      </c>
      <c r="D456">
        <f t="shared" si="49"/>
        <v>1.1731417848129923E-4</v>
      </c>
    </row>
    <row r="457" spans="1:11">
      <c r="A457">
        <v>85</v>
      </c>
      <c r="B457">
        <v>0.86</v>
      </c>
      <c r="C457">
        <f t="shared" si="48"/>
        <v>0.87118817914576785</v>
      </c>
      <c r="D457">
        <f t="shared" si="49"/>
        <v>1.2517535259779489E-4</v>
      </c>
    </row>
    <row r="458" spans="1:11">
      <c r="A458">
        <v>100</v>
      </c>
      <c r="B458">
        <v>0.89</v>
      </c>
      <c r="C458">
        <f t="shared" si="48"/>
        <v>0.91223910472049907</v>
      </c>
      <c r="D458">
        <f t="shared" si="49"/>
        <v>4.945777787693235E-4</v>
      </c>
      <c r="J458" t="s">
        <v>105</v>
      </c>
      <c r="K458">
        <v>4</v>
      </c>
    </row>
    <row r="459" spans="1:11">
      <c r="A459">
        <v>120</v>
      </c>
      <c r="B459">
        <v>0.9</v>
      </c>
      <c r="C459">
        <f t="shared" si="48"/>
        <v>0.94392913650650734</v>
      </c>
      <c r="D459">
        <f t="shared" si="49"/>
        <v>1.9297690342073538E-3</v>
      </c>
      <c r="J459" t="s">
        <v>8</v>
      </c>
      <c r="K459">
        <v>12</v>
      </c>
    </row>
    <row r="460" spans="1:11">
      <c r="D460">
        <f>SUM(D451:D459)</f>
        <v>6.3556098002336258E-3</v>
      </c>
      <c r="J460" t="s">
        <v>12</v>
      </c>
      <c r="K460">
        <v>100</v>
      </c>
    </row>
    <row r="461" spans="1:11">
      <c r="J461" t="s">
        <v>210</v>
      </c>
      <c r="K461">
        <v>0.43319999999999997</v>
      </c>
    </row>
    <row r="462" spans="1:11">
      <c r="J462" t="s">
        <v>106</v>
      </c>
      <c r="K462">
        <v>9</v>
      </c>
    </row>
    <row r="471" spans="1:11" ht="16.8">
      <c r="A471" s="2" t="s">
        <v>264</v>
      </c>
    </row>
    <row r="472" spans="1:11">
      <c r="B472" t="s">
        <v>55</v>
      </c>
    </row>
    <row r="473" spans="1:11">
      <c r="A473" t="s">
        <v>29</v>
      </c>
      <c r="B473" t="s">
        <v>43</v>
      </c>
      <c r="C473" t="s">
        <v>99</v>
      </c>
      <c r="D473" t="s">
        <v>120</v>
      </c>
      <c r="E473" t="s">
        <v>137</v>
      </c>
    </row>
    <row r="474" spans="1:11">
      <c r="A474">
        <v>0</v>
      </c>
      <c r="B474">
        <v>0</v>
      </c>
      <c r="C474">
        <f>1-(1/(1+(($K$483*$K$482*A474)/($K$475*$K$481))^($K$474)))</f>
        <v>0</v>
      </c>
      <c r="D474">
        <f>(B474-C474)^2</f>
        <v>0</v>
      </c>
      <c r="E474">
        <f>ABS(B474-C474)</f>
        <v>0</v>
      </c>
      <c r="J474" t="s">
        <v>21</v>
      </c>
      <c r="K474">
        <v>2.64449623884216</v>
      </c>
    </row>
    <row r="475" spans="1:11">
      <c r="A475">
        <v>10</v>
      </c>
      <c r="B475">
        <v>0</v>
      </c>
      <c r="C475">
        <f t="shared" ref="C475:C482" si="50">1-(1/(1+(($K$483*$K$482*A475)/($K$475*$K$481))^($K$474)))</f>
        <v>2.302475205348864E-2</v>
      </c>
      <c r="D475">
        <f t="shared" ref="D475:D482" si="51">(B475-C475)^2</f>
        <v>5.301392071246293E-4</v>
      </c>
      <c r="E475">
        <f t="shared" ref="E475:E482" si="52">ABS(B475-C475)</f>
        <v>2.302475205348864E-2</v>
      </c>
      <c r="J475" t="s">
        <v>103</v>
      </c>
      <c r="K475">
        <v>12377.1796547958</v>
      </c>
    </row>
    <row r="476" spans="1:11">
      <c r="A476">
        <v>20</v>
      </c>
      <c r="B476">
        <v>0.08</v>
      </c>
      <c r="C476">
        <f t="shared" si="50"/>
        <v>0.1284351248057588</v>
      </c>
      <c r="D476">
        <f t="shared" si="51"/>
        <v>2.3459613149494317E-3</v>
      </c>
      <c r="E476">
        <f t="shared" si="52"/>
        <v>4.8435124805758803E-2</v>
      </c>
      <c r="G476" t="s">
        <v>132</v>
      </c>
      <c r="H476">
        <f>E483</f>
        <v>0.19990172362002434</v>
      </c>
    </row>
    <row r="477" spans="1:11">
      <c r="A477">
        <v>30</v>
      </c>
      <c r="B477">
        <v>0.32</v>
      </c>
      <c r="C477">
        <f t="shared" si="50"/>
        <v>0.30098422858941798</v>
      </c>
      <c r="D477">
        <f t="shared" si="51"/>
        <v>3.6159956233950877E-4</v>
      </c>
      <c r="E477">
        <f t="shared" si="52"/>
        <v>1.9015771410582027E-2</v>
      </c>
    </row>
    <row r="478" spans="1:11">
      <c r="A478">
        <v>48</v>
      </c>
      <c r="B478">
        <v>0.62</v>
      </c>
      <c r="C478">
        <f t="shared" si="50"/>
        <v>0.59876151201793582</v>
      </c>
      <c r="D478">
        <f t="shared" si="51"/>
        <v>4.5107337176428464E-4</v>
      </c>
      <c r="E478">
        <f t="shared" si="52"/>
        <v>2.123848798206418E-2</v>
      </c>
    </row>
    <row r="479" spans="1:11">
      <c r="A479">
        <v>60</v>
      </c>
      <c r="B479">
        <v>0.74</v>
      </c>
      <c r="C479">
        <f t="shared" si="50"/>
        <v>0.72916883300464352</v>
      </c>
      <c r="D479">
        <f t="shared" si="51"/>
        <v>1.1731417848129923E-4</v>
      </c>
      <c r="E479">
        <f t="shared" si="52"/>
        <v>1.0831166995356467E-2</v>
      </c>
    </row>
    <row r="480" spans="1:11">
      <c r="A480">
        <v>85</v>
      </c>
      <c r="B480">
        <v>0.86</v>
      </c>
      <c r="C480">
        <f t="shared" si="50"/>
        <v>0.87118817914576785</v>
      </c>
      <c r="D480">
        <f t="shared" si="51"/>
        <v>1.2517535259779489E-4</v>
      </c>
      <c r="E480">
        <f t="shared" si="52"/>
        <v>1.1188179145767863E-2</v>
      </c>
    </row>
    <row r="481" spans="1:11">
      <c r="A481">
        <v>100</v>
      </c>
      <c r="B481">
        <v>0.89</v>
      </c>
      <c r="C481">
        <f t="shared" si="50"/>
        <v>0.91223910472049907</v>
      </c>
      <c r="D481">
        <f t="shared" si="51"/>
        <v>4.945777787693235E-4</v>
      </c>
      <c r="E481">
        <f t="shared" si="52"/>
        <v>2.2239104720499059E-2</v>
      </c>
      <c r="J481" t="s">
        <v>105</v>
      </c>
      <c r="K481">
        <v>4</v>
      </c>
    </row>
    <row r="482" spans="1:11">
      <c r="A482">
        <v>120</v>
      </c>
      <c r="B482">
        <v>0.9</v>
      </c>
      <c r="C482">
        <f t="shared" si="50"/>
        <v>0.94392913650650734</v>
      </c>
      <c r="D482">
        <f t="shared" si="51"/>
        <v>1.9297690342073538E-3</v>
      </c>
      <c r="E482">
        <f t="shared" si="52"/>
        <v>4.3929136506507316E-2</v>
      </c>
      <c r="J482" t="s">
        <v>8</v>
      </c>
      <c r="K482">
        <v>12</v>
      </c>
    </row>
    <row r="483" spans="1:11">
      <c r="D483">
        <f>SUM(D474:D482)</f>
        <v>6.3556098002336258E-3</v>
      </c>
      <c r="E483">
        <f>SUM(E474:E482)</f>
        <v>0.19990172362002434</v>
      </c>
      <c r="J483" t="s">
        <v>12</v>
      </c>
      <c r="K483">
        <v>100</v>
      </c>
    </row>
    <row r="484" spans="1:11">
      <c r="J484" t="s">
        <v>210</v>
      </c>
      <c r="K484">
        <v>0.43319999999999997</v>
      </c>
    </row>
    <row r="485" spans="1:11">
      <c r="J485" t="s">
        <v>106</v>
      </c>
      <c r="K485">
        <v>9</v>
      </c>
    </row>
    <row r="493" spans="1:11" ht="16.8">
      <c r="A493" s="3" t="s">
        <v>263</v>
      </c>
    </row>
    <row r="494" spans="1:11">
      <c r="B494" t="s">
        <v>55</v>
      </c>
    </row>
    <row r="495" spans="1:11">
      <c r="A495" t="s">
        <v>29</v>
      </c>
      <c r="B495" t="s">
        <v>43</v>
      </c>
      <c r="C495" t="s">
        <v>99</v>
      </c>
      <c r="D495" t="s">
        <v>120</v>
      </c>
      <c r="E495" t="s">
        <v>119</v>
      </c>
    </row>
    <row r="496" spans="1:11">
      <c r="A496">
        <v>0</v>
      </c>
      <c r="B496">
        <v>0</v>
      </c>
      <c r="C496">
        <f>1-(1/(1+(($K$505*$K$504*A496)/($K$497*$K$503))^($K$496)))</f>
        <v>0</v>
      </c>
      <c r="D496">
        <f>(B496-C496)^2</f>
        <v>0</v>
      </c>
      <c r="E496">
        <v>0</v>
      </c>
      <c r="J496" t="s">
        <v>21</v>
      </c>
      <c r="K496">
        <v>3.3374497859797101</v>
      </c>
    </row>
    <row r="497" spans="1:11">
      <c r="A497">
        <v>10</v>
      </c>
      <c r="B497">
        <v>0</v>
      </c>
      <c r="C497">
        <f t="shared" ref="C497:C504" si="53">1-(1/(1+(($K$505*$K$504*A497)/($K$497*$K$503))^($K$496)))</f>
        <v>9.1743829391244258E-3</v>
      </c>
      <c r="D497">
        <f t="shared" ref="D497:D504" si="54">(B497-C497)^2</f>
        <v>8.4169302313697337E-5</v>
      </c>
      <c r="E497">
        <v>0</v>
      </c>
      <c r="J497" t="s">
        <v>103</v>
      </c>
      <c r="K497">
        <v>12200.9865861585</v>
      </c>
    </row>
    <row r="498" spans="1:11">
      <c r="A498">
        <v>20</v>
      </c>
      <c r="B498">
        <v>0.08</v>
      </c>
      <c r="C498">
        <f t="shared" si="53"/>
        <v>8.5584606875578118E-2</v>
      </c>
      <c r="D498">
        <f t="shared" si="54"/>
        <v>3.1187833954754366E-5</v>
      </c>
      <c r="E498">
        <f t="shared" ref="E498:E504" si="55">(B498-C498)^2/B498^2</f>
        <v>4.8730990554303692E-3</v>
      </c>
    </row>
    <row r="499" spans="1:11">
      <c r="A499">
        <v>30</v>
      </c>
      <c r="B499">
        <v>0.32</v>
      </c>
      <c r="C499">
        <f t="shared" si="53"/>
        <v>0.26589314735411629</v>
      </c>
      <c r="D499">
        <f t="shared" si="54"/>
        <v>2.9275515032433741E-3</v>
      </c>
      <c r="E499">
        <f t="shared" si="55"/>
        <v>2.8589370148861072E-2</v>
      </c>
    </row>
    <row r="500" spans="1:11">
      <c r="A500">
        <v>48</v>
      </c>
      <c r="B500">
        <v>0.62</v>
      </c>
      <c r="C500">
        <f t="shared" si="53"/>
        <v>0.6348437228675381</v>
      </c>
      <c r="D500">
        <f t="shared" si="54"/>
        <v>2.2033610856827352E-4</v>
      </c>
      <c r="E500">
        <f t="shared" si="55"/>
        <v>5.7319487140549818E-4</v>
      </c>
      <c r="G500" t="s">
        <v>121</v>
      </c>
      <c r="H500">
        <f>(100)*(1/7)^0.5*F504^0.5</f>
        <v>1.1641280237782907</v>
      </c>
    </row>
    <row r="501" spans="1:11">
      <c r="A501">
        <v>60</v>
      </c>
      <c r="B501">
        <v>0.74</v>
      </c>
      <c r="C501">
        <f t="shared" si="53"/>
        <v>0.78546177101682035</v>
      </c>
      <c r="D501">
        <f t="shared" si="54"/>
        <v>2.066772623985808E-3</v>
      </c>
      <c r="E501">
        <f t="shared" si="55"/>
        <v>3.7742378085935139E-3</v>
      </c>
    </row>
    <row r="502" spans="1:11">
      <c r="A502">
        <v>85</v>
      </c>
      <c r="B502">
        <v>0.86</v>
      </c>
      <c r="C502">
        <f t="shared" si="53"/>
        <v>0.92130706063086987</v>
      </c>
      <c r="D502">
        <f t="shared" si="54"/>
        <v>3.7585556831971558E-3</v>
      </c>
      <c r="E502">
        <f t="shared" si="55"/>
        <v>5.0818762617592704E-3</v>
      </c>
    </row>
    <row r="503" spans="1:11">
      <c r="A503">
        <v>100</v>
      </c>
      <c r="B503">
        <v>0.89</v>
      </c>
      <c r="C503">
        <f t="shared" si="53"/>
        <v>0.95269319269855468</v>
      </c>
      <c r="D503">
        <f t="shared" si="54"/>
        <v>3.9304364107381083E-3</v>
      </c>
      <c r="E503">
        <f t="shared" si="55"/>
        <v>4.9620457148568465E-3</v>
      </c>
      <c r="J503" t="s">
        <v>105</v>
      </c>
      <c r="K503">
        <v>4</v>
      </c>
    </row>
    <row r="504" spans="1:11">
      <c r="A504">
        <v>120</v>
      </c>
      <c r="B504">
        <v>0.9</v>
      </c>
      <c r="C504">
        <f t="shared" si="53"/>
        <v>0.97368958674660744</v>
      </c>
      <c r="D504">
        <f t="shared" si="54"/>
        <v>5.4301551948857793E-3</v>
      </c>
      <c r="E504">
        <f t="shared" si="55"/>
        <v>6.7038953023281223E-3</v>
      </c>
      <c r="F504">
        <f>D505/B505^2</f>
        <v>9.4863583902216411E-4</v>
      </c>
      <c r="J504" t="s">
        <v>8</v>
      </c>
      <c r="K504">
        <v>12</v>
      </c>
    </row>
    <row r="505" spans="1:11">
      <c r="B505">
        <f>SUM(B496:B504)</f>
        <v>4.41</v>
      </c>
      <c r="D505">
        <f>SUM(D496:D504)</f>
        <v>1.844916466088695E-2</v>
      </c>
      <c r="E505">
        <f>SUM(E496:E504)</f>
        <v>5.4557719163234687E-2</v>
      </c>
      <c r="J505" t="s">
        <v>12</v>
      </c>
      <c r="K505">
        <v>100</v>
      </c>
    </row>
    <row r="506" spans="1:11">
      <c r="J506" t="s">
        <v>210</v>
      </c>
      <c r="K506">
        <v>0.43319999999999997</v>
      </c>
    </row>
    <row r="507" spans="1:11">
      <c r="J507" t="s">
        <v>106</v>
      </c>
      <c r="K507">
        <v>9</v>
      </c>
    </row>
    <row r="515" spans="1:11" ht="16.8">
      <c r="A515" s="2" t="s">
        <v>125</v>
      </c>
    </row>
    <row r="516" spans="1:11">
      <c r="B516" t="s">
        <v>55</v>
      </c>
    </row>
    <row r="517" spans="1:11">
      <c r="A517" t="s">
        <v>29</v>
      </c>
      <c r="B517" t="s">
        <v>43</v>
      </c>
      <c r="C517" t="s">
        <v>99</v>
      </c>
      <c r="D517" t="s">
        <v>120</v>
      </c>
      <c r="E517" t="s">
        <v>266</v>
      </c>
    </row>
    <row r="518" spans="1:11">
      <c r="A518">
        <v>0</v>
      </c>
      <c r="B518">
        <v>0</v>
      </c>
      <c r="C518">
        <f>1-(1/(1+(($K$527*$K$526*A518)/($K$519*$K$525))^($K$518)))</f>
        <v>0</v>
      </c>
      <c r="D518">
        <f>(B518-C518)^2</f>
        <v>0</v>
      </c>
      <c r="E518">
        <v>0</v>
      </c>
      <c r="J518" t="s">
        <v>21</v>
      </c>
      <c r="K518">
        <v>2.9819157538244601</v>
      </c>
    </row>
    <row r="519" spans="1:11">
      <c r="A519">
        <v>10</v>
      </c>
      <c r="B519">
        <v>0</v>
      </c>
      <c r="C519">
        <f t="shared" ref="C519:C526" si="56">1-(1/(1+(($K$527*$K$526*A519)/($K$519*$K$525))^($K$518)))</f>
        <v>1.4007434169293065E-2</v>
      </c>
      <c r="D519">
        <f t="shared" ref="D519:D526" si="57">(B519-C519)^2</f>
        <v>1.962082120070789E-4</v>
      </c>
      <c r="E519">
        <v>0</v>
      </c>
      <c r="J519" t="s">
        <v>103</v>
      </c>
      <c r="K519">
        <v>12493.7969321411</v>
      </c>
    </row>
    <row r="520" spans="1:11">
      <c r="A520">
        <v>20</v>
      </c>
      <c r="B520">
        <v>0.08</v>
      </c>
      <c r="C520">
        <f t="shared" si="56"/>
        <v>0.10090999941677248</v>
      </c>
      <c r="D520">
        <f t="shared" si="57"/>
        <v>4.3722807560942531E-4</v>
      </c>
      <c r="E520">
        <f t="shared" ref="E520:E526" si="58">(B520-C520)^2/B520</f>
        <v>5.4653509451178164E-3</v>
      </c>
    </row>
    <row r="521" spans="1:11">
      <c r="A521">
        <v>30</v>
      </c>
      <c r="B521">
        <v>0.32</v>
      </c>
      <c r="C521">
        <f t="shared" si="56"/>
        <v>0.27327067098880409</v>
      </c>
      <c r="D521">
        <f t="shared" si="57"/>
        <v>2.1836301898365967E-3</v>
      </c>
      <c r="E521">
        <f t="shared" si="58"/>
        <v>6.8238443432393648E-3</v>
      </c>
    </row>
    <row r="522" spans="1:11">
      <c r="A522">
        <v>48</v>
      </c>
      <c r="B522">
        <v>0.62</v>
      </c>
      <c r="C522">
        <f t="shared" si="56"/>
        <v>0.60430131236333007</v>
      </c>
      <c r="D522">
        <f t="shared" si="57"/>
        <v>2.4644879351373326E-4</v>
      </c>
      <c r="E522">
        <f t="shared" si="58"/>
        <v>3.974980540544085E-4</v>
      </c>
      <c r="H522" t="s">
        <v>134</v>
      </c>
      <c r="I522">
        <f>(100/7)*E527</f>
        <v>0.28453842591873685</v>
      </c>
    </row>
    <row r="523" spans="1:11">
      <c r="A523">
        <v>60</v>
      </c>
      <c r="B523">
        <v>0.74</v>
      </c>
      <c r="C523">
        <f t="shared" si="56"/>
        <v>0.74815854554577865</v>
      </c>
      <c r="D523">
        <f t="shared" si="57"/>
        <v>6.656186542254484E-5</v>
      </c>
      <c r="E523">
        <f t="shared" si="58"/>
        <v>8.9948466787222753E-5</v>
      </c>
    </row>
    <row r="524" spans="1:11">
      <c r="A524">
        <v>85</v>
      </c>
      <c r="B524">
        <v>0.86</v>
      </c>
      <c r="C524">
        <f t="shared" si="56"/>
        <v>0.89354139068648464</v>
      </c>
      <c r="D524">
        <f t="shared" si="57"/>
        <v>1.1250248891833993E-3</v>
      </c>
      <c r="E524">
        <f t="shared" si="58"/>
        <v>1.3081684757946504E-3</v>
      </c>
    </row>
    <row r="525" spans="1:11">
      <c r="A525">
        <v>100</v>
      </c>
      <c r="B525">
        <v>0.89</v>
      </c>
      <c r="C525">
        <f t="shared" si="56"/>
        <v>0.93163334655253072</v>
      </c>
      <c r="D525">
        <f t="shared" si="57"/>
        <v>1.7333355451631203E-3</v>
      </c>
      <c r="E525">
        <f t="shared" si="58"/>
        <v>1.9475680282731687E-3</v>
      </c>
      <c r="J525" t="s">
        <v>105</v>
      </c>
      <c r="K525">
        <v>4</v>
      </c>
    </row>
    <row r="526" spans="1:11">
      <c r="A526">
        <v>120</v>
      </c>
      <c r="B526">
        <v>0.9</v>
      </c>
      <c r="C526">
        <f t="shared" si="56"/>
        <v>0.95913358056925402</v>
      </c>
      <c r="D526">
        <f t="shared" si="57"/>
        <v>3.4967803509404539E-3</v>
      </c>
      <c r="E526">
        <f t="shared" si="58"/>
        <v>3.8853115010449488E-3</v>
      </c>
      <c r="J526" t="s">
        <v>8</v>
      </c>
      <c r="K526">
        <v>12</v>
      </c>
    </row>
    <row r="527" spans="1:11">
      <c r="D527">
        <f>SUM(D518:D526)</f>
        <v>9.4852179216763522E-3</v>
      </c>
      <c r="E527">
        <f>SUM(E518:E526)</f>
        <v>1.9917689814311579E-2</v>
      </c>
      <c r="J527" t="s">
        <v>12</v>
      </c>
      <c r="K527">
        <v>100</v>
      </c>
    </row>
    <row r="528" spans="1:11">
      <c r="J528" t="s">
        <v>210</v>
      </c>
      <c r="K528">
        <v>0.43319999999999997</v>
      </c>
    </row>
    <row r="529" spans="1:11">
      <c r="J529" t="s">
        <v>106</v>
      </c>
      <c r="K529">
        <v>9</v>
      </c>
    </row>
    <row r="533" spans="1:11" ht="16.8">
      <c r="A533" s="2" t="s">
        <v>109</v>
      </c>
    </row>
    <row r="534" spans="1:11">
      <c r="A534" t="s">
        <v>63</v>
      </c>
      <c r="B534" t="s">
        <v>64</v>
      </c>
    </row>
    <row r="535" spans="1:11">
      <c r="A535" t="s">
        <v>29</v>
      </c>
      <c r="B535" t="s">
        <v>43</v>
      </c>
      <c r="C535" t="s">
        <v>99</v>
      </c>
    </row>
    <row r="536" spans="1:11">
      <c r="A536">
        <v>0</v>
      </c>
      <c r="B536">
        <v>0</v>
      </c>
      <c r="C536">
        <f>1-(1/(1+(($K$546*$K$545*A536)/($K$538*$K$544))^($K$537)))</f>
        <v>0</v>
      </c>
      <c r="D536">
        <f>(B536-C536)^2</f>
        <v>0</v>
      </c>
    </row>
    <row r="537" spans="1:11">
      <c r="A537">
        <v>10</v>
      </c>
      <c r="B537">
        <v>0</v>
      </c>
      <c r="C537">
        <f t="shared" ref="C537:C552" si="59">1-(1/(1+(($K$546*$K$545*A537)/($K$538*$K$544))^($K$537)))</f>
        <v>6.5563300045701212E-6</v>
      </c>
      <c r="D537">
        <f t="shared" ref="D537:D552" si="60">(B537-C537)^2</f>
        <v>4.2985463128826443E-11</v>
      </c>
      <c r="J537" t="s">
        <v>21</v>
      </c>
      <c r="K537">
        <v>3.9674517183548499</v>
      </c>
    </row>
    <row r="538" spans="1:11">
      <c r="A538">
        <v>22</v>
      </c>
      <c r="B538">
        <v>0</v>
      </c>
      <c r="C538">
        <f t="shared" si="59"/>
        <v>1.4967321891057317E-4</v>
      </c>
      <c r="D538">
        <f t="shared" si="60"/>
        <v>2.2402072459052359E-8</v>
      </c>
      <c r="J538" t="s">
        <v>103</v>
      </c>
      <c r="K538">
        <v>20251.858468305301</v>
      </c>
    </row>
    <row r="539" spans="1:11">
      <c r="A539">
        <v>30</v>
      </c>
      <c r="B539">
        <v>0</v>
      </c>
      <c r="C539">
        <f t="shared" si="59"/>
        <v>5.1214945362576536E-4</v>
      </c>
      <c r="D539">
        <f t="shared" si="60"/>
        <v>2.6229706284917001E-7</v>
      </c>
    </row>
    <row r="540" spans="1:11">
      <c r="A540">
        <v>41</v>
      </c>
      <c r="B540">
        <v>0</v>
      </c>
      <c r="C540">
        <f t="shared" si="59"/>
        <v>1.766388411125086E-3</v>
      </c>
      <c r="D540">
        <f t="shared" si="60"/>
        <v>3.120128018957006E-6</v>
      </c>
    </row>
    <row r="541" spans="1:11">
      <c r="A541">
        <v>50</v>
      </c>
      <c r="B541">
        <v>0</v>
      </c>
      <c r="C541">
        <f t="shared" si="59"/>
        <v>3.8735384770814951E-3</v>
      </c>
      <c r="D541">
        <f t="shared" si="60"/>
        <v>1.5004300333430828E-5</v>
      </c>
      <c r="F541" t="s">
        <v>100</v>
      </c>
      <c r="G541">
        <f>D553</f>
        <v>7.3722514150643872E-4</v>
      </c>
      <c r="J541" t="s">
        <v>104</v>
      </c>
      <c r="K541" t="e">
        <f>1-(D553/E553)</f>
        <v>#DIV/0!</v>
      </c>
    </row>
    <row r="542" spans="1:11">
      <c r="A542">
        <v>60</v>
      </c>
      <c r="B542">
        <v>0</v>
      </c>
      <c r="C542">
        <f t="shared" si="59"/>
        <v>7.9519542703913038E-3</v>
      </c>
      <c r="D542">
        <f t="shared" si="60"/>
        <v>6.3233576718394485E-5</v>
      </c>
    </row>
    <row r="543" spans="1:11">
      <c r="A543">
        <v>80</v>
      </c>
      <c r="B543">
        <v>0.01</v>
      </c>
      <c r="C543">
        <f t="shared" si="59"/>
        <v>2.4482988051776289E-2</v>
      </c>
      <c r="D543">
        <f t="shared" si="60"/>
        <v>2.0975694290789474E-4</v>
      </c>
    </row>
    <row r="544" spans="1:11">
      <c r="A544">
        <v>100</v>
      </c>
      <c r="B544">
        <v>0.05</v>
      </c>
      <c r="C544">
        <f t="shared" si="59"/>
        <v>5.7341588280045874E-2</v>
      </c>
      <c r="D544">
        <f t="shared" si="60"/>
        <v>5.3898918473706898E-5</v>
      </c>
      <c r="J544" t="s">
        <v>105</v>
      </c>
      <c r="K544">
        <v>4</v>
      </c>
    </row>
    <row r="545" spans="1:11">
      <c r="A545">
        <v>155</v>
      </c>
      <c r="B545">
        <v>0.26</v>
      </c>
      <c r="C545">
        <f t="shared" si="59"/>
        <v>0.25713319499102016</v>
      </c>
      <c r="D545">
        <f t="shared" si="60"/>
        <v>8.218570959511927E-6</v>
      </c>
      <c r="J545" t="s">
        <v>8</v>
      </c>
      <c r="K545">
        <v>8</v>
      </c>
    </row>
    <row r="546" spans="1:11">
      <c r="A546">
        <v>210</v>
      </c>
      <c r="B546">
        <v>0.54</v>
      </c>
      <c r="C546">
        <f t="shared" si="59"/>
        <v>0.53591871325789009</v>
      </c>
      <c r="D546">
        <f t="shared" si="60"/>
        <v>1.6656901471322419E-5</v>
      </c>
      <c r="J546" t="s">
        <v>12</v>
      </c>
      <c r="K546">
        <v>50</v>
      </c>
    </row>
    <row r="547" spans="1:11">
      <c r="A547">
        <v>240</v>
      </c>
      <c r="B547">
        <v>0.66</v>
      </c>
      <c r="C547">
        <f t="shared" si="59"/>
        <v>0.66233163051933008</v>
      </c>
      <c r="D547">
        <f t="shared" si="60"/>
        <v>5.4365008786713299E-6</v>
      </c>
      <c r="J547" t="s">
        <v>210</v>
      </c>
      <c r="K547">
        <v>0.28870000000000001</v>
      </c>
    </row>
    <row r="548" spans="1:11">
      <c r="A548">
        <v>280</v>
      </c>
      <c r="B548">
        <v>0.79</v>
      </c>
      <c r="C548">
        <f t="shared" si="59"/>
        <v>0.78334848232413257</v>
      </c>
      <c r="D548">
        <f t="shared" si="60"/>
        <v>4.4242687392377374E-5</v>
      </c>
      <c r="J548" t="s">
        <v>106</v>
      </c>
      <c r="K548">
        <v>17</v>
      </c>
    </row>
    <row r="549" spans="1:11">
      <c r="A549">
        <v>300</v>
      </c>
      <c r="B549">
        <v>0.83</v>
      </c>
      <c r="C549">
        <f t="shared" si="59"/>
        <v>0.82621173536851134</v>
      </c>
      <c r="D549">
        <f t="shared" si="60"/>
        <v>1.4350948918187646E-5</v>
      </c>
    </row>
    <row r="550" spans="1:11">
      <c r="A550">
        <v>320</v>
      </c>
      <c r="B550">
        <v>0.86</v>
      </c>
      <c r="C550">
        <f t="shared" si="59"/>
        <v>0.85997313546415732</v>
      </c>
      <c r="D550">
        <f t="shared" si="60"/>
        <v>7.2170328604174387E-10</v>
      </c>
    </row>
    <row r="551" spans="1:11">
      <c r="A551">
        <v>340</v>
      </c>
      <c r="B551">
        <v>0.88</v>
      </c>
      <c r="C551">
        <f t="shared" si="59"/>
        <v>0.88651145267295228</v>
      </c>
      <c r="D551">
        <f t="shared" si="60"/>
        <v>4.2399015912097369E-5</v>
      </c>
    </row>
    <row r="552" spans="1:11">
      <c r="A552">
        <v>370</v>
      </c>
      <c r="B552">
        <v>0.9</v>
      </c>
      <c r="C552">
        <f t="shared" si="59"/>
        <v>0.91614376615594484</v>
      </c>
      <c r="D552">
        <f t="shared" si="60"/>
        <v>2.6062118569782929E-4</v>
      </c>
    </row>
    <row r="553" spans="1:11">
      <c r="D553">
        <f>SUM(D536:D552)</f>
        <v>7.3722514150643872E-4</v>
      </c>
    </row>
    <row r="557" spans="1:11" ht="16.8">
      <c r="A557" s="2" t="s">
        <v>144</v>
      </c>
    </row>
    <row r="558" spans="1:11">
      <c r="A558" t="s">
        <v>63</v>
      </c>
      <c r="B558" t="s">
        <v>64</v>
      </c>
    </row>
    <row r="559" spans="1:11">
      <c r="A559" t="s">
        <v>29</v>
      </c>
      <c r="B559" t="s">
        <v>43</v>
      </c>
      <c r="C559" t="s">
        <v>99</v>
      </c>
      <c r="D559" t="s">
        <v>120</v>
      </c>
      <c r="E559" t="s">
        <v>137</v>
      </c>
    </row>
    <row r="560" spans="1:11">
      <c r="A560">
        <v>0</v>
      </c>
      <c r="B560">
        <v>0</v>
      </c>
      <c r="C560">
        <f>1-(1/(1+(($K$570*$K$569*A560)/($K$562*$K$568))^($K$561)))</f>
        <v>0</v>
      </c>
      <c r="D560">
        <f>(B560-C560)^2</f>
        <v>0</v>
      </c>
      <c r="E560">
        <f>ABS(B560-C560)</f>
        <v>0</v>
      </c>
    </row>
    <row r="561" spans="1:11">
      <c r="A561">
        <v>10</v>
      </c>
      <c r="B561">
        <v>0</v>
      </c>
      <c r="C561">
        <f t="shared" ref="C561:C576" si="61">1-(1/(1+(($K$570*$K$569*A561)/($K$562*$K$568))^($K$561)))</f>
        <v>6.5563300045701212E-6</v>
      </c>
      <c r="D561">
        <f t="shared" ref="D561:D576" si="62">(B561-C561)^2</f>
        <v>4.2985463128826443E-11</v>
      </c>
      <c r="E561">
        <f t="shared" ref="E561:E576" si="63">ABS(B561-C561)</f>
        <v>6.5563300045701212E-6</v>
      </c>
      <c r="J561" t="s">
        <v>21</v>
      </c>
      <c r="K561">
        <v>3.9674517183548499</v>
      </c>
    </row>
    <row r="562" spans="1:11">
      <c r="A562">
        <v>22</v>
      </c>
      <c r="B562">
        <v>0</v>
      </c>
      <c r="C562">
        <f t="shared" si="61"/>
        <v>1.4967321891057317E-4</v>
      </c>
      <c r="D562">
        <f t="shared" si="62"/>
        <v>2.2402072459052359E-8</v>
      </c>
      <c r="E562">
        <f t="shared" si="63"/>
        <v>1.4967321891057317E-4</v>
      </c>
      <c r="J562" t="s">
        <v>103</v>
      </c>
      <c r="K562">
        <v>20251.858468305301</v>
      </c>
    </row>
    <row r="563" spans="1:11">
      <c r="A563">
        <v>30</v>
      </c>
      <c r="B563">
        <v>0</v>
      </c>
      <c r="C563">
        <f t="shared" si="61"/>
        <v>5.1214945362576536E-4</v>
      </c>
      <c r="D563">
        <f t="shared" si="62"/>
        <v>2.6229706284917001E-7</v>
      </c>
      <c r="E563">
        <f t="shared" si="63"/>
        <v>5.1214945362576536E-4</v>
      </c>
    </row>
    <row r="564" spans="1:11">
      <c r="A564">
        <v>41</v>
      </c>
      <c r="B564">
        <v>0</v>
      </c>
      <c r="C564">
        <f t="shared" si="61"/>
        <v>1.766388411125086E-3</v>
      </c>
      <c r="D564">
        <f t="shared" si="62"/>
        <v>3.120128018957006E-6</v>
      </c>
      <c r="E564">
        <f t="shared" si="63"/>
        <v>1.766388411125086E-3</v>
      </c>
    </row>
    <row r="565" spans="1:11">
      <c r="A565">
        <v>50</v>
      </c>
      <c r="B565">
        <v>0</v>
      </c>
      <c r="C565">
        <f t="shared" si="61"/>
        <v>3.8735384770814951E-3</v>
      </c>
      <c r="D565">
        <f t="shared" si="62"/>
        <v>1.5004300333430828E-5</v>
      </c>
      <c r="E565">
        <f t="shared" si="63"/>
        <v>3.8735384770814951E-3</v>
      </c>
      <c r="G565" t="s">
        <v>132</v>
      </c>
      <c r="H565">
        <f>E577</f>
        <v>7.8486424435476654E-2</v>
      </c>
    </row>
    <row r="566" spans="1:11">
      <c r="A566">
        <v>60</v>
      </c>
      <c r="B566">
        <v>0</v>
      </c>
      <c r="C566">
        <f t="shared" si="61"/>
        <v>7.9519542703913038E-3</v>
      </c>
      <c r="D566">
        <f t="shared" si="62"/>
        <v>6.3233576718394485E-5</v>
      </c>
      <c r="E566">
        <f t="shared" si="63"/>
        <v>7.9519542703913038E-3</v>
      </c>
    </row>
    <row r="567" spans="1:11">
      <c r="A567">
        <v>80</v>
      </c>
      <c r="B567">
        <v>0.01</v>
      </c>
      <c r="C567">
        <f t="shared" si="61"/>
        <v>2.4482988051776289E-2</v>
      </c>
      <c r="D567">
        <f t="shared" si="62"/>
        <v>2.0975694290789474E-4</v>
      </c>
      <c r="E567">
        <f t="shared" si="63"/>
        <v>1.4482988051776289E-2</v>
      </c>
    </row>
    <row r="568" spans="1:11">
      <c r="A568">
        <v>100</v>
      </c>
      <c r="B568">
        <v>0.05</v>
      </c>
      <c r="C568">
        <f t="shared" si="61"/>
        <v>5.7341588280045874E-2</v>
      </c>
      <c r="D568">
        <f t="shared" si="62"/>
        <v>5.3898918473706898E-5</v>
      </c>
      <c r="E568">
        <f t="shared" si="63"/>
        <v>7.3415882800458715E-3</v>
      </c>
      <c r="J568" t="s">
        <v>105</v>
      </c>
      <c r="K568">
        <v>4</v>
      </c>
    </row>
    <row r="569" spans="1:11">
      <c r="A569">
        <v>155</v>
      </c>
      <c r="B569">
        <v>0.26</v>
      </c>
      <c r="C569">
        <f t="shared" si="61"/>
        <v>0.25713319499102016</v>
      </c>
      <c r="D569">
        <f t="shared" si="62"/>
        <v>8.218570959511927E-6</v>
      </c>
      <c r="E569">
        <f t="shared" si="63"/>
        <v>2.8668050089798447E-3</v>
      </c>
      <c r="J569" t="s">
        <v>8</v>
      </c>
      <c r="K569">
        <v>8</v>
      </c>
    </row>
    <row r="570" spans="1:11">
      <c r="A570">
        <v>210</v>
      </c>
      <c r="B570">
        <v>0.54</v>
      </c>
      <c r="C570">
        <f t="shared" si="61"/>
        <v>0.53591871325789009</v>
      </c>
      <c r="D570">
        <f t="shared" si="62"/>
        <v>1.6656901471322419E-5</v>
      </c>
      <c r="E570">
        <f t="shared" si="63"/>
        <v>4.0812867421099464E-3</v>
      </c>
      <c r="J570" t="s">
        <v>12</v>
      </c>
      <c r="K570">
        <v>50</v>
      </c>
    </row>
    <row r="571" spans="1:11">
      <c r="A571">
        <v>240</v>
      </c>
      <c r="B571">
        <v>0.66</v>
      </c>
      <c r="C571">
        <f t="shared" si="61"/>
        <v>0.66233163051933008</v>
      </c>
      <c r="D571">
        <f t="shared" si="62"/>
        <v>5.4365008786713299E-6</v>
      </c>
      <c r="E571">
        <f t="shared" si="63"/>
        <v>2.3316305193300524E-3</v>
      </c>
      <c r="J571" t="s">
        <v>210</v>
      </c>
      <c r="K571">
        <v>0.28870000000000001</v>
      </c>
    </row>
    <row r="572" spans="1:11">
      <c r="A572">
        <v>280</v>
      </c>
      <c r="B572">
        <v>0.79</v>
      </c>
      <c r="C572">
        <f t="shared" si="61"/>
        <v>0.78334848232413257</v>
      </c>
      <c r="D572">
        <f t="shared" si="62"/>
        <v>4.4242687392377374E-5</v>
      </c>
      <c r="E572">
        <f t="shared" si="63"/>
        <v>6.6515176758674688E-3</v>
      </c>
      <c r="J572" t="s">
        <v>106</v>
      </c>
      <c r="K572">
        <v>17</v>
      </c>
    </row>
    <row r="573" spans="1:11">
      <c r="A573">
        <v>300</v>
      </c>
      <c r="B573">
        <v>0.83</v>
      </c>
      <c r="C573">
        <f t="shared" si="61"/>
        <v>0.82621173536851134</v>
      </c>
      <c r="D573">
        <f t="shared" si="62"/>
        <v>1.4350948918187646E-5</v>
      </c>
      <c r="E573">
        <f t="shared" si="63"/>
        <v>3.7882646314886248E-3</v>
      </c>
    </row>
    <row r="574" spans="1:11">
      <c r="A574">
        <v>320</v>
      </c>
      <c r="B574">
        <v>0.86</v>
      </c>
      <c r="C574">
        <f t="shared" si="61"/>
        <v>0.85997313546415732</v>
      </c>
      <c r="D574">
        <f t="shared" si="62"/>
        <v>7.2170328604174387E-10</v>
      </c>
      <c r="E574">
        <f t="shared" si="63"/>
        <v>2.6864535842663351E-5</v>
      </c>
    </row>
    <row r="575" spans="1:11">
      <c r="A575">
        <v>340</v>
      </c>
      <c r="B575">
        <v>0.88</v>
      </c>
      <c r="C575">
        <f t="shared" si="61"/>
        <v>0.88651145267295228</v>
      </c>
      <c r="D575">
        <f t="shared" si="62"/>
        <v>4.2399015912097369E-5</v>
      </c>
      <c r="E575">
        <f t="shared" si="63"/>
        <v>6.5114526729522781E-3</v>
      </c>
    </row>
    <row r="576" spans="1:11">
      <c r="A576">
        <v>370</v>
      </c>
      <c r="B576">
        <v>0.9</v>
      </c>
      <c r="C576">
        <f t="shared" si="61"/>
        <v>0.91614376615594484</v>
      </c>
      <c r="D576">
        <f t="shared" si="62"/>
        <v>2.6062118569782929E-4</v>
      </c>
      <c r="E576">
        <f t="shared" si="63"/>
        <v>1.6143766155944816E-2</v>
      </c>
    </row>
    <row r="577" spans="1:11">
      <c r="D577">
        <f>SUM(D560:D576)</f>
        <v>7.3722514150643872E-4</v>
      </c>
      <c r="E577">
        <f>SUM(E560:E576)</f>
        <v>7.8486424435476654E-2</v>
      </c>
    </row>
    <row r="585" spans="1:11" ht="16.8">
      <c r="A585" s="3" t="s">
        <v>267</v>
      </c>
    </row>
    <row r="586" spans="1:11">
      <c r="A586" t="s">
        <v>63</v>
      </c>
      <c r="B586" t="s">
        <v>64</v>
      </c>
    </row>
    <row r="587" spans="1:11">
      <c r="A587" t="s">
        <v>29</v>
      </c>
      <c r="B587" t="s">
        <v>43</v>
      </c>
      <c r="C587" t="s">
        <v>99</v>
      </c>
      <c r="D587" t="s">
        <v>120</v>
      </c>
      <c r="E587" t="s">
        <v>119</v>
      </c>
    </row>
    <row r="588" spans="1:11">
      <c r="A588">
        <v>0</v>
      </c>
      <c r="B588">
        <v>0</v>
      </c>
      <c r="C588">
        <f>1-(1/(1+(($K$598*$K$597*A588)/($K$590*$K$596))^($K$589)))</f>
        <v>0</v>
      </c>
      <c r="D588">
        <f>(B588-C588)^2</f>
        <v>0</v>
      </c>
      <c r="E588">
        <v>0</v>
      </c>
    </row>
    <row r="589" spans="1:11">
      <c r="A589">
        <v>10</v>
      </c>
      <c r="B589">
        <v>0</v>
      </c>
      <c r="C589">
        <f t="shared" ref="C589:C604" si="64">1-(1/(1+(($K$598*$K$597*A589)/($K$590*$K$596))^($K$589)))</f>
        <v>4.6007761456134944E-7</v>
      </c>
      <c r="D589">
        <f t="shared" ref="D589:D604" si="65">(B589-C589)^2</f>
        <v>2.1167141142046163E-13</v>
      </c>
      <c r="E589">
        <v>0</v>
      </c>
      <c r="J589" t="s">
        <v>21</v>
      </c>
      <c r="K589">
        <v>4.8852131928610696</v>
      </c>
    </row>
    <row r="590" spans="1:11">
      <c r="A590">
        <v>22</v>
      </c>
      <c r="B590">
        <v>0</v>
      </c>
      <c r="C590">
        <f t="shared" si="64"/>
        <v>2.1658565770854565E-5</v>
      </c>
      <c r="D590">
        <f t="shared" si="65"/>
        <v>4.6909347125043304E-10</v>
      </c>
      <c r="E590">
        <v>0</v>
      </c>
      <c r="J590" t="s">
        <v>103</v>
      </c>
      <c r="K590">
        <v>19825.053059689701</v>
      </c>
    </row>
    <row r="591" spans="1:11">
      <c r="A591">
        <v>30</v>
      </c>
      <c r="B591">
        <v>0</v>
      </c>
      <c r="C591">
        <f t="shared" si="64"/>
        <v>9.8543402134776414E-5</v>
      </c>
      <c r="D591">
        <f t="shared" si="65"/>
        <v>9.7108021042962568E-9</v>
      </c>
      <c r="E591">
        <v>0</v>
      </c>
    </row>
    <row r="592" spans="1:11">
      <c r="A592">
        <v>41</v>
      </c>
      <c r="B592">
        <v>0</v>
      </c>
      <c r="C592">
        <f t="shared" si="64"/>
        <v>4.5312106386363737E-4</v>
      </c>
      <c r="D592">
        <f t="shared" si="65"/>
        <v>2.0531869851691454E-7</v>
      </c>
      <c r="E592">
        <v>0</v>
      </c>
    </row>
    <row r="593" spans="1:11">
      <c r="A593">
        <v>50</v>
      </c>
      <c r="B593">
        <v>0</v>
      </c>
      <c r="C593">
        <f t="shared" si="64"/>
        <v>1.1937957286677348E-3</v>
      </c>
      <c r="D593">
        <f t="shared" si="65"/>
        <v>1.4251482417853278E-6</v>
      </c>
      <c r="E593">
        <v>0</v>
      </c>
      <c r="G593" t="s">
        <v>121</v>
      </c>
      <c r="H593">
        <f>(100)*(1/15)^0.5*F600^0.5</f>
        <v>0.62517257552322691</v>
      </c>
    </row>
    <row r="594" spans="1:11">
      <c r="A594">
        <v>60</v>
      </c>
      <c r="B594">
        <v>0</v>
      </c>
      <c r="C594">
        <f t="shared" si="64"/>
        <v>2.9040427983202388E-3</v>
      </c>
      <c r="D594">
        <f t="shared" si="65"/>
        <v>8.433464574475644E-6</v>
      </c>
      <c r="E594">
        <v>0</v>
      </c>
    </row>
    <row r="595" spans="1:11">
      <c r="A595">
        <v>80</v>
      </c>
      <c r="B595">
        <v>0.01</v>
      </c>
      <c r="C595">
        <f t="shared" si="64"/>
        <v>1.173523345681371E-2</v>
      </c>
      <c r="D595">
        <f t="shared" si="65"/>
        <v>3.0110351496456555E-6</v>
      </c>
      <c r="E595">
        <f t="shared" ref="E595:E604" si="66">(B595-C595)^2/B595^2</f>
        <v>3.0110351496456553E-2</v>
      </c>
    </row>
    <row r="596" spans="1:11">
      <c r="A596">
        <v>100</v>
      </c>
      <c r="B596">
        <v>0.05</v>
      </c>
      <c r="C596">
        <f t="shared" si="64"/>
        <v>3.411686208683451E-2</v>
      </c>
      <c r="D596">
        <f t="shared" si="65"/>
        <v>2.5227406996863508E-4</v>
      </c>
      <c r="E596">
        <f t="shared" si="66"/>
        <v>0.10090962798745401</v>
      </c>
      <c r="J596" t="s">
        <v>105</v>
      </c>
      <c r="K596">
        <v>4</v>
      </c>
    </row>
    <row r="597" spans="1:11">
      <c r="A597">
        <v>155</v>
      </c>
      <c r="B597">
        <v>0.26</v>
      </c>
      <c r="C597">
        <f t="shared" si="64"/>
        <v>0.23106945157049585</v>
      </c>
      <c r="D597">
        <f t="shared" si="65"/>
        <v>8.3697663243188531E-4</v>
      </c>
      <c r="E597">
        <f t="shared" si="66"/>
        <v>1.238131113064919E-2</v>
      </c>
      <c r="J597" t="s">
        <v>8</v>
      </c>
      <c r="K597">
        <v>8</v>
      </c>
    </row>
    <row r="598" spans="1:11">
      <c r="A598">
        <v>210</v>
      </c>
      <c r="B598">
        <v>0.54</v>
      </c>
      <c r="C598">
        <f t="shared" si="64"/>
        <v>0.56985780004702735</v>
      </c>
      <c r="D598">
        <f t="shared" si="65"/>
        <v>8.9148822364826436E-4</v>
      </c>
      <c r="E598">
        <f t="shared" si="66"/>
        <v>3.0572298479021407E-3</v>
      </c>
      <c r="J598" t="s">
        <v>12</v>
      </c>
      <c r="K598">
        <v>50</v>
      </c>
    </row>
    <row r="599" spans="1:11">
      <c r="A599">
        <v>240</v>
      </c>
      <c r="B599">
        <v>0.66</v>
      </c>
      <c r="C599">
        <f t="shared" si="64"/>
        <v>0.7178051422671996</v>
      </c>
      <c r="D599">
        <f t="shared" si="65"/>
        <v>3.3414344725311825E-3</v>
      </c>
      <c r="E599">
        <f t="shared" si="66"/>
        <v>7.6708780361138254E-3</v>
      </c>
      <c r="J599" t="s">
        <v>210</v>
      </c>
      <c r="K599">
        <v>0.28870000000000001</v>
      </c>
    </row>
    <row r="600" spans="1:11">
      <c r="A600">
        <v>280</v>
      </c>
      <c r="B600">
        <v>0.79</v>
      </c>
      <c r="C600">
        <f t="shared" si="64"/>
        <v>0.84378431469919879</v>
      </c>
      <c r="D600">
        <f t="shared" si="65"/>
        <v>2.892752507662447E-3</v>
      </c>
      <c r="E600">
        <f t="shared" si="66"/>
        <v>4.6350785253363985E-3</v>
      </c>
      <c r="F600">
        <f>D605/B605^2</f>
        <v>5.8626112377951727E-4</v>
      </c>
      <c r="J600" t="s">
        <v>106</v>
      </c>
      <c r="K600">
        <v>17</v>
      </c>
    </row>
    <row r="601" spans="1:11">
      <c r="A601">
        <v>300</v>
      </c>
      <c r="B601">
        <v>0.83</v>
      </c>
      <c r="C601">
        <f t="shared" si="64"/>
        <v>0.88326348286323009</v>
      </c>
      <c r="D601">
        <f t="shared" si="65"/>
        <v>2.8369986067216094E-3</v>
      </c>
      <c r="E601">
        <f t="shared" si="66"/>
        <v>4.1181573620577873E-3</v>
      </c>
    </row>
    <row r="602" spans="1:11">
      <c r="A602">
        <v>320</v>
      </c>
      <c r="B602">
        <v>0.86</v>
      </c>
      <c r="C602">
        <f t="shared" si="64"/>
        <v>0.9120549923744663</v>
      </c>
      <c r="D602">
        <f t="shared" si="65"/>
        <v>2.709722231105746E-3</v>
      </c>
      <c r="E602">
        <f t="shared" si="66"/>
        <v>3.6637672135015498E-3</v>
      </c>
    </row>
    <row r="603" spans="1:11">
      <c r="A603">
        <v>340</v>
      </c>
      <c r="B603">
        <v>0.88</v>
      </c>
      <c r="C603">
        <f t="shared" si="64"/>
        <v>0.93308997234261326</v>
      </c>
      <c r="D603">
        <f t="shared" si="65"/>
        <v>2.8185451633394405E-3</v>
      </c>
      <c r="E603">
        <f t="shared" si="66"/>
        <v>3.6396502625767571E-3</v>
      </c>
    </row>
    <row r="604" spans="1:11">
      <c r="A604">
        <v>370</v>
      </c>
      <c r="B604">
        <v>0.9</v>
      </c>
      <c r="C604">
        <f t="shared" si="64"/>
        <v>0.9547062069009975</v>
      </c>
      <c r="D604">
        <f t="shared" si="65"/>
        <v>2.9927690734947443E-3</v>
      </c>
      <c r="E604">
        <f t="shared" si="66"/>
        <v>3.6947766339441284E-3</v>
      </c>
    </row>
    <row r="605" spans="1:11">
      <c r="B605">
        <f>SUM(B588:B604)</f>
        <v>5.78</v>
      </c>
      <c r="D605">
        <f>SUM(D588:D604)</f>
        <v>1.9586046127675626E-2</v>
      </c>
      <c r="E605">
        <f>SUM(E588:E604)</f>
        <v>0.17388082849599235</v>
      </c>
    </row>
    <row r="612" spans="1:11" ht="16.8">
      <c r="A612" s="2" t="s">
        <v>133</v>
      </c>
    </row>
    <row r="613" spans="1:11">
      <c r="A613" t="s">
        <v>63</v>
      </c>
      <c r="B613" t="s">
        <v>64</v>
      </c>
    </row>
    <row r="614" spans="1:11">
      <c r="A614" t="s">
        <v>29</v>
      </c>
      <c r="B614" t="s">
        <v>43</v>
      </c>
      <c r="C614" t="s">
        <v>99</v>
      </c>
      <c r="D614" t="s">
        <v>120</v>
      </c>
      <c r="E614" t="s">
        <v>119</v>
      </c>
    </row>
    <row r="615" spans="1:11">
      <c r="A615">
        <v>0</v>
      </c>
      <c r="B615">
        <v>0</v>
      </c>
      <c r="C615">
        <f>1-(1/(1+(($K$625*$K$624*A615)/($K$617*$K$623))^($K$616)))</f>
        <v>0</v>
      </c>
      <c r="D615">
        <f>(B615-C615)^2</f>
        <v>0</v>
      </c>
      <c r="E615">
        <v>0</v>
      </c>
    </row>
    <row r="616" spans="1:11">
      <c r="A616">
        <v>10</v>
      </c>
      <c r="B616">
        <v>0</v>
      </c>
      <c r="C616">
        <f t="shared" ref="C616:C631" si="67">1-(1/(1+(($K$625*$K$624*A616)/($K$617*$K$623))^($K$616)))</f>
        <v>2.3595020447464421E-6</v>
      </c>
      <c r="D616">
        <f t="shared" ref="D616:D631" si="68">(B616-C616)^2</f>
        <v>5.5672498991626409E-12</v>
      </c>
      <c r="E616">
        <v>0</v>
      </c>
      <c r="J616" t="s">
        <v>21</v>
      </c>
      <c r="K616">
        <v>4.2979181275711102</v>
      </c>
    </row>
    <row r="617" spans="1:11">
      <c r="A617">
        <v>22</v>
      </c>
      <c r="B617">
        <v>0</v>
      </c>
      <c r="C617">
        <f t="shared" si="67"/>
        <v>6.9902976792213245E-5</v>
      </c>
      <c r="D617">
        <f t="shared" si="68"/>
        <v>4.8864261644127032E-9</v>
      </c>
      <c r="E617">
        <v>0</v>
      </c>
      <c r="J617" t="s">
        <v>103</v>
      </c>
      <c r="K617">
        <v>20383.562360740201</v>
      </c>
    </row>
    <row r="618" spans="1:11">
      <c r="A618">
        <v>30</v>
      </c>
      <c r="B618">
        <v>0</v>
      </c>
      <c r="C618">
        <f t="shared" si="67"/>
        <v>2.6505398965537275E-4</v>
      </c>
      <c r="D618">
        <f t="shared" si="68"/>
        <v>7.0253617432230446E-8</v>
      </c>
      <c r="E618">
        <v>0</v>
      </c>
    </row>
    <row r="619" spans="1:11">
      <c r="A619">
        <v>41</v>
      </c>
      <c r="B619">
        <v>0</v>
      </c>
      <c r="C619">
        <f t="shared" si="67"/>
        <v>1.0140878808769793E-3</v>
      </c>
      <c r="D619">
        <f t="shared" si="68"/>
        <v>1.0283742301415626E-6</v>
      </c>
      <c r="E619">
        <v>0</v>
      </c>
    </row>
    <row r="620" spans="1:11">
      <c r="A620">
        <v>50</v>
      </c>
      <c r="B620">
        <v>0</v>
      </c>
      <c r="C620">
        <f t="shared" si="67"/>
        <v>2.3763148742305118E-3</v>
      </c>
      <c r="D620">
        <f t="shared" si="68"/>
        <v>5.6468723814891731E-6</v>
      </c>
      <c r="E620">
        <v>0</v>
      </c>
      <c r="H620" t="s">
        <v>134</v>
      </c>
      <c r="I620">
        <f>(100/15)*E632</f>
        <v>7.1265722064487516E-2</v>
      </c>
    </row>
    <row r="621" spans="1:11">
      <c r="A621">
        <v>60</v>
      </c>
      <c r="B621">
        <v>0</v>
      </c>
      <c r="C621">
        <f t="shared" si="67"/>
        <v>5.1879143859142607E-3</v>
      </c>
      <c r="D621">
        <f t="shared" si="68"/>
        <v>2.691445567557614E-5</v>
      </c>
      <c r="E621">
        <v>0</v>
      </c>
    </row>
    <row r="622" spans="1:11">
      <c r="A622">
        <v>80</v>
      </c>
      <c r="B622">
        <v>0.01</v>
      </c>
      <c r="C622">
        <f t="shared" si="67"/>
        <v>1.7640011902933517E-2</v>
      </c>
      <c r="D622">
        <f t="shared" si="68"/>
        <v>5.836978187696581E-5</v>
      </c>
      <c r="E622">
        <f>(B622-C622)^2/B622</f>
        <v>5.836978187696581E-3</v>
      </c>
    </row>
    <row r="623" spans="1:11">
      <c r="A623">
        <v>100</v>
      </c>
      <c r="B623">
        <v>0.05</v>
      </c>
      <c r="C623">
        <f t="shared" si="67"/>
        <v>4.4756252372780914E-2</v>
      </c>
      <c r="D623">
        <f t="shared" si="68"/>
        <v>2.7496889177965828E-5</v>
      </c>
      <c r="E623">
        <f t="shared" ref="E623:E631" si="69">(B623-C623)^2/B623</f>
        <v>5.4993778355931651E-4</v>
      </c>
      <c r="J623" t="s">
        <v>105</v>
      </c>
      <c r="K623">
        <v>4</v>
      </c>
    </row>
    <row r="624" spans="1:11">
      <c r="A624">
        <v>155</v>
      </c>
      <c r="B624">
        <v>0.26</v>
      </c>
      <c r="C624">
        <f t="shared" si="67"/>
        <v>0.23556473689403412</v>
      </c>
      <c r="D624">
        <f t="shared" si="68"/>
        <v>5.9708208305777764E-4</v>
      </c>
      <c r="E624">
        <f t="shared" si="69"/>
        <v>2.2964695502222217E-3</v>
      </c>
      <c r="J624" t="s">
        <v>8</v>
      </c>
      <c r="K624">
        <v>8</v>
      </c>
    </row>
    <row r="625" spans="1:11">
      <c r="A625">
        <v>210</v>
      </c>
      <c r="B625">
        <v>0.54</v>
      </c>
      <c r="C625">
        <f t="shared" si="67"/>
        <v>0.53196897292720857</v>
      </c>
      <c r="D625">
        <f t="shared" si="68"/>
        <v>6.4497395843909425E-5</v>
      </c>
      <c r="E625">
        <f t="shared" si="69"/>
        <v>1.1943962193316559E-4</v>
      </c>
      <c r="J625" t="s">
        <v>12</v>
      </c>
      <c r="K625">
        <v>50</v>
      </c>
    </row>
    <row r="626" spans="1:11">
      <c r="A626">
        <v>240</v>
      </c>
      <c r="B626">
        <v>0.66</v>
      </c>
      <c r="C626">
        <f t="shared" si="67"/>
        <v>0.66862164724066608</v>
      </c>
      <c r="D626">
        <f t="shared" si="68"/>
        <v>7.4332801142484566E-5</v>
      </c>
      <c r="E626">
        <f t="shared" si="69"/>
        <v>1.1262545627649175E-4</v>
      </c>
      <c r="J626" t="s">
        <v>210</v>
      </c>
      <c r="K626">
        <v>0.28870000000000001</v>
      </c>
    </row>
    <row r="627" spans="1:11">
      <c r="A627">
        <v>280</v>
      </c>
      <c r="B627">
        <v>0.79</v>
      </c>
      <c r="C627">
        <f t="shared" si="67"/>
        <v>0.79648759107306755</v>
      </c>
      <c r="D627">
        <f t="shared" si="68"/>
        <v>4.2088837931345262E-5</v>
      </c>
      <c r="E627">
        <f t="shared" si="69"/>
        <v>5.3277010039677543E-5</v>
      </c>
      <c r="J627" t="s">
        <v>106</v>
      </c>
      <c r="K627">
        <v>17</v>
      </c>
    </row>
    <row r="628" spans="1:11">
      <c r="A628">
        <v>300</v>
      </c>
      <c r="B628">
        <v>0.83</v>
      </c>
      <c r="C628">
        <f t="shared" si="67"/>
        <v>0.8403735748344271</v>
      </c>
      <c r="D628">
        <f t="shared" si="68"/>
        <v>1.0761105484545996E-4</v>
      </c>
      <c r="E628">
        <f t="shared" si="69"/>
        <v>1.296518733077831E-4</v>
      </c>
    </row>
    <row r="629" spans="1:11">
      <c r="A629">
        <v>320</v>
      </c>
      <c r="B629">
        <v>0.86</v>
      </c>
      <c r="C629">
        <f t="shared" si="67"/>
        <v>0.87417533333767161</v>
      </c>
      <c r="D629">
        <f t="shared" si="68"/>
        <v>2.0094007523410457E-4</v>
      </c>
      <c r="E629">
        <f t="shared" si="69"/>
        <v>2.3365125027221463E-4</v>
      </c>
    </row>
    <row r="630" spans="1:11">
      <c r="A630">
        <v>340</v>
      </c>
      <c r="B630">
        <v>0.88</v>
      </c>
      <c r="C630">
        <f t="shared" si="67"/>
        <v>0.90015529085438351</v>
      </c>
      <c r="D630">
        <f t="shared" si="68"/>
        <v>4.0623574942479519E-4</v>
      </c>
      <c r="E630">
        <f t="shared" si="69"/>
        <v>4.6163153343726723E-4</v>
      </c>
    </row>
    <row r="631" spans="1:11">
      <c r="A631">
        <v>370</v>
      </c>
      <c r="B631">
        <v>0.9</v>
      </c>
      <c r="C631">
        <f t="shared" si="67"/>
        <v>0.9284002894111234</v>
      </c>
      <c r="D631">
        <f t="shared" si="68"/>
        <v>8.0657643863556682E-4</v>
      </c>
      <c r="E631">
        <f t="shared" si="69"/>
        <v>8.961960429284075E-4</v>
      </c>
    </row>
    <row r="632" spans="1:11">
      <c r="D632">
        <f>SUM(D615:D631)</f>
        <v>2.4188959550684288E-3</v>
      </c>
      <c r="E632">
        <f>SUM(E615:E631)</f>
        <v>1.0689858309673127E-2</v>
      </c>
    </row>
    <row r="641" spans="1:11" ht="16.8">
      <c r="A641" s="2" t="s">
        <v>109</v>
      </c>
    </row>
    <row r="642" spans="1:11">
      <c r="B642" t="s">
        <v>66</v>
      </c>
      <c r="J642" t="s">
        <v>21</v>
      </c>
      <c r="K642">
        <v>3.3466100802363101</v>
      </c>
    </row>
    <row r="643" spans="1:11">
      <c r="A643" t="s">
        <v>29</v>
      </c>
      <c r="B643" t="s">
        <v>43</v>
      </c>
      <c r="C643" t="s">
        <v>99</v>
      </c>
      <c r="D643" t="s">
        <v>120</v>
      </c>
      <c r="J643" t="s">
        <v>103</v>
      </c>
      <c r="K643">
        <v>11897.859816594</v>
      </c>
    </row>
    <row r="644" spans="1:11">
      <c r="A644">
        <v>0</v>
      </c>
      <c r="B644">
        <v>0</v>
      </c>
      <c r="C644">
        <f>1-(1/(1+(($K$651*$K$650*A644)/($K$643*$K$649))^($K$642)))</f>
        <v>0</v>
      </c>
      <c r="D644">
        <f>(B644-C644)^2</f>
        <v>0</v>
      </c>
    </row>
    <row r="645" spans="1:11">
      <c r="A645">
        <v>10</v>
      </c>
      <c r="B645">
        <v>0</v>
      </c>
      <c r="C645">
        <f t="shared" ref="C645:C653" si="70">1-(1/(1+(($K$651*$K$650*A645)/($K$643*$K$649))^($K$642)))</f>
        <v>9.8461532945708363E-3</v>
      </c>
      <c r="D645">
        <f t="shared" ref="D645:D653" si="71">(B645-C645)^2</f>
        <v>9.6946734700188128E-5</v>
      </c>
    </row>
    <row r="646" spans="1:11">
      <c r="A646">
        <v>15</v>
      </c>
      <c r="B646">
        <v>0.01</v>
      </c>
      <c r="C646">
        <f t="shared" si="70"/>
        <v>3.718893729935302E-2</v>
      </c>
      <c r="D646">
        <f t="shared" si="71"/>
        <v>7.392383114681498E-4</v>
      </c>
      <c r="F646" t="s">
        <v>100</v>
      </c>
      <c r="G646">
        <f>D654</f>
        <v>5.6044473275090184E-3</v>
      </c>
    </row>
    <row r="647" spans="1:11">
      <c r="A647">
        <v>25</v>
      </c>
      <c r="B647">
        <v>0.2</v>
      </c>
      <c r="C647">
        <f t="shared" si="70"/>
        <v>0.1759093570814354</v>
      </c>
      <c r="D647">
        <f t="shared" si="71"/>
        <v>5.8035907622978715E-4</v>
      </c>
    </row>
    <row r="648" spans="1:11">
      <c r="A648">
        <v>40</v>
      </c>
      <c r="B648">
        <v>0.48</v>
      </c>
      <c r="C648">
        <f t="shared" si="70"/>
        <v>0.50715131274600356</v>
      </c>
      <c r="D648">
        <f t="shared" si="71"/>
        <v>7.3719378383129623E-4</v>
      </c>
    </row>
    <row r="649" spans="1:11">
      <c r="A649">
        <v>50</v>
      </c>
      <c r="B649">
        <v>0.69</v>
      </c>
      <c r="C649">
        <f t="shared" si="70"/>
        <v>0.6846839034027421</v>
      </c>
      <c r="D649">
        <f t="shared" si="71"/>
        <v>2.8260883031376454E-5</v>
      </c>
      <c r="J649" t="s">
        <v>105</v>
      </c>
      <c r="K649">
        <v>4</v>
      </c>
    </row>
    <row r="650" spans="1:11">
      <c r="A650">
        <v>60</v>
      </c>
      <c r="B650">
        <v>0.83</v>
      </c>
      <c r="C650">
        <f t="shared" si="70"/>
        <v>0.79987940612440533</v>
      </c>
      <c r="D650">
        <f t="shared" si="71"/>
        <v>9.0725017541850846E-4</v>
      </c>
      <c r="J650" t="s">
        <v>8</v>
      </c>
      <c r="K650">
        <v>8</v>
      </c>
    </row>
    <row r="651" spans="1:11">
      <c r="A651">
        <v>70</v>
      </c>
      <c r="B651">
        <v>0.88</v>
      </c>
      <c r="C651">
        <f t="shared" si="70"/>
        <v>0.87005250077008311</v>
      </c>
      <c r="D651">
        <f t="shared" si="71"/>
        <v>9.8952740929197117E-5</v>
      </c>
      <c r="J651" t="s">
        <v>12</v>
      </c>
      <c r="K651">
        <v>150</v>
      </c>
    </row>
    <row r="652" spans="1:11">
      <c r="A652">
        <v>75</v>
      </c>
      <c r="B652">
        <v>0.89</v>
      </c>
      <c r="C652">
        <f t="shared" si="70"/>
        <v>0.89400460514410229</v>
      </c>
      <c r="D652">
        <f t="shared" si="71"/>
        <v>1.6036862360170442E-5</v>
      </c>
      <c r="J652" t="s">
        <v>210</v>
      </c>
      <c r="K652">
        <v>0.28870000000000001</v>
      </c>
    </row>
    <row r="653" spans="1:11">
      <c r="A653">
        <v>95</v>
      </c>
      <c r="B653">
        <v>0.9</v>
      </c>
      <c r="C653">
        <f t="shared" si="70"/>
        <v>0.94899192545246969</v>
      </c>
      <c r="D653">
        <f t="shared" si="71"/>
        <v>2.4002087595403451E-3</v>
      </c>
      <c r="J653" t="s">
        <v>106</v>
      </c>
      <c r="K653">
        <v>10</v>
      </c>
    </row>
    <row r="654" spans="1:11">
      <c r="D654">
        <f>SUM(D644:D653)</f>
        <v>5.6044473275090184E-3</v>
      </c>
    </row>
    <row r="663" spans="1:11" ht="16.8">
      <c r="A663" s="2" t="s">
        <v>144</v>
      </c>
    </row>
    <row r="664" spans="1:11">
      <c r="B664" t="s">
        <v>66</v>
      </c>
      <c r="J664" t="s">
        <v>21</v>
      </c>
      <c r="K664">
        <v>3.5421545033066599</v>
      </c>
    </row>
    <row r="665" spans="1:11">
      <c r="A665" t="s">
        <v>29</v>
      </c>
      <c r="B665" t="s">
        <v>43</v>
      </c>
      <c r="C665" t="s">
        <v>99</v>
      </c>
      <c r="D665" t="s">
        <v>120</v>
      </c>
      <c r="E665" t="s">
        <v>137</v>
      </c>
      <c r="J665" t="s">
        <v>103</v>
      </c>
      <c r="K665">
        <v>11967.14494708</v>
      </c>
    </row>
    <row r="666" spans="1:11">
      <c r="A666">
        <v>0</v>
      </c>
      <c r="B666">
        <v>0</v>
      </c>
      <c r="C666">
        <f>1-(1/(1+(($K$673*$K$672*A666)/($K$665*$K$671))^($K$664)))</f>
        <v>0</v>
      </c>
      <c r="D666">
        <f>(B666-C666)^2</f>
        <v>0</v>
      </c>
      <c r="E666">
        <f>ABS(B666-C666)</f>
        <v>0</v>
      </c>
    </row>
    <row r="667" spans="1:11">
      <c r="A667">
        <v>10</v>
      </c>
      <c r="B667">
        <v>0</v>
      </c>
      <c r="C667">
        <f t="shared" ref="C667:C675" si="72">1-(1/(1+(($K$673*$K$672*A667)/($K$665*$K$671))^($K$664)))</f>
        <v>7.385986634571684E-3</v>
      </c>
      <c r="D667">
        <f t="shared" ref="D667:D675" si="73">(B667-C667)^2</f>
        <v>5.4552798566071548E-5</v>
      </c>
      <c r="E667">
        <f t="shared" ref="E667:E675" si="74">ABS(B667-C667)</f>
        <v>7.385986634571684E-3</v>
      </c>
    </row>
    <row r="668" spans="1:11">
      <c r="A668">
        <v>15</v>
      </c>
      <c r="B668">
        <v>0.01</v>
      </c>
      <c r="C668">
        <f t="shared" si="72"/>
        <v>3.0338270336898399E-2</v>
      </c>
      <c r="D668">
        <f t="shared" si="73"/>
        <v>4.136452402967612E-4</v>
      </c>
      <c r="E668">
        <f t="shared" si="74"/>
        <v>2.0338270336898397E-2</v>
      </c>
      <c r="H668" t="s">
        <v>132</v>
      </c>
      <c r="I668">
        <f>E676</f>
        <v>0.17967091993663548</v>
      </c>
    </row>
    <row r="669" spans="1:11">
      <c r="A669">
        <v>25</v>
      </c>
      <c r="B669">
        <v>0.2</v>
      </c>
      <c r="C669">
        <f t="shared" si="72"/>
        <v>0.16041897088188894</v>
      </c>
      <c r="D669">
        <f t="shared" si="73"/>
        <v>1.5666578660487561E-3</v>
      </c>
      <c r="E669">
        <f t="shared" si="74"/>
        <v>3.9581029118111066E-2</v>
      </c>
    </row>
    <row r="670" spans="1:11">
      <c r="A670">
        <v>40</v>
      </c>
      <c r="B670">
        <v>0.48</v>
      </c>
      <c r="C670">
        <f t="shared" si="72"/>
        <v>0.50242784094995907</v>
      </c>
      <c r="D670">
        <f t="shared" si="73"/>
        <v>5.0300804967666176E-4</v>
      </c>
      <c r="E670">
        <f t="shared" si="74"/>
        <v>2.2427840949959088E-2</v>
      </c>
    </row>
    <row r="671" spans="1:11">
      <c r="A671">
        <v>50</v>
      </c>
      <c r="B671">
        <v>0.69</v>
      </c>
      <c r="C671">
        <f t="shared" si="72"/>
        <v>0.69000022998180488</v>
      </c>
      <c r="D671">
        <f t="shared" si="73"/>
        <v>5.2891630600418897E-14</v>
      </c>
      <c r="E671">
        <f t="shared" si="74"/>
        <v>2.2998180493338793E-7</v>
      </c>
      <c r="J671" t="s">
        <v>105</v>
      </c>
      <c r="K671">
        <v>4</v>
      </c>
    </row>
    <row r="672" spans="1:11">
      <c r="A672">
        <v>60</v>
      </c>
      <c r="B672">
        <v>0.83</v>
      </c>
      <c r="C672">
        <f t="shared" si="72"/>
        <v>0.80937149784586015</v>
      </c>
      <c r="D672">
        <f t="shared" si="73"/>
        <v>4.2553510112335058E-4</v>
      </c>
      <c r="E672">
        <f t="shared" si="74"/>
        <v>2.0628502154139805E-2</v>
      </c>
      <c r="J672" t="s">
        <v>8</v>
      </c>
      <c r="K672">
        <v>8</v>
      </c>
    </row>
    <row r="673" spans="1:11">
      <c r="A673">
        <v>70</v>
      </c>
      <c r="B673">
        <v>0.88</v>
      </c>
      <c r="C673">
        <f t="shared" si="72"/>
        <v>0.87995002730452754</v>
      </c>
      <c r="D673">
        <f t="shared" si="73"/>
        <v>2.4972702927838869E-9</v>
      </c>
      <c r="E673">
        <f t="shared" si="74"/>
        <v>4.9972695472466633E-5</v>
      </c>
      <c r="J673" t="s">
        <v>12</v>
      </c>
      <c r="K673">
        <v>150</v>
      </c>
    </row>
    <row r="674" spans="1:11">
      <c r="A674">
        <v>75</v>
      </c>
      <c r="B674">
        <v>0.89</v>
      </c>
      <c r="C674">
        <f t="shared" si="72"/>
        <v>0.90346575875565205</v>
      </c>
      <c r="D674">
        <f t="shared" si="73"/>
        <v>1.8132665886541946E-4</v>
      </c>
      <c r="E674">
        <f t="shared" si="74"/>
        <v>1.3465758755652035E-2</v>
      </c>
      <c r="J674" t="s">
        <v>210</v>
      </c>
      <c r="K674">
        <v>0.28870000000000001</v>
      </c>
    </row>
    <row r="675" spans="1:11">
      <c r="A675">
        <v>95</v>
      </c>
      <c r="B675">
        <v>0.9</v>
      </c>
      <c r="C675">
        <f t="shared" si="72"/>
        <v>0.95579332931002603</v>
      </c>
      <c r="D675">
        <f t="shared" si="73"/>
        <v>3.1128955954970072E-3</v>
      </c>
      <c r="E675">
        <f t="shared" si="74"/>
        <v>5.5793329310026007E-2</v>
      </c>
      <c r="J675" t="s">
        <v>106</v>
      </c>
      <c r="K675">
        <v>10</v>
      </c>
    </row>
    <row r="676" spans="1:11">
      <c r="D676">
        <f>SUM(D666:D675)</f>
        <v>6.2576238073972119E-3</v>
      </c>
      <c r="E676">
        <f>SUM(E666:E675)</f>
        <v>0.17967091993663548</v>
      </c>
    </row>
    <row r="683" spans="1:11" ht="16.8">
      <c r="A683" s="3" t="s">
        <v>267</v>
      </c>
    </row>
    <row r="684" spans="1:11">
      <c r="B684" t="s">
        <v>66</v>
      </c>
      <c r="J684" t="s">
        <v>21</v>
      </c>
      <c r="K684">
        <v>4.6988740711043402</v>
      </c>
    </row>
    <row r="685" spans="1:11">
      <c r="A685" t="s">
        <v>29</v>
      </c>
      <c r="B685" t="s">
        <v>43</v>
      </c>
      <c r="C685" t="s">
        <v>99</v>
      </c>
      <c r="D685" t="s">
        <v>120</v>
      </c>
      <c r="E685" t="s">
        <v>119</v>
      </c>
      <c r="J685" t="s">
        <v>103</v>
      </c>
      <c r="K685">
        <v>11698.6978672276</v>
      </c>
    </row>
    <row r="686" spans="1:11">
      <c r="A686">
        <v>0</v>
      </c>
      <c r="B686">
        <v>0</v>
      </c>
      <c r="C686">
        <f>1-(1/(1+(($K$693*$K$692*A686)/($K$685*$K$691))^($K$684)))</f>
        <v>0</v>
      </c>
      <c r="D686">
        <f>(B686-C686)^2</f>
        <v>0</v>
      </c>
      <c r="E686">
        <v>0</v>
      </c>
    </row>
    <row r="687" spans="1:11">
      <c r="A687">
        <v>10</v>
      </c>
      <c r="B687">
        <v>0</v>
      </c>
      <c r="C687">
        <f t="shared" ref="C687:C695" si="75">1-(1/(1+(($K$693*$K$692*A687)/($K$685*$K$691))^($K$684)))</f>
        <v>1.6678769919706848E-3</v>
      </c>
      <c r="D687">
        <f t="shared" ref="D687:D695" si="76">(B687-C687)^2</f>
        <v>2.7818136603451801E-6</v>
      </c>
      <c r="E687">
        <v>0</v>
      </c>
    </row>
    <row r="688" spans="1:11">
      <c r="A688">
        <v>15</v>
      </c>
      <c r="B688">
        <v>0.01</v>
      </c>
      <c r="C688">
        <f t="shared" si="75"/>
        <v>1.1103767153278543E-2</v>
      </c>
      <c r="D688">
        <f t="shared" si="76"/>
        <v>1.2183019286566185E-6</v>
      </c>
      <c r="E688">
        <f t="shared" ref="E688:E695" si="77">((B688-C688)/B688)^2</f>
        <v>1.2183019286566184E-2</v>
      </c>
      <c r="H688" t="s">
        <v>121</v>
      </c>
      <c r="I688">
        <f>(100)*(1/8)^0.5*F694^0.5</f>
        <v>1.3326758347403278</v>
      </c>
    </row>
    <row r="689" spans="1:11">
      <c r="A689">
        <v>25</v>
      </c>
      <c r="B689">
        <v>0.2</v>
      </c>
      <c r="C689">
        <f t="shared" si="75"/>
        <v>0.11017059930898787</v>
      </c>
      <c r="D689">
        <f t="shared" si="76"/>
        <v>8.0693212285064125E-3</v>
      </c>
      <c r="E689">
        <f t="shared" si="77"/>
        <v>0.2017330307126603</v>
      </c>
    </row>
    <row r="690" spans="1:11">
      <c r="A690">
        <v>40</v>
      </c>
      <c r="B690">
        <v>0.48</v>
      </c>
      <c r="C690">
        <f t="shared" si="75"/>
        <v>0.52983655291334031</v>
      </c>
      <c r="D690">
        <f t="shared" si="76"/>
        <v>2.4836820062841703E-3</v>
      </c>
      <c r="E690">
        <f t="shared" si="77"/>
        <v>1.0779869818941711E-2</v>
      </c>
    </row>
    <row r="691" spans="1:11">
      <c r="A691">
        <v>50</v>
      </c>
      <c r="B691">
        <v>0.69</v>
      </c>
      <c r="C691">
        <f t="shared" si="75"/>
        <v>0.76278541895938501</v>
      </c>
      <c r="D691">
        <f t="shared" si="76"/>
        <v>5.2977172130932101E-3</v>
      </c>
      <c r="E691">
        <f t="shared" si="77"/>
        <v>1.1127320338360032E-2</v>
      </c>
      <c r="J691" t="s">
        <v>105</v>
      </c>
      <c r="K691">
        <v>4</v>
      </c>
    </row>
    <row r="692" spans="1:11">
      <c r="A692">
        <v>60</v>
      </c>
      <c r="B692">
        <v>0.83</v>
      </c>
      <c r="C692">
        <f t="shared" si="75"/>
        <v>0.88336794451376077</v>
      </c>
      <c r="D692">
        <f t="shared" si="76"/>
        <v>2.8481375016238528E-3</v>
      </c>
      <c r="E692">
        <f t="shared" si="77"/>
        <v>4.1343264648335803E-3</v>
      </c>
      <c r="J692" t="s">
        <v>8</v>
      </c>
      <c r="K692">
        <v>8</v>
      </c>
    </row>
    <row r="693" spans="1:11">
      <c r="A693">
        <v>70</v>
      </c>
      <c r="B693">
        <v>0.88</v>
      </c>
      <c r="C693">
        <f t="shared" si="75"/>
        <v>0.9398598044020785</v>
      </c>
      <c r="D693">
        <f t="shared" si="76"/>
        <v>3.5831961830550961E-3</v>
      </c>
      <c r="E693">
        <f t="shared" si="77"/>
        <v>4.6270611867963536E-3</v>
      </c>
      <c r="J693" t="s">
        <v>12</v>
      </c>
      <c r="K693">
        <v>150</v>
      </c>
    </row>
    <row r="694" spans="1:11">
      <c r="A694">
        <v>75</v>
      </c>
      <c r="B694">
        <v>0.89</v>
      </c>
      <c r="C694">
        <f t="shared" si="75"/>
        <v>0.9557753726103877</v>
      </c>
      <c r="D694">
        <f t="shared" si="76"/>
        <v>4.326399642035338E-3</v>
      </c>
      <c r="E694">
        <f t="shared" si="77"/>
        <v>5.4619361722450938E-3</v>
      </c>
      <c r="F694">
        <f>D696/B696^2</f>
        <v>1.4208199044006631E-3</v>
      </c>
      <c r="J694" t="s">
        <v>210</v>
      </c>
      <c r="K694">
        <v>0.28870000000000001</v>
      </c>
    </row>
    <row r="695" spans="1:11">
      <c r="A695">
        <v>95</v>
      </c>
      <c r="B695">
        <v>0.9</v>
      </c>
      <c r="C695">
        <f t="shared" si="75"/>
        <v>0.98499129156079501</v>
      </c>
      <c r="D695">
        <f t="shared" si="76"/>
        <v>7.2235196411720619E-3</v>
      </c>
      <c r="E695">
        <f t="shared" si="77"/>
        <v>8.9179254829284699E-3</v>
      </c>
      <c r="J695" t="s">
        <v>106</v>
      </c>
      <c r="K695">
        <v>10</v>
      </c>
    </row>
    <row r="696" spans="1:11">
      <c r="B696">
        <f>SUM(B686:B695)</f>
        <v>4.88</v>
      </c>
      <c r="D696">
        <f>SUM(D686:D695)</f>
        <v>3.3835973531359149E-2</v>
      </c>
      <c r="E696">
        <f>SUM(E686:E695)</f>
        <v>0.25896448946333173</v>
      </c>
    </row>
    <row r="708" spans="1:11" ht="16.8">
      <c r="A708" s="2" t="s">
        <v>133</v>
      </c>
    </row>
    <row r="709" spans="1:11">
      <c r="B709" t="s">
        <v>66</v>
      </c>
      <c r="J709" t="s">
        <v>21</v>
      </c>
      <c r="K709">
        <v>3.8849720029775399</v>
      </c>
    </row>
    <row r="710" spans="1:11">
      <c r="A710" t="s">
        <v>29</v>
      </c>
      <c r="B710" t="s">
        <v>43</v>
      </c>
      <c r="C710" t="s">
        <v>99</v>
      </c>
      <c r="D710" t="s">
        <v>120</v>
      </c>
      <c r="E710" t="s">
        <v>119</v>
      </c>
      <c r="J710" t="s">
        <v>103</v>
      </c>
      <c r="K710">
        <v>12084.7164199863</v>
      </c>
    </row>
    <row r="711" spans="1:11">
      <c r="A711">
        <v>0</v>
      </c>
      <c r="B711">
        <v>0</v>
      </c>
      <c r="C711">
        <f>1-(1/(1+(($K$718*$K$717*A711)/($K$710*$K$716))^($K$709)))</f>
        <v>0</v>
      </c>
      <c r="D711">
        <f>(B711-C711)^2</f>
        <v>0</v>
      </c>
      <c r="E711">
        <v>0</v>
      </c>
    </row>
    <row r="712" spans="1:11">
      <c r="A712">
        <v>10</v>
      </c>
      <c r="B712">
        <v>0</v>
      </c>
      <c r="C712">
        <f t="shared" ref="C712:C720" si="78">1-(1/(1+(($K$718*$K$717*A712)/($K$710*$K$716))^($K$709)))</f>
        <v>4.4382580904563929E-3</v>
      </c>
      <c r="D712">
        <f t="shared" ref="D712:D720" si="79">(B712-C712)^2</f>
        <v>1.9698134877501627E-5</v>
      </c>
      <c r="E712">
        <v>0</v>
      </c>
    </row>
    <row r="713" spans="1:11">
      <c r="A713">
        <v>15</v>
      </c>
      <c r="B713">
        <v>0.01</v>
      </c>
      <c r="C713">
        <f t="shared" si="78"/>
        <v>2.1086204533799502E-2</v>
      </c>
      <c r="D713">
        <f t="shared" si="79"/>
        <v>1.2290393096523662E-4</v>
      </c>
      <c r="E713">
        <f t="shared" ref="E713:E720" si="80">(B713-C713)^2/B713</f>
        <v>1.2290393096523662E-2</v>
      </c>
      <c r="H713" t="s">
        <v>134</v>
      </c>
      <c r="I713">
        <f>(100/8)*E721</f>
        <v>0.49396641742975578</v>
      </c>
    </row>
    <row r="714" spans="1:11">
      <c r="A714">
        <v>25</v>
      </c>
      <c r="B714">
        <v>0.2</v>
      </c>
      <c r="C714">
        <f t="shared" si="78"/>
        <v>0.13548809197138745</v>
      </c>
      <c r="D714">
        <f t="shared" si="79"/>
        <v>4.1617862774921662E-3</v>
      </c>
      <c r="E714">
        <f t="shared" si="80"/>
        <v>2.080893138746083E-2</v>
      </c>
    </row>
    <row r="715" spans="1:11">
      <c r="A715">
        <v>40</v>
      </c>
      <c r="B715">
        <v>0.48</v>
      </c>
      <c r="C715">
        <f t="shared" si="78"/>
        <v>0.49316782920575697</v>
      </c>
      <c r="D715">
        <f t="shared" si="79"/>
        <v>1.7339172599198667E-4</v>
      </c>
      <c r="E715">
        <f t="shared" si="80"/>
        <v>3.6123276248330557E-4</v>
      </c>
    </row>
    <row r="716" spans="1:11">
      <c r="A716">
        <v>50</v>
      </c>
      <c r="B716">
        <v>0.69</v>
      </c>
      <c r="C716">
        <f t="shared" si="78"/>
        <v>0.69837592293255801</v>
      </c>
      <c r="D716">
        <f t="shared" si="79"/>
        <v>7.0156084972152114E-5</v>
      </c>
      <c r="E716">
        <f t="shared" si="80"/>
        <v>1.0167548546688713E-4</v>
      </c>
      <c r="J716" t="s">
        <v>105</v>
      </c>
      <c r="K716">
        <v>4</v>
      </c>
    </row>
    <row r="717" spans="1:11">
      <c r="A717">
        <v>60</v>
      </c>
      <c r="B717">
        <v>0.83</v>
      </c>
      <c r="C717">
        <f t="shared" si="78"/>
        <v>0.82460880354592203</v>
      </c>
      <c r="D717">
        <f t="shared" si="79"/>
        <v>2.9064999206462435E-5</v>
      </c>
      <c r="E717">
        <f t="shared" si="80"/>
        <v>3.5018071333087273E-5</v>
      </c>
      <c r="J717" t="s">
        <v>8</v>
      </c>
      <c r="K717">
        <v>8</v>
      </c>
    </row>
    <row r="718" spans="1:11">
      <c r="A718">
        <v>70</v>
      </c>
      <c r="B718">
        <v>0.88</v>
      </c>
      <c r="C718">
        <f t="shared" si="78"/>
        <v>0.89536574308411043</v>
      </c>
      <c r="D718">
        <f t="shared" si="79"/>
        <v>2.3610606052688746E-4</v>
      </c>
      <c r="E718">
        <f t="shared" si="80"/>
        <v>2.6830234150782668E-4</v>
      </c>
      <c r="J718" t="s">
        <v>12</v>
      </c>
      <c r="K718">
        <v>150</v>
      </c>
    </row>
    <row r="719" spans="1:11">
      <c r="A719">
        <v>75</v>
      </c>
      <c r="B719">
        <v>0.89</v>
      </c>
      <c r="C719">
        <f t="shared" si="78"/>
        <v>0.91794868592553625</v>
      </c>
      <c r="D719">
        <f t="shared" si="79"/>
        <v>7.811290449642671E-4</v>
      </c>
      <c r="E719">
        <f t="shared" si="80"/>
        <v>8.7767308422951359E-4</v>
      </c>
      <c r="J719" t="s">
        <v>210</v>
      </c>
      <c r="K719">
        <v>0.28870000000000001</v>
      </c>
    </row>
    <row r="720" spans="1:11">
      <c r="A720">
        <v>95</v>
      </c>
      <c r="B720">
        <v>0.9</v>
      </c>
      <c r="C720">
        <f t="shared" si="78"/>
        <v>0.96554905376004918</v>
      </c>
      <c r="D720">
        <f t="shared" si="79"/>
        <v>4.296678448837815E-3</v>
      </c>
      <c r="E720">
        <f t="shared" si="80"/>
        <v>4.7740871653753495E-3</v>
      </c>
      <c r="J720" t="s">
        <v>106</v>
      </c>
      <c r="K720">
        <v>10</v>
      </c>
    </row>
    <row r="721" spans="1:11">
      <c r="D721">
        <f>SUM(D711:D720)</f>
        <v>9.8909147078344722E-3</v>
      </c>
      <c r="E721">
        <f>SUM(E711:E720)</f>
        <v>3.9517313394380464E-2</v>
      </c>
    </row>
    <row r="729" spans="1:11" ht="16.8">
      <c r="A729" s="2" t="s">
        <v>109</v>
      </c>
    </row>
    <row r="730" spans="1:11">
      <c r="B730" t="s">
        <v>111</v>
      </c>
    </row>
    <row r="731" spans="1:11">
      <c r="A731" t="s">
        <v>29</v>
      </c>
      <c r="B731" t="s">
        <v>43</v>
      </c>
      <c r="C731" t="s">
        <v>99</v>
      </c>
      <c r="D731" t="s">
        <v>120</v>
      </c>
      <c r="J731" t="s">
        <v>21</v>
      </c>
      <c r="K731">
        <v>5.0774430438654798</v>
      </c>
    </row>
    <row r="732" spans="1:11">
      <c r="A732">
        <v>0</v>
      </c>
      <c r="B732">
        <v>0</v>
      </c>
      <c r="C732">
        <f>1-(1/(1+(($K$740*$K$739*A732)/($K$732*$K$738))^($K$731)))</f>
        <v>0</v>
      </c>
      <c r="D732">
        <f>(B732-C732)^2</f>
        <v>0</v>
      </c>
      <c r="J732" t="s">
        <v>103</v>
      </c>
      <c r="K732">
        <v>28167.8316675606</v>
      </c>
    </row>
    <row r="733" spans="1:11">
      <c r="A733">
        <v>20</v>
      </c>
      <c r="B733">
        <v>0</v>
      </c>
      <c r="C733">
        <f t="shared" ref="C733:C745" si="81">1-(1/(1+(($K$740*$K$739*A733)/($K$732*$K$738))^($K$731)))</f>
        <v>3.8887438163781596E-4</v>
      </c>
      <c r="D733">
        <f t="shared" ref="D733:D745" si="82">(B733-C733)^2</f>
        <v>1.5122328469419374E-7</v>
      </c>
    </row>
    <row r="734" spans="1:11">
      <c r="A734">
        <v>30</v>
      </c>
      <c r="B734">
        <v>0</v>
      </c>
      <c r="C734">
        <f t="shared" si="81"/>
        <v>3.0391329724097638E-3</v>
      </c>
      <c r="D734">
        <f t="shared" si="82"/>
        <v>9.236329223988206E-6</v>
      </c>
    </row>
    <row r="735" spans="1:11">
      <c r="A735">
        <v>40</v>
      </c>
      <c r="B735">
        <v>0</v>
      </c>
      <c r="C735">
        <f t="shared" si="81"/>
        <v>1.2965027746928315E-2</v>
      </c>
      <c r="D735">
        <f t="shared" si="82"/>
        <v>1.6809194447862109E-4</v>
      </c>
      <c r="F735" t="s">
        <v>100</v>
      </c>
      <c r="G735">
        <f>(D746)</f>
        <v>2.6169122265287921E-3</v>
      </c>
    </row>
    <row r="736" spans="1:11">
      <c r="A736">
        <v>50</v>
      </c>
      <c r="B736">
        <v>0.01</v>
      </c>
      <c r="C736">
        <f t="shared" si="81"/>
        <v>3.9186378823662493E-2</v>
      </c>
      <c r="D736">
        <f t="shared" si="82"/>
        <v>8.5184470883833431E-4</v>
      </c>
    </row>
    <row r="737" spans="1:11">
      <c r="A737">
        <v>60</v>
      </c>
      <c r="B737">
        <v>0.11</v>
      </c>
      <c r="C737">
        <f t="shared" si="81"/>
        <v>9.332264070215035E-2</v>
      </c>
      <c r="D737">
        <f t="shared" si="82"/>
        <v>2.7813431314957217E-4</v>
      </c>
    </row>
    <row r="738" spans="1:11">
      <c r="A738">
        <v>80</v>
      </c>
      <c r="B738">
        <v>0.32</v>
      </c>
      <c r="C738">
        <f t="shared" si="81"/>
        <v>0.30724422187129896</v>
      </c>
      <c r="D738">
        <f t="shared" si="82"/>
        <v>1.6270987566864795E-4</v>
      </c>
      <c r="J738" t="s">
        <v>105</v>
      </c>
      <c r="K738">
        <v>4</v>
      </c>
    </row>
    <row r="739" spans="1:11">
      <c r="A739">
        <v>96</v>
      </c>
      <c r="B739">
        <v>0.52</v>
      </c>
      <c r="C739">
        <f t="shared" si="81"/>
        <v>0.52814340652094183</v>
      </c>
      <c r="D739">
        <f t="shared" si="82"/>
        <v>6.6315069765317578E-5</v>
      </c>
      <c r="J739" t="s">
        <v>8</v>
      </c>
      <c r="K739">
        <v>12</v>
      </c>
    </row>
    <row r="740" spans="1:11">
      <c r="A740">
        <v>105</v>
      </c>
      <c r="B740">
        <v>0.62</v>
      </c>
      <c r="C740">
        <f t="shared" si="81"/>
        <v>0.63823076209800556</v>
      </c>
      <c r="D740">
        <f t="shared" si="82"/>
        <v>3.3236068667407608E-4</v>
      </c>
      <c r="J740" t="s">
        <v>12</v>
      </c>
      <c r="K740">
        <v>100</v>
      </c>
    </row>
    <row r="741" spans="1:11">
      <c r="A741">
        <v>122</v>
      </c>
      <c r="B741">
        <v>0.81</v>
      </c>
      <c r="C741">
        <f t="shared" si="81"/>
        <v>0.79077744043119447</v>
      </c>
      <c r="D741">
        <f t="shared" si="82"/>
        <v>3.6950679637627918E-4</v>
      </c>
      <c r="J741" t="s">
        <v>210</v>
      </c>
      <c r="K741">
        <v>0.43319999999999997</v>
      </c>
    </row>
    <row r="742" spans="1:11">
      <c r="A742">
        <v>132</v>
      </c>
      <c r="B742">
        <v>0.86</v>
      </c>
      <c r="C742">
        <f t="shared" si="81"/>
        <v>0.84936424519384612</v>
      </c>
      <c r="D742">
        <f t="shared" si="82"/>
        <v>1.1311928029662499E-4</v>
      </c>
      <c r="J742" t="s">
        <v>106</v>
      </c>
      <c r="K742">
        <v>14</v>
      </c>
    </row>
    <row r="743" spans="1:11">
      <c r="A743">
        <v>138</v>
      </c>
      <c r="B743">
        <v>0.88</v>
      </c>
      <c r="C743">
        <f t="shared" si="81"/>
        <v>0.87602608774096957</v>
      </c>
      <c r="D743">
        <f t="shared" si="82"/>
        <v>1.5791978642472353E-5</v>
      </c>
    </row>
    <row r="744" spans="1:11">
      <c r="A744">
        <v>143</v>
      </c>
      <c r="B744">
        <v>0.89</v>
      </c>
      <c r="C744">
        <f t="shared" si="81"/>
        <v>0.89435663815298871</v>
      </c>
      <c r="D744">
        <f t="shared" si="82"/>
        <v>1.8980295996076802E-5</v>
      </c>
    </row>
    <row r="745" spans="1:11">
      <c r="A745">
        <v>150</v>
      </c>
      <c r="B745">
        <v>0.9</v>
      </c>
      <c r="C745">
        <f t="shared" si="81"/>
        <v>0.91518781498880231</v>
      </c>
      <c r="D745">
        <f t="shared" si="82"/>
        <v>2.3066972413408733E-4</v>
      </c>
    </row>
    <row r="746" spans="1:11">
      <c r="D746">
        <f>SUM(D732:D745)</f>
        <v>2.6169122265287921E-3</v>
      </c>
    </row>
    <row r="750" spans="1:11" ht="16.8">
      <c r="A750" s="2" t="s">
        <v>264</v>
      </c>
    </row>
    <row r="751" spans="1:11">
      <c r="B751" t="s">
        <v>111</v>
      </c>
    </row>
    <row r="752" spans="1:11">
      <c r="A752" t="s">
        <v>29</v>
      </c>
      <c r="B752" t="s">
        <v>43</v>
      </c>
      <c r="C752" t="s">
        <v>99</v>
      </c>
      <c r="D752" t="s">
        <v>120</v>
      </c>
      <c r="E752" t="s">
        <v>137</v>
      </c>
      <c r="J752" t="s">
        <v>21</v>
      </c>
      <c r="K752">
        <v>5.0417197593062104</v>
      </c>
    </row>
    <row r="753" spans="1:11">
      <c r="A753">
        <v>0</v>
      </c>
      <c r="B753">
        <v>0</v>
      </c>
      <c r="C753">
        <f>1-(1/(1+(($K$761*$K$760*A753)/($K$753*$K$759))^($K$752)))</f>
        <v>0</v>
      </c>
      <c r="D753">
        <f>(B753-C753)^2</f>
        <v>0</v>
      </c>
      <c r="E753">
        <f>ABS(B753-C753)</f>
        <v>0</v>
      </c>
      <c r="J753" t="s">
        <v>103</v>
      </c>
      <c r="K753">
        <v>28337.435596425901</v>
      </c>
    </row>
    <row r="754" spans="1:11">
      <c r="A754">
        <v>20</v>
      </c>
      <c r="B754">
        <v>0</v>
      </c>
      <c r="C754">
        <f t="shared" ref="C754:C766" si="83">1-(1/(1+(($K$761*$K$760*A754)/($K$753*$K$759))^($K$752)))</f>
        <v>3.9870573412159604E-4</v>
      </c>
      <c r="D754">
        <f t="shared" ref="D754:D766" si="84">(B754-C754)^2</f>
        <v>1.5896626242144084E-7</v>
      </c>
      <c r="E754">
        <f t="shared" ref="E754:E766" si="85">ABS(B754-C754)</f>
        <v>3.9870573412159604E-4</v>
      </c>
    </row>
    <row r="755" spans="1:11">
      <c r="A755">
        <v>30</v>
      </c>
      <c r="B755">
        <v>0</v>
      </c>
      <c r="C755">
        <f t="shared" si="83"/>
        <v>3.0710906947679639E-3</v>
      </c>
      <c r="D755">
        <f t="shared" si="84"/>
        <v>9.431598055490376E-6</v>
      </c>
      <c r="E755">
        <f t="shared" si="85"/>
        <v>3.0710906947679639E-3</v>
      </c>
    </row>
    <row r="756" spans="1:11">
      <c r="A756">
        <v>40</v>
      </c>
      <c r="B756">
        <v>0</v>
      </c>
      <c r="C756">
        <f t="shared" si="83"/>
        <v>1.2967787215971915E-2</v>
      </c>
      <c r="D756">
        <f t="shared" si="84"/>
        <v>1.6816350527872463E-4</v>
      </c>
      <c r="E756">
        <f t="shared" si="85"/>
        <v>1.2967787215971915E-2</v>
      </c>
      <c r="G756" t="s">
        <v>132</v>
      </c>
      <c r="H756">
        <f>E767</f>
        <v>0.15414832811248222</v>
      </c>
      <c r="J756" t="s">
        <v>104</v>
      </c>
      <c r="K756">
        <f>1-(D767/E767)</f>
        <v>0.98119175082626986</v>
      </c>
    </row>
    <row r="757" spans="1:11">
      <c r="A757">
        <v>50</v>
      </c>
      <c r="B757">
        <v>0.01</v>
      </c>
      <c r="C757">
        <f t="shared" si="83"/>
        <v>3.8895407777766899E-2</v>
      </c>
      <c r="D757">
        <f t="shared" si="84"/>
        <v>8.3494459064343174E-4</v>
      </c>
      <c r="E757">
        <f t="shared" si="85"/>
        <v>2.8895407777766897E-2</v>
      </c>
    </row>
    <row r="758" spans="1:11">
      <c r="A758">
        <v>60</v>
      </c>
      <c r="B758">
        <v>0.11</v>
      </c>
      <c r="C758">
        <f t="shared" si="83"/>
        <v>9.2122281852969334E-2</v>
      </c>
      <c r="D758">
        <f t="shared" si="84"/>
        <v>3.1961280614466962E-4</v>
      </c>
      <c r="E758">
        <f t="shared" si="85"/>
        <v>1.7877718147030666E-2</v>
      </c>
    </row>
    <row r="759" spans="1:11">
      <c r="A759">
        <v>80</v>
      </c>
      <c r="B759">
        <v>0.32</v>
      </c>
      <c r="C759">
        <f t="shared" si="83"/>
        <v>0.30204461086933954</v>
      </c>
      <c r="D759">
        <f t="shared" si="84"/>
        <v>3.2239599883344017E-4</v>
      </c>
      <c r="E759">
        <f t="shared" si="85"/>
        <v>1.7955389130660471E-2</v>
      </c>
      <c r="J759" t="s">
        <v>105</v>
      </c>
      <c r="K759">
        <v>4</v>
      </c>
    </row>
    <row r="760" spans="1:11">
      <c r="A760">
        <v>96</v>
      </c>
      <c r="B760">
        <v>0.52</v>
      </c>
      <c r="C760">
        <f t="shared" si="83"/>
        <v>0.52039710688008556</v>
      </c>
      <c r="D760">
        <f t="shared" si="84"/>
        <v>1.5769387421127178E-7</v>
      </c>
      <c r="E760">
        <f t="shared" si="85"/>
        <v>3.971068800855404E-4</v>
      </c>
      <c r="J760" t="s">
        <v>8</v>
      </c>
      <c r="K760">
        <v>12</v>
      </c>
    </row>
    <row r="761" spans="1:11">
      <c r="A761">
        <v>105</v>
      </c>
      <c r="B761">
        <v>0.62</v>
      </c>
      <c r="C761">
        <f t="shared" si="83"/>
        <v>0.63028347679391072</v>
      </c>
      <c r="D761">
        <f t="shared" si="84"/>
        <v>1.0574989497090048E-4</v>
      </c>
      <c r="E761">
        <f t="shared" si="85"/>
        <v>1.0283476793910729E-2</v>
      </c>
      <c r="J761" t="s">
        <v>12</v>
      </c>
      <c r="K761">
        <v>100</v>
      </c>
    </row>
    <row r="762" spans="1:11">
      <c r="A762">
        <v>122</v>
      </c>
      <c r="B762">
        <v>0.81</v>
      </c>
      <c r="C762">
        <f t="shared" si="83"/>
        <v>0.78414669693228056</v>
      </c>
      <c r="D762">
        <f t="shared" si="84"/>
        <v>6.6839327951135404E-4</v>
      </c>
      <c r="E762">
        <f t="shared" si="85"/>
        <v>2.5853303067719491E-2</v>
      </c>
      <c r="J762" t="s">
        <v>210</v>
      </c>
      <c r="K762">
        <v>0.43319999999999997</v>
      </c>
    </row>
    <row r="763" spans="1:11">
      <c r="A763">
        <v>132</v>
      </c>
      <c r="B763">
        <v>0.86</v>
      </c>
      <c r="C763">
        <f t="shared" si="83"/>
        <v>0.8438540228576128</v>
      </c>
      <c r="D763">
        <f t="shared" si="84"/>
        <v>2.6069257788248967E-4</v>
      </c>
      <c r="E763">
        <f t="shared" si="85"/>
        <v>1.6145977142387191E-2</v>
      </c>
      <c r="J763" t="s">
        <v>106</v>
      </c>
      <c r="K763">
        <v>14</v>
      </c>
    </row>
    <row r="764" spans="1:11">
      <c r="A764">
        <v>138</v>
      </c>
      <c r="B764">
        <v>0.88</v>
      </c>
      <c r="C764">
        <f t="shared" si="83"/>
        <v>0.87116529737637172</v>
      </c>
      <c r="D764">
        <f t="shared" si="84"/>
        <v>7.8051970447944554E-5</v>
      </c>
      <c r="E764">
        <f t="shared" si="85"/>
        <v>8.8347026236282877E-3</v>
      </c>
    </row>
    <row r="765" spans="1:11">
      <c r="A765">
        <v>143</v>
      </c>
      <c r="B765">
        <v>0.89</v>
      </c>
      <c r="C765">
        <f t="shared" si="83"/>
        <v>0.8900000004160078</v>
      </c>
      <c r="D765">
        <f t="shared" si="84"/>
        <v>1.7306247616280675E-19</v>
      </c>
      <c r="E765">
        <f t="shared" si="85"/>
        <v>4.1600778377670622E-10</v>
      </c>
    </row>
    <row r="766" spans="1:11">
      <c r="A766">
        <v>150</v>
      </c>
      <c r="B766">
        <v>0.9</v>
      </c>
      <c r="C766">
        <f t="shared" si="83"/>
        <v>0.9114676624884237</v>
      </c>
      <c r="D766">
        <f t="shared" si="84"/>
        <v>1.315072829483996E-4</v>
      </c>
      <c r="E766">
        <f t="shared" si="85"/>
        <v>1.146766248842368E-2</v>
      </c>
    </row>
    <row r="767" spans="1:11">
      <c r="D767">
        <f>SUM(D753:D766)</f>
        <v>2.8992601648534771E-3</v>
      </c>
      <c r="E767">
        <f>SUM(E753:E766)</f>
        <v>0.15414832811248222</v>
      </c>
    </row>
    <row r="776" spans="1:11" ht="16.8">
      <c r="A776" s="3" t="s">
        <v>267</v>
      </c>
    </row>
    <row r="777" spans="1:11">
      <c r="B777" t="s">
        <v>111</v>
      </c>
    </row>
    <row r="778" spans="1:11">
      <c r="A778" t="s">
        <v>29</v>
      </c>
      <c r="B778" t="s">
        <v>43</v>
      </c>
      <c r="C778" t="s">
        <v>99</v>
      </c>
      <c r="D778" t="s">
        <v>120</v>
      </c>
      <c r="E778" t="s">
        <v>119</v>
      </c>
      <c r="J778" t="s">
        <v>21</v>
      </c>
      <c r="K778">
        <v>7.20670948528198</v>
      </c>
    </row>
    <row r="779" spans="1:11">
      <c r="A779">
        <v>0</v>
      </c>
      <c r="B779">
        <v>0</v>
      </c>
      <c r="C779">
        <f>1-(1/(1+(($K$787*$K$786*A779)/($K$779*$K$785))^($K$778)))</f>
        <v>0</v>
      </c>
      <c r="D779">
        <f>(B779-C779)^2</f>
        <v>0</v>
      </c>
      <c r="E779">
        <v>0</v>
      </c>
      <c r="J779" t="s">
        <v>103</v>
      </c>
      <c r="K779">
        <v>27715.912305222198</v>
      </c>
    </row>
    <row r="780" spans="1:11">
      <c r="A780">
        <v>20</v>
      </c>
      <c r="B780">
        <v>0</v>
      </c>
      <c r="C780">
        <f t="shared" ref="C780:C792" si="86">1-(1/(1+(($K$787*$K$786*A780)/($K$779*$K$785))^($K$778)))</f>
        <v>1.6239508793480795E-5</v>
      </c>
      <c r="D780">
        <f t="shared" ref="D780:D792" si="87">(B780-C780)^2</f>
        <v>2.6372164585354005E-10</v>
      </c>
      <c r="E780">
        <v>0</v>
      </c>
    </row>
    <row r="781" spans="1:11">
      <c r="A781">
        <v>30</v>
      </c>
      <c r="B781">
        <v>0</v>
      </c>
      <c r="C781">
        <f t="shared" si="86"/>
        <v>3.0163898345936246E-4</v>
      </c>
      <c r="D781">
        <f t="shared" si="87"/>
        <v>9.0986076342397547E-8</v>
      </c>
      <c r="E781">
        <v>0</v>
      </c>
    </row>
    <row r="782" spans="1:11">
      <c r="A782">
        <v>40</v>
      </c>
      <c r="B782">
        <v>0</v>
      </c>
      <c r="C782">
        <f t="shared" si="86"/>
        <v>2.3931784131810963E-3</v>
      </c>
      <c r="D782">
        <f t="shared" si="87"/>
        <v>5.7273029173159895E-6</v>
      </c>
      <c r="E782">
        <v>0</v>
      </c>
      <c r="G782" t="s">
        <v>121</v>
      </c>
      <c r="H782">
        <f>(100)*(1/12)^(0.5)*(F789)^(0.5)</f>
        <v>1.0173457317452015</v>
      </c>
    </row>
    <row r="783" spans="1:11">
      <c r="A783">
        <v>50</v>
      </c>
      <c r="B783">
        <v>0.01</v>
      </c>
      <c r="C783">
        <f t="shared" si="86"/>
        <v>1.1837132442799603E-2</v>
      </c>
      <c r="D783">
        <f t="shared" si="87"/>
        <v>3.3750556123868349E-6</v>
      </c>
      <c r="E783">
        <f t="shared" ref="E783:E792" si="88">(B783-C783)^2/B783^2</f>
        <v>3.3750556123868347E-2</v>
      </c>
    </row>
    <row r="784" spans="1:11">
      <c r="A784">
        <v>60</v>
      </c>
      <c r="B784">
        <v>0.11</v>
      </c>
      <c r="C784">
        <f t="shared" si="86"/>
        <v>4.2669364105628493E-2</v>
      </c>
      <c r="D784">
        <f t="shared" si="87"/>
        <v>4.5334145299404287E-3</v>
      </c>
      <c r="E784">
        <f t="shared" si="88"/>
        <v>0.37466235784631641</v>
      </c>
    </row>
    <row r="785" spans="1:11">
      <c r="A785">
        <v>80</v>
      </c>
      <c r="B785">
        <v>0.32</v>
      </c>
      <c r="C785">
        <f t="shared" si="86"/>
        <v>0.26164685586196779</v>
      </c>
      <c r="D785">
        <f t="shared" si="87"/>
        <v>3.4050894307939639E-3</v>
      </c>
      <c r="E785">
        <f t="shared" si="88"/>
        <v>3.3252826472597301E-2</v>
      </c>
      <c r="J785" t="s">
        <v>105</v>
      </c>
      <c r="K785">
        <v>4</v>
      </c>
    </row>
    <row r="786" spans="1:11">
      <c r="A786">
        <v>96</v>
      </c>
      <c r="B786">
        <v>0.52</v>
      </c>
      <c r="C786">
        <f t="shared" si="86"/>
        <v>0.56869088363978404</v>
      </c>
      <c r="D786">
        <f t="shared" si="87"/>
        <v>2.3708021496229872E-3</v>
      </c>
      <c r="E786">
        <f t="shared" si="88"/>
        <v>8.7677594290790934E-3</v>
      </c>
      <c r="J786" t="s">
        <v>8</v>
      </c>
      <c r="K786">
        <v>12</v>
      </c>
    </row>
    <row r="787" spans="1:11">
      <c r="A787">
        <v>105</v>
      </c>
      <c r="B787">
        <v>0.62</v>
      </c>
      <c r="C787">
        <f t="shared" si="86"/>
        <v>0.71551474405841309</v>
      </c>
      <c r="D787">
        <f t="shared" si="87"/>
        <v>9.1230663325441597E-3</v>
      </c>
      <c r="E787">
        <f t="shared" si="88"/>
        <v>2.3733263091946306E-2</v>
      </c>
      <c r="J787" t="s">
        <v>12</v>
      </c>
      <c r="K787">
        <v>100</v>
      </c>
    </row>
    <row r="788" spans="1:11">
      <c r="A788">
        <v>122</v>
      </c>
      <c r="B788">
        <v>0.81</v>
      </c>
      <c r="C788">
        <f t="shared" si="86"/>
        <v>0.88119177145651895</v>
      </c>
      <c r="D788">
        <f t="shared" si="87"/>
        <v>5.0682683231172178E-3</v>
      </c>
      <c r="E788">
        <f t="shared" si="88"/>
        <v>7.7248412179808214E-3</v>
      </c>
      <c r="J788" t="s">
        <v>210</v>
      </c>
      <c r="K788">
        <v>0.43319999999999997</v>
      </c>
    </row>
    <row r="789" spans="1:11">
      <c r="A789">
        <v>132</v>
      </c>
      <c r="B789">
        <v>0.86</v>
      </c>
      <c r="C789">
        <f t="shared" si="86"/>
        <v>0.92900571490715256</v>
      </c>
      <c r="D789">
        <f t="shared" si="87"/>
        <v>4.7617886898472187E-3</v>
      </c>
      <c r="E789">
        <f t="shared" si="88"/>
        <v>6.4383297591227955E-3</v>
      </c>
      <c r="F789">
        <f>D793/B793^2</f>
        <v>1.2419908054802154E-3</v>
      </c>
      <c r="J789" t="s">
        <v>106</v>
      </c>
      <c r="K789">
        <v>14</v>
      </c>
    </row>
    <row r="790" spans="1:11">
      <c r="A790">
        <v>138</v>
      </c>
      <c r="B790">
        <v>0.88</v>
      </c>
      <c r="C790">
        <f t="shared" si="86"/>
        <v>0.94744289868560805</v>
      </c>
      <c r="D790">
        <f t="shared" si="87"/>
        <v>4.5485445831171915E-3</v>
      </c>
      <c r="E790">
        <f t="shared" si="88"/>
        <v>5.8736371166286053E-3</v>
      </c>
    </row>
    <row r="791" spans="1:11">
      <c r="A791">
        <v>143</v>
      </c>
      <c r="B791">
        <v>0.89</v>
      </c>
      <c r="C791">
        <f t="shared" si="86"/>
        <v>0.95884405450700905</v>
      </c>
      <c r="D791">
        <f t="shared" si="87"/>
        <v>4.739503840964031E-3</v>
      </c>
      <c r="E791">
        <f t="shared" si="88"/>
        <v>5.9834665332205916E-3</v>
      </c>
    </row>
    <row r="792" spans="1:11">
      <c r="A792">
        <v>150</v>
      </c>
      <c r="B792">
        <v>0.9</v>
      </c>
      <c r="C792">
        <f t="shared" si="86"/>
        <v>0.97048145200623304</v>
      </c>
      <c r="D792">
        <f t="shared" si="87"/>
        <v>4.9676350769069276E-3</v>
      </c>
      <c r="E792">
        <f t="shared" si="88"/>
        <v>6.1328828109962069E-3</v>
      </c>
    </row>
    <row r="793" spans="1:11">
      <c r="B793">
        <f>SUM(B779:B792)</f>
        <v>5.92</v>
      </c>
      <c r="D793">
        <f>SUM(D779:D792)</f>
        <v>4.352730656518182E-2</v>
      </c>
      <c r="E793">
        <f>SUM(E779:E792)</f>
        <v>0.50631992040175644</v>
      </c>
    </row>
    <row r="804" spans="1:11" ht="16.8">
      <c r="A804" s="2" t="s">
        <v>125</v>
      </c>
    </row>
    <row r="805" spans="1:11">
      <c r="B805" t="s">
        <v>111</v>
      </c>
    </row>
    <row r="806" spans="1:11">
      <c r="A806" t="s">
        <v>29</v>
      </c>
      <c r="B806" t="s">
        <v>43</v>
      </c>
      <c r="C806" t="s">
        <v>99</v>
      </c>
      <c r="D806" t="s">
        <v>120</v>
      </c>
      <c r="E806" t="s">
        <v>119</v>
      </c>
      <c r="J806" t="s">
        <v>21</v>
      </c>
      <c r="K806">
        <v>5.8186628850542199</v>
      </c>
    </row>
    <row r="807" spans="1:11">
      <c r="A807">
        <v>0</v>
      </c>
      <c r="B807">
        <v>0</v>
      </c>
      <c r="C807">
        <f>1-(1/(1+(($K$815*$K$814*A807)/($K$807*$K$813))^($K$806)))</f>
        <v>0</v>
      </c>
      <c r="D807">
        <f>(B807-C807)^2</f>
        <v>0</v>
      </c>
      <c r="E807">
        <v>0</v>
      </c>
      <c r="J807" t="s">
        <v>103</v>
      </c>
      <c r="K807">
        <v>28370.948151719302</v>
      </c>
    </row>
    <row r="808" spans="1:11">
      <c r="A808">
        <v>20</v>
      </c>
      <c r="B808">
        <v>0</v>
      </c>
      <c r="C808">
        <f t="shared" ref="C808:C820" si="89">1-(1/(1+(($K$815*$K$814*A808)/($K$807*$K$813))^($K$806)))</f>
        <v>1.1856736141935276E-4</v>
      </c>
      <c r="D808">
        <f t="shared" ref="D808:D820" si="90">(B808-C808)^2</f>
        <v>1.405821919394742E-8</v>
      </c>
      <c r="E808">
        <v>0</v>
      </c>
    </row>
    <row r="809" spans="1:11">
      <c r="A809">
        <v>30</v>
      </c>
      <c r="B809">
        <v>0</v>
      </c>
      <c r="C809">
        <f t="shared" si="89"/>
        <v>1.2533940864184467E-3</v>
      </c>
      <c r="D809">
        <f t="shared" si="90"/>
        <v>1.5709967358687326E-6</v>
      </c>
      <c r="E809">
        <v>0</v>
      </c>
    </row>
    <row r="810" spans="1:11">
      <c r="A810">
        <v>40</v>
      </c>
      <c r="B810">
        <v>0</v>
      </c>
      <c r="C810">
        <f t="shared" si="89"/>
        <v>6.6483174176755755E-3</v>
      </c>
      <c r="D810">
        <f t="shared" si="90"/>
        <v>4.4200124486168434E-5</v>
      </c>
      <c r="E810">
        <v>0</v>
      </c>
      <c r="G810" t="s">
        <v>134</v>
      </c>
      <c r="H810">
        <f>(100/12)*E821</f>
        <v>0.39758023513896407</v>
      </c>
      <c r="J810" t="s">
        <v>104</v>
      </c>
      <c r="K810">
        <f>1-(D821/E821)</f>
        <v>0.8383015670331041</v>
      </c>
    </row>
    <row r="811" spans="1:11">
      <c r="A811">
        <v>50</v>
      </c>
      <c r="B811">
        <v>0.01</v>
      </c>
      <c r="C811">
        <f t="shared" si="89"/>
        <v>2.3931811266226788E-2</v>
      </c>
      <c r="D811">
        <f t="shared" si="90"/>
        <v>1.9409536515776365E-4</v>
      </c>
      <c r="E811">
        <f t="shared" ref="E811:E820" si="91">(B811-C811)^2/B811</f>
        <v>1.9409536515776364E-2</v>
      </c>
    </row>
    <row r="812" spans="1:11">
      <c r="A812">
        <v>60</v>
      </c>
      <c r="B812">
        <v>0.11</v>
      </c>
      <c r="C812">
        <f t="shared" si="89"/>
        <v>6.6145969387783499E-2</v>
      </c>
      <c r="D812">
        <f t="shared" si="90"/>
        <v>1.9231760009372221E-3</v>
      </c>
      <c r="E812">
        <f t="shared" si="91"/>
        <v>1.7483418190338381E-2</v>
      </c>
    </row>
    <row r="813" spans="1:11">
      <c r="A813">
        <v>80</v>
      </c>
      <c r="B813">
        <v>0.32</v>
      </c>
      <c r="C813">
        <f t="shared" si="89"/>
        <v>0.27417722155439983</v>
      </c>
      <c r="D813">
        <f t="shared" si="90"/>
        <v>2.09972702447456E-3</v>
      </c>
      <c r="E813">
        <f t="shared" si="91"/>
        <v>6.561646951483E-3</v>
      </c>
      <c r="J813" t="s">
        <v>105</v>
      </c>
      <c r="K813">
        <v>4</v>
      </c>
    </row>
    <row r="814" spans="1:11">
      <c r="A814">
        <v>96</v>
      </c>
      <c r="B814">
        <v>0.52</v>
      </c>
      <c r="C814">
        <f t="shared" si="89"/>
        <v>0.52182025415925204</v>
      </c>
      <c r="D814">
        <f t="shared" si="90"/>
        <v>3.3133252042742841E-6</v>
      </c>
      <c r="E814">
        <f t="shared" si="91"/>
        <v>6.3717792389890075E-6</v>
      </c>
      <c r="J814" t="s">
        <v>8</v>
      </c>
      <c r="K814">
        <v>12</v>
      </c>
    </row>
    <row r="815" spans="1:11">
      <c r="A815">
        <v>105</v>
      </c>
      <c r="B815">
        <v>0.62</v>
      </c>
      <c r="C815">
        <f t="shared" si="89"/>
        <v>0.64765775951364157</v>
      </c>
      <c r="D815">
        <f t="shared" si="90"/>
        <v>7.6495166131443121E-4</v>
      </c>
      <c r="E815">
        <f t="shared" si="91"/>
        <v>1.2337930021200504E-3</v>
      </c>
      <c r="J815" t="s">
        <v>12</v>
      </c>
      <c r="K815">
        <v>100</v>
      </c>
    </row>
    <row r="816" spans="1:11">
      <c r="A816">
        <v>122</v>
      </c>
      <c r="B816">
        <v>0.81</v>
      </c>
      <c r="C816">
        <f t="shared" si="89"/>
        <v>0.81486120703929288</v>
      </c>
      <c r="D816">
        <f t="shared" si="90"/>
        <v>2.3631333878870116E-5</v>
      </c>
      <c r="E816">
        <f t="shared" si="91"/>
        <v>2.9174486270210017E-5</v>
      </c>
      <c r="J816" t="s">
        <v>210</v>
      </c>
      <c r="K816">
        <v>0.43319999999999997</v>
      </c>
    </row>
    <row r="817" spans="1:11">
      <c r="A817">
        <v>132</v>
      </c>
      <c r="B817">
        <v>0.86</v>
      </c>
      <c r="C817">
        <f t="shared" si="89"/>
        <v>0.87438634945799132</v>
      </c>
      <c r="D817">
        <f t="shared" si="90"/>
        <v>2.0696705072744748E-4</v>
      </c>
      <c r="E817">
        <f t="shared" si="91"/>
        <v>2.4065936131098544E-4</v>
      </c>
      <c r="J817" t="s">
        <v>106</v>
      </c>
      <c r="K817">
        <v>14</v>
      </c>
    </row>
    <row r="818" spans="1:11">
      <c r="A818">
        <v>138</v>
      </c>
      <c r="B818">
        <v>0.88</v>
      </c>
      <c r="C818">
        <f t="shared" si="89"/>
        <v>0.9001561889137204</v>
      </c>
      <c r="D818">
        <f t="shared" si="90"/>
        <v>4.0627195152558504E-4</v>
      </c>
      <c r="E818">
        <f t="shared" si="91"/>
        <v>4.6167267218816482E-4</v>
      </c>
    </row>
    <row r="819" spans="1:11">
      <c r="A819">
        <v>143</v>
      </c>
      <c r="B819">
        <v>0.89</v>
      </c>
      <c r="C819">
        <f t="shared" si="89"/>
        <v>0.91728770643388269</v>
      </c>
      <c r="D819">
        <f t="shared" si="90"/>
        <v>7.4461892242176197E-4</v>
      </c>
      <c r="E819">
        <f t="shared" si="91"/>
        <v>8.3665047463119316E-4</v>
      </c>
    </row>
    <row r="820" spans="1:11">
      <c r="A820">
        <v>150</v>
      </c>
      <c r="B820">
        <v>0.9</v>
      </c>
      <c r="C820">
        <f t="shared" si="89"/>
        <v>0.93608371246125477</v>
      </c>
      <c r="D820">
        <f t="shared" si="90"/>
        <v>1.3020343049865112E-3</v>
      </c>
      <c r="E820">
        <f t="shared" si="91"/>
        <v>1.4467047833183458E-3</v>
      </c>
    </row>
    <row r="821" spans="1:11">
      <c r="D821">
        <f>SUM(D807:D820)</f>
        <v>7.7145721200696585E-3</v>
      </c>
      <c r="E821">
        <f>SUM(E807:E820)</f>
        <v>4.7709628216675681E-2</v>
      </c>
    </row>
    <row r="829" spans="1:11" ht="16.8">
      <c r="A829" s="2" t="s">
        <v>109</v>
      </c>
    </row>
    <row r="830" spans="1:11">
      <c r="B830" t="s">
        <v>72</v>
      </c>
    </row>
    <row r="831" spans="1:11">
      <c r="A831" t="s">
        <v>29</v>
      </c>
      <c r="B831" t="s">
        <v>43</v>
      </c>
      <c r="C831" t="s">
        <v>99</v>
      </c>
      <c r="D831" t="s">
        <v>100</v>
      </c>
    </row>
    <row r="832" spans="1:11">
      <c r="A832">
        <v>0</v>
      </c>
      <c r="B832">
        <v>0</v>
      </c>
      <c r="C832">
        <f>1-(1/(1+(($K$843*$K$842*A832)/($K$835*$K$841))^($K$834)))</f>
        <v>0</v>
      </c>
      <c r="D832">
        <f>(B832-C832)^2</f>
        <v>0</v>
      </c>
    </row>
    <row r="833" spans="1:11">
      <c r="A833">
        <v>20</v>
      </c>
      <c r="B833">
        <v>0</v>
      </c>
      <c r="C833">
        <f t="shared" ref="C833:C845" si="92">1-(1/(1+(($K$843*$K$842*A833)/($K$835*$K$841))^($K$834)))</f>
        <v>9.0172823696832438E-7</v>
      </c>
      <c r="D833">
        <f t="shared" ref="D833:D845" si="93">(B833-C833)^2</f>
        <v>8.1311381334600254E-13</v>
      </c>
    </row>
    <row r="834" spans="1:11">
      <c r="A834">
        <v>40</v>
      </c>
      <c r="B834">
        <v>0</v>
      </c>
      <c r="C834">
        <f t="shared" si="92"/>
        <v>1.2544972868000492E-4</v>
      </c>
      <c r="D834">
        <f t="shared" si="93"/>
        <v>1.573763442588685E-8</v>
      </c>
      <c r="J834" t="s">
        <v>21</v>
      </c>
      <c r="K834">
        <v>7.1203806319535099</v>
      </c>
    </row>
    <row r="835" spans="1:11">
      <c r="A835">
        <v>50</v>
      </c>
      <c r="B835">
        <v>0</v>
      </c>
      <c r="C835">
        <f t="shared" si="92"/>
        <v>6.1417703845667582E-4</v>
      </c>
      <c r="D835">
        <f t="shared" si="93"/>
        <v>3.7721343456741307E-7</v>
      </c>
      <c r="J835" t="s">
        <v>103</v>
      </c>
      <c r="K835">
        <v>42375.226885170203</v>
      </c>
    </row>
    <row r="836" spans="1:11">
      <c r="A836">
        <v>60</v>
      </c>
      <c r="B836">
        <v>0</v>
      </c>
      <c r="C836">
        <f t="shared" si="92"/>
        <v>2.2458696003391232E-3</v>
      </c>
      <c r="D836">
        <f t="shared" si="93"/>
        <v>5.0439302617274129E-6</v>
      </c>
      <c r="F836" t="s">
        <v>100</v>
      </c>
      <c r="G836">
        <f>D846</f>
        <v>4.0416170529070103E-3</v>
      </c>
    </row>
    <row r="837" spans="1:11">
      <c r="A837">
        <v>70</v>
      </c>
      <c r="B837">
        <v>0</v>
      </c>
      <c r="C837">
        <f t="shared" si="92"/>
        <v>6.7008161937667232E-3</v>
      </c>
      <c r="D837">
        <f t="shared" si="93"/>
        <v>4.4900937662646353E-5</v>
      </c>
    </row>
    <row r="838" spans="1:11">
      <c r="A838">
        <v>80</v>
      </c>
      <c r="B838">
        <v>0.01</v>
      </c>
      <c r="C838">
        <f t="shared" si="92"/>
        <v>1.715758864841499E-2</v>
      </c>
      <c r="D838">
        <f t="shared" si="93"/>
        <v>5.1231075259919117E-5</v>
      </c>
    </row>
    <row r="839" spans="1:11">
      <c r="A839">
        <v>100</v>
      </c>
      <c r="B839">
        <v>0.09</v>
      </c>
      <c r="C839">
        <f t="shared" si="92"/>
        <v>7.8772634890539761E-2</v>
      </c>
      <c r="D839">
        <f t="shared" si="93"/>
        <v>1.2605372730112505E-4</v>
      </c>
    </row>
    <row r="840" spans="1:11">
      <c r="A840">
        <v>115</v>
      </c>
      <c r="B840">
        <v>0.21</v>
      </c>
      <c r="C840">
        <f t="shared" si="92"/>
        <v>0.18785889422243296</v>
      </c>
      <c r="D840">
        <f t="shared" si="93"/>
        <v>4.9022856505341226E-4</v>
      </c>
    </row>
    <row r="841" spans="1:11">
      <c r="A841">
        <v>130</v>
      </c>
      <c r="B841">
        <v>0.36</v>
      </c>
      <c r="C841">
        <f t="shared" si="92"/>
        <v>0.35640365559870868</v>
      </c>
      <c r="D841">
        <f t="shared" si="93"/>
        <v>1.2933693052699329E-5</v>
      </c>
      <c r="J841" t="s">
        <v>105</v>
      </c>
      <c r="K841">
        <v>4</v>
      </c>
    </row>
    <row r="842" spans="1:11">
      <c r="A842">
        <v>140</v>
      </c>
      <c r="B842">
        <v>0.46</v>
      </c>
      <c r="C842">
        <f t="shared" si="92"/>
        <v>0.48417258642815897</v>
      </c>
      <c r="D842">
        <f t="shared" si="93"/>
        <v>5.8431393462681424E-4</v>
      </c>
      <c r="J842" t="s">
        <v>8</v>
      </c>
      <c r="K842">
        <v>12</v>
      </c>
    </row>
    <row r="843" spans="1:11">
      <c r="A843">
        <v>165</v>
      </c>
      <c r="B843">
        <v>0.72</v>
      </c>
      <c r="C843">
        <f t="shared" si="92"/>
        <v>0.7514889980605387</v>
      </c>
      <c r="D843">
        <f t="shared" si="93"/>
        <v>9.91556998856612E-4</v>
      </c>
      <c r="J843" t="s">
        <v>12</v>
      </c>
      <c r="K843">
        <v>100</v>
      </c>
    </row>
    <row r="844" spans="1:11">
      <c r="A844">
        <v>180</v>
      </c>
      <c r="B844">
        <v>0.88</v>
      </c>
      <c r="C844">
        <f t="shared" si="92"/>
        <v>0.848915911076491</v>
      </c>
      <c r="D844">
        <f t="shared" si="93"/>
        <v>9.6622058420461497E-4</v>
      </c>
      <c r="J844" t="s">
        <v>210</v>
      </c>
      <c r="K844">
        <v>0.43319999999999997</v>
      </c>
    </row>
    <row r="845" spans="1:11">
      <c r="A845">
        <v>185</v>
      </c>
      <c r="B845">
        <v>0.9</v>
      </c>
      <c r="C845">
        <f t="shared" si="92"/>
        <v>0.87227382726113589</v>
      </c>
      <c r="D845">
        <f t="shared" si="93"/>
        <v>7.6874065474533246E-4</v>
      </c>
      <c r="J845" t="s">
        <v>106</v>
      </c>
      <c r="K845">
        <v>14</v>
      </c>
    </row>
    <row r="846" spans="1:11">
      <c r="D846">
        <f>SUM(D832:D845)</f>
        <v>4.0416170529070103E-3</v>
      </c>
    </row>
    <row r="854" spans="1:11" ht="16.8">
      <c r="A854" s="3" t="s">
        <v>268</v>
      </c>
    </row>
    <row r="855" spans="1:11">
      <c r="B855" t="s">
        <v>72</v>
      </c>
    </row>
    <row r="856" spans="1:11">
      <c r="A856" t="s">
        <v>29</v>
      </c>
      <c r="B856" t="s">
        <v>43</v>
      </c>
      <c r="C856" t="s">
        <v>99</v>
      </c>
      <c r="D856" t="s">
        <v>120</v>
      </c>
      <c r="E856" t="s">
        <v>137</v>
      </c>
    </row>
    <row r="857" spans="1:11">
      <c r="A857">
        <v>0</v>
      </c>
      <c r="B857">
        <v>0</v>
      </c>
      <c r="C857">
        <f>1-(1/(1+(($K$868*$K$867*A857)/($K$860*$K$866))^($K$859)))</f>
        <v>0</v>
      </c>
      <c r="D857">
        <f>(B857-C857)^2</f>
        <v>0</v>
      </c>
      <c r="E857">
        <f>ABS(B857-C857)</f>
        <v>0</v>
      </c>
    </row>
    <row r="858" spans="1:11">
      <c r="A858">
        <v>20</v>
      </c>
      <c r="B858">
        <v>0</v>
      </c>
      <c r="C858">
        <f t="shared" ref="C858:C870" si="94">1-(1/(1+(($K$868*$K$867*A858)/($K$860*$K$866))^($K$859)))</f>
        <v>1.5541479567726668E-6</v>
      </c>
      <c r="D858">
        <f t="shared" ref="D858:D870" si="95">(B858-C858)^2</f>
        <v>2.4153758715406549E-12</v>
      </c>
      <c r="E858">
        <f t="shared" ref="E858:E870" si="96">ABS(B858-C858)</f>
        <v>1.5541479567726668E-6</v>
      </c>
    </row>
    <row r="859" spans="1:11">
      <c r="A859">
        <v>40</v>
      </c>
      <c r="B859">
        <v>0</v>
      </c>
      <c r="C859">
        <f t="shared" si="94"/>
        <v>1.7775930896668513E-4</v>
      </c>
      <c r="D859">
        <f t="shared" si="95"/>
        <v>3.1598371924313426E-8</v>
      </c>
      <c r="E859">
        <f t="shared" si="96"/>
        <v>1.7775930896668513E-4</v>
      </c>
      <c r="J859" t="s">
        <v>21</v>
      </c>
      <c r="K859">
        <v>6.8379116796278696</v>
      </c>
    </row>
    <row r="860" spans="1:11">
      <c r="A860">
        <v>50</v>
      </c>
      <c r="B860">
        <v>0</v>
      </c>
      <c r="C860">
        <f t="shared" si="94"/>
        <v>8.1698994327117358E-4</v>
      </c>
      <c r="D860">
        <f t="shared" si="95"/>
        <v>6.6747256740623539E-7</v>
      </c>
      <c r="E860">
        <f t="shared" si="96"/>
        <v>8.1698994327117358E-4</v>
      </c>
      <c r="J860" t="s">
        <v>103</v>
      </c>
      <c r="K860">
        <v>42423.600296115503</v>
      </c>
    </row>
    <row r="861" spans="1:11">
      <c r="A861">
        <v>60</v>
      </c>
      <c r="B861">
        <v>0</v>
      </c>
      <c r="C861">
        <f t="shared" si="94"/>
        <v>2.8364324140429664E-3</v>
      </c>
      <c r="D861">
        <f t="shared" si="95"/>
        <v>8.0453488394336102E-6</v>
      </c>
      <c r="E861">
        <f t="shared" si="96"/>
        <v>2.8364324140429664E-3</v>
      </c>
    </row>
    <row r="862" spans="1:11">
      <c r="A862">
        <v>70</v>
      </c>
      <c r="B862">
        <v>0</v>
      </c>
      <c r="C862">
        <f t="shared" si="94"/>
        <v>8.0956563348458799E-3</v>
      </c>
      <c r="D862">
        <f t="shared" si="95"/>
        <v>6.5539651491930225E-5</v>
      </c>
      <c r="E862">
        <f t="shared" si="96"/>
        <v>8.0956563348458799E-3</v>
      </c>
    </row>
    <row r="863" spans="1:11">
      <c r="A863">
        <v>80</v>
      </c>
      <c r="B863">
        <v>0.01</v>
      </c>
      <c r="C863">
        <f t="shared" si="94"/>
        <v>1.993341306973262E-2</v>
      </c>
      <c r="D863">
        <f t="shared" si="95"/>
        <v>9.8672695213934821E-5</v>
      </c>
      <c r="E863">
        <f t="shared" si="96"/>
        <v>9.9334130697326193E-3</v>
      </c>
      <c r="G863" t="s">
        <v>132</v>
      </c>
      <c r="H863">
        <f>E871</f>
        <v>0.16374845868510268</v>
      </c>
      <c r="J863" t="s">
        <v>104</v>
      </c>
      <c r="K863">
        <f>1-(D871/E871)</f>
        <v>0.97263223289792378</v>
      </c>
    </row>
    <row r="864" spans="1:11">
      <c r="A864">
        <v>100</v>
      </c>
      <c r="B864">
        <v>0.09</v>
      </c>
      <c r="C864">
        <f t="shared" si="94"/>
        <v>8.5537057090656732E-2</v>
      </c>
      <c r="D864">
        <f t="shared" si="95"/>
        <v>1.9917859412057326E-5</v>
      </c>
      <c r="E864">
        <f t="shared" si="96"/>
        <v>4.4629429093432649E-3</v>
      </c>
    </row>
    <row r="865" spans="1:11">
      <c r="A865">
        <v>115</v>
      </c>
      <c r="B865">
        <v>0.21</v>
      </c>
      <c r="C865">
        <f t="shared" si="94"/>
        <v>0.19564995598492096</v>
      </c>
      <c r="D865">
        <f t="shared" si="95"/>
        <v>2.0592376323470542E-4</v>
      </c>
      <c r="E865">
        <f t="shared" si="96"/>
        <v>1.4350044015079028E-2</v>
      </c>
    </row>
    <row r="866" spans="1:11">
      <c r="A866">
        <v>130</v>
      </c>
      <c r="B866">
        <v>0.36</v>
      </c>
      <c r="C866">
        <f t="shared" si="94"/>
        <v>0.36000013045676182</v>
      </c>
      <c r="D866">
        <f t="shared" si="95"/>
        <v>1.7018966709165213E-14</v>
      </c>
      <c r="E866">
        <f t="shared" si="96"/>
        <v>1.3045676183764954E-7</v>
      </c>
      <c r="J866" t="s">
        <v>105</v>
      </c>
      <c r="K866">
        <v>4</v>
      </c>
    </row>
    <row r="867" spans="1:11">
      <c r="A867">
        <v>140</v>
      </c>
      <c r="B867">
        <v>0.46</v>
      </c>
      <c r="C867">
        <f t="shared" si="94"/>
        <v>0.48285177567602477</v>
      </c>
      <c r="D867">
        <f t="shared" si="95"/>
        <v>5.222036515473566E-4</v>
      </c>
      <c r="E867">
        <f t="shared" si="96"/>
        <v>2.2851775676024755E-2</v>
      </c>
      <c r="J867" t="s">
        <v>8</v>
      </c>
      <c r="K867">
        <v>12</v>
      </c>
    </row>
    <row r="868" spans="1:11">
      <c r="A868">
        <v>165</v>
      </c>
      <c r="B868">
        <v>0.72</v>
      </c>
      <c r="C868">
        <f t="shared" si="94"/>
        <v>0.74170896482952342</v>
      </c>
      <c r="D868">
        <f t="shared" si="95"/>
        <v>4.7127915396948599E-4</v>
      </c>
      <c r="E868">
        <f t="shared" si="96"/>
        <v>2.1708964829523447E-2</v>
      </c>
      <c r="J868" t="s">
        <v>12</v>
      </c>
      <c r="K868">
        <v>100</v>
      </c>
    </row>
    <row r="869" spans="1:11">
      <c r="A869">
        <v>180</v>
      </c>
      <c r="B869">
        <v>0.88</v>
      </c>
      <c r="C869">
        <f t="shared" si="94"/>
        <v>0.83887024310439418</v>
      </c>
      <c r="D869">
        <f t="shared" si="95"/>
        <v>1.6916569022916352E-3</v>
      </c>
      <c r="E869">
        <f t="shared" si="96"/>
        <v>4.1129756895605829E-2</v>
      </c>
      <c r="J869" t="s">
        <v>210</v>
      </c>
      <c r="K869">
        <v>0.43319999999999997</v>
      </c>
    </row>
    <row r="870" spans="1:11">
      <c r="A870">
        <v>185</v>
      </c>
      <c r="B870">
        <v>0.9</v>
      </c>
      <c r="C870">
        <f t="shared" si="94"/>
        <v>0.86261696131605159</v>
      </c>
      <c r="D870">
        <f t="shared" si="95"/>
        <v>1.3974915812455849E-3</v>
      </c>
      <c r="E870">
        <f t="shared" si="96"/>
        <v>3.7383038683948433E-2</v>
      </c>
      <c r="J870" t="s">
        <v>106</v>
      </c>
      <c r="K870">
        <v>14</v>
      </c>
    </row>
    <row r="871" spans="1:11">
      <c r="D871">
        <f>SUM(D857:D870)</f>
        <v>4.4814296806178489E-3</v>
      </c>
      <c r="E871">
        <f>SUM(E857:E870)</f>
        <v>0.16374845868510268</v>
      </c>
    </row>
    <row r="879" spans="1:11" ht="16.8">
      <c r="A879" s="3" t="s">
        <v>267</v>
      </c>
    </row>
    <row r="880" spans="1:11">
      <c r="B880" t="s">
        <v>72</v>
      </c>
    </row>
    <row r="881" spans="1:11">
      <c r="A881" t="s">
        <v>29</v>
      </c>
      <c r="B881" t="s">
        <v>43</v>
      </c>
      <c r="C881" t="s">
        <v>99</v>
      </c>
      <c r="D881" t="s">
        <v>120</v>
      </c>
      <c r="E881" t="s">
        <v>119</v>
      </c>
    </row>
    <row r="882" spans="1:11">
      <c r="A882">
        <v>0</v>
      </c>
      <c r="B882">
        <v>0</v>
      </c>
      <c r="C882">
        <f>1-(1/(1+(($K$893*$K$892*A882)/($K$885*$K$891))^($K$884)))</f>
        <v>0</v>
      </c>
      <c r="D882">
        <f>(B882-C882)^2</f>
        <v>0</v>
      </c>
      <c r="E882">
        <v>0</v>
      </c>
    </row>
    <row r="883" spans="1:11">
      <c r="A883">
        <v>20</v>
      </c>
      <c r="B883">
        <v>0</v>
      </c>
      <c r="C883">
        <f t="shared" ref="C883:C895" si="97">1-(1/(1+(($K$893*$K$892*A883)/($K$885*$K$891))^($K$884)))</f>
        <v>1.4207694376544566E-7</v>
      </c>
      <c r="D883">
        <f t="shared" ref="D883:D895" si="98">(B883-C883)^2</f>
        <v>2.018585794972961E-14</v>
      </c>
      <c r="E883">
        <v>0</v>
      </c>
    </row>
    <row r="884" spans="1:11">
      <c r="A884">
        <v>40</v>
      </c>
      <c r="B884">
        <v>0</v>
      </c>
      <c r="C884">
        <f t="shared" si="97"/>
        <v>4.0360936972239081E-5</v>
      </c>
      <c r="D884">
        <f t="shared" si="98"/>
        <v>1.6290052332770557E-9</v>
      </c>
      <c r="E884">
        <v>0</v>
      </c>
      <c r="J884" t="s">
        <v>21</v>
      </c>
      <c r="K884">
        <v>8.1502014284000897</v>
      </c>
    </row>
    <row r="885" spans="1:11">
      <c r="A885">
        <v>50</v>
      </c>
      <c r="B885">
        <v>0</v>
      </c>
      <c r="C885">
        <f t="shared" si="97"/>
        <v>2.4871779846746822E-4</v>
      </c>
      <c r="D885">
        <f t="shared" si="98"/>
        <v>6.1860543274504132E-8</v>
      </c>
      <c r="E885">
        <v>0</v>
      </c>
      <c r="J885" t="s">
        <v>103</v>
      </c>
      <c r="K885">
        <v>41525.190236683397</v>
      </c>
    </row>
    <row r="886" spans="1:11">
      <c r="A886">
        <v>60</v>
      </c>
      <c r="B886">
        <v>0</v>
      </c>
      <c r="C886">
        <f t="shared" si="97"/>
        <v>1.0981983734855705E-3</v>
      </c>
      <c r="D886">
        <f t="shared" si="98"/>
        <v>1.2060396675263526E-6</v>
      </c>
      <c r="E886">
        <v>0</v>
      </c>
    </row>
    <row r="887" spans="1:11">
      <c r="A887">
        <v>70</v>
      </c>
      <c r="B887">
        <v>0</v>
      </c>
      <c r="C887">
        <f t="shared" si="97"/>
        <v>3.846926595022615E-3</v>
      </c>
      <c r="D887">
        <f t="shared" si="98"/>
        <v>1.4798844227492291E-5</v>
      </c>
      <c r="E887">
        <v>0</v>
      </c>
    </row>
    <row r="888" spans="1:11">
      <c r="A888">
        <v>80</v>
      </c>
      <c r="B888">
        <v>0.01</v>
      </c>
      <c r="C888">
        <f t="shared" si="97"/>
        <v>1.1336587174193724E-2</v>
      </c>
      <c r="D888">
        <f t="shared" si="98"/>
        <v>1.786465274219164E-6</v>
      </c>
      <c r="E888">
        <f>(B888-C888)^2/B888^2</f>
        <v>1.786465274219164E-2</v>
      </c>
      <c r="G888" t="s">
        <v>121</v>
      </c>
      <c r="H888">
        <f>(100)*(1/12)^0.5*F893^0.5</f>
        <v>0.92975992820586184</v>
      </c>
    </row>
    <row r="889" spans="1:11">
      <c r="A889">
        <v>100</v>
      </c>
      <c r="B889">
        <v>0.09</v>
      </c>
      <c r="C889">
        <f t="shared" si="97"/>
        <v>6.6010353391277699E-2</v>
      </c>
      <c r="D889">
        <f t="shared" si="98"/>
        <v>5.7550314441138129E-4</v>
      </c>
      <c r="E889">
        <f t="shared" ref="E889:E895" si="99">(B889-C889)^2/B889^2</f>
        <v>7.104977091498535E-2</v>
      </c>
    </row>
    <row r="890" spans="1:11">
      <c r="A890">
        <v>115</v>
      </c>
      <c r="B890">
        <v>0.21</v>
      </c>
      <c r="C890">
        <f t="shared" si="97"/>
        <v>0.18085496098215414</v>
      </c>
      <c r="D890">
        <f t="shared" si="98"/>
        <v>8.4943329935175684E-4</v>
      </c>
      <c r="E890">
        <f t="shared" si="99"/>
        <v>1.9261526062398115E-2</v>
      </c>
    </row>
    <row r="891" spans="1:11">
      <c r="A891">
        <v>130</v>
      </c>
      <c r="B891">
        <v>0.36</v>
      </c>
      <c r="C891">
        <f t="shared" si="97"/>
        <v>0.37488129023262773</v>
      </c>
      <c r="D891">
        <f t="shared" si="98"/>
        <v>2.2145279898770184E-4</v>
      </c>
      <c r="E891">
        <f t="shared" si="99"/>
        <v>1.7087407329297983E-3</v>
      </c>
      <c r="J891" t="s">
        <v>105</v>
      </c>
      <c r="K891">
        <v>4</v>
      </c>
    </row>
    <row r="892" spans="1:11">
      <c r="A892">
        <v>140</v>
      </c>
      <c r="B892">
        <v>0.46</v>
      </c>
      <c r="C892">
        <f t="shared" si="97"/>
        <v>0.52314912583976014</v>
      </c>
      <c r="D892">
        <f t="shared" si="98"/>
        <v>3.9878120943258599E-3</v>
      </c>
      <c r="E892">
        <f t="shared" si="99"/>
        <v>1.8845992884337713E-2</v>
      </c>
      <c r="J892" t="s">
        <v>8</v>
      </c>
      <c r="K892">
        <v>12</v>
      </c>
    </row>
    <row r="893" spans="1:11">
      <c r="A893">
        <v>165</v>
      </c>
      <c r="B893">
        <v>0.72</v>
      </c>
      <c r="C893">
        <f t="shared" si="97"/>
        <v>0.80717628522205087</v>
      </c>
      <c r="D893">
        <f t="shared" si="98"/>
        <v>7.5997047051163695E-3</v>
      </c>
      <c r="E893">
        <f t="shared" si="99"/>
        <v>1.4659924199684355E-2</v>
      </c>
      <c r="F893">
        <f>D896/B896^2</f>
        <v>1.0373442289168433E-3</v>
      </c>
      <c r="J893" t="s">
        <v>12</v>
      </c>
      <c r="K893">
        <v>100</v>
      </c>
    </row>
    <row r="894" spans="1:11">
      <c r="A894">
        <v>180</v>
      </c>
      <c r="B894">
        <v>0.88</v>
      </c>
      <c r="C894">
        <f t="shared" si="97"/>
        <v>0.89481779287869689</v>
      </c>
      <c r="D894">
        <f t="shared" si="98"/>
        <v>2.1956698579596025E-4</v>
      </c>
      <c r="E894">
        <f t="shared" si="99"/>
        <v>2.8353174818693212E-4</v>
      </c>
      <c r="J894" t="s">
        <v>210</v>
      </c>
      <c r="K894">
        <v>0.43319999999999997</v>
      </c>
    </row>
    <row r="895" spans="1:11">
      <c r="A895">
        <v>185</v>
      </c>
      <c r="B895">
        <v>0.9</v>
      </c>
      <c r="C895">
        <f t="shared" si="97"/>
        <v>0.91405892255072896</v>
      </c>
      <c r="D895">
        <f t="shared" si="98"/>
        <v>1.9765330328739463E-4</v>
      </c>
      <c r="E895">
        <f t="shared" si="99"/>
        <v>2.4401642381159829E-4</v>
      </c>
      <c r="J895" t="s">
        <v>106</v>
      </c>
      <c r="K895">
        <v>14</v>
      </c>
    </row>
    <row r="896" spans="1:11">
      <c r="B896">
        <f>SUM(B882:B895)</f>
        <v>3.63</v>
      </c>
      <c r="D896">
        <f>SUM(D882:D895)</f>
        <v>1.3668981170014353E-2</v>
      </c>
      <c r="E896">
        <f>SUM(E882:E895)</f>
        <v>0.14391815570852551</v>
      </c>
    </row>
    <row r="903" spans="1:11" ht="16.8">
      <c r="A903" s="2" t="s">
        <v>125</v>
      </c>
    </row>
    <row r="904" spans="1:11">
      <c r="B904" t="s">
        <v>72</v>
      </c>
    </row>
    <row r="905" spans="1:11">
      <c r="A905" t="s">
        <v>29</v>
      </c>
      <c r="B905" t="s">
        <v>43</v>
      </c>
      <c r="C905" t="s">
        <v>99</v>
      </c>
      <c r="D905" t="s">
        <v>120</v>
      </c>
      <c r="E905" t="s">
        <v>119</v>
      </c>
    </row>
    <row r="906" spans="1:11">
      <c r="A906">
        <v>0</v>
      </c>
      <c r="B906">
        <v>0</v>
      </c>
      <c r="C906">
        <f>1-(1/(1+(($K$917*$K$916*A906)/($K$909*$K$915))^($K$908)))</f>
        <v>0</v>
      </c>
      <c r="D906">
        <f>(B906-C906)^2</f>
        <v>0</v>
      </c>
      <c r="E906">
        <v>0</v>
      </c>
    </row>
    <row r="907" spans="1:11">
      <c r="A907">
        <v>20</v>
      </c>
      <c r="B907">
        <v>0</v>
      </c>
      <c r="C907">
        <f t="shared" ref="C907:C919" si="100">1-(1/(1+(($K$917*$K$916*A907)/($K$909*$K$915))^($K$908)))</f>
        <v>8.0730367080228405E-7</v>
      </c>
      <c r="D907">
        <f t="shared" ref="D907:D919" si="101">(B907-C907)^2</f>
        <v>6.5173921689084257E-13</v>
      </c>
      <c r="E907">
        <v>0</v>
      </c>
    </row>
    <row r="908" spans="1:11">
      <c r="A908">
        <v>40</v>
      </c>
      <c r="B908">
        <v>0</v>
      </c>
      <c r="C908">
        <f t="shared" si="100"/>
        <v>1.1722468067132397E-4</v>
      </c>
      <c r="D908">
        <f t="shared" si="101"/>
        <v>1.3741625758493875E-8</v>
      </c>
      <c r="E908">
        <v>0</v>
      </c>
      <c r="J908" t="s">
        <v>21</v>
      </c>
      <c r="K908">
        <v>7.1821171469970704</v>
      </c>
    </row>
    <row r="909" spans="1:11">
      <c r="A909">
        <v>50</v>
      </c>
      <c r="B909">
        <v>0</v>
      </c>
      <c r="C909">
        <f t="shared" si="100"/>
        <v>5.8188378487589176E-4</v>
      </c>
      <c r="D909">
        <f t="shared" si="101"/>
        <v>3.3858873910149307E-7</v>
      </c>
      <c r="E909">
        <v>0</v>
      </c>
      <c r="J909" t="s">
        <v>103</v>
      </c>
      <c r="K909">
        <v>42315.857857133997</v>
      </c>
    </row>
    <row r="910" spans="1:11">
      <c r="A910">
        <v>60</v>
      </c>
      <c r="B910">
        <v>0</v>
      </c>
      <c r="C910">
        <f t="shared" si="100"/>
        <v>2.1520007252727735E-3</v>
      </c>
      <c r="D910">
        <f t="shared" si="101"/>
        <v>4.6311071215745436E-6</v>
      </c>
      <c r="E910">
        <v>0</v>
      </c>
    </row>
    <row r="911" spans="1:11">
      <c r="A911">
        <v>70</v>
      </c>
      <c r="B911">
        <v>0</v>
      </c>
      <c r="C911">
        <f t="shared" si="100"/>
        <v>6.4829553489631486E-3</v>
      </c>
      <c r="D911">
        <f t="shared" si="101"/>
        <v>4.2028710056649903E-5</v>
      </c>
      <c r="E911">
        <v>0</v>
      </c>
    </row>
    <row r="912" spans="1:11">
      <c r="A912">
        <v>80</v>
      </c>
      <c r="B912">
        <v>0.01</v>
      </c>
      <c r="C912">
        <f t="shared" si="100"/>
        <v>1.6740590618776086E-2</v>
      </c>
      <c r="D912">
        <f t="shared" si="101"/>
        <v>4.5435561889932167E-5</v>
      </c>
      <c r="E912">
        <f>(B912-C912)^2/B912</f>
        <v>4.5435561889932167E-3</v>
      </c>
      <c r="G912" t="s">
        <v>134</v>
      </c>
      <c r="H912">
        <f>(100/12)*E920</f>
        <v>0.11170996784973106</v>
      </c>
      <c r="J912" t="s">
        <v>104</v>
      </c>
      <c r="K912">
        <f>1-(D920/E920)</f>
        <v>0.6953451716249216</v>
      </c>
    </row>
    <row r="913" spans="1:11">
      <c r="A913">
        <v>100</v>
      </c>
      <c r="B913">
        <v>0.09</v>
      </c>
      <c r="C913">
        <f t="shared" si="100"/>
        <v>7.7959944179545326E-2</v>
      </c>
      <c r="D913">
        <f t="shared" si="101"/>
        <v>1.4496294415966438E-4</v>
      </c>
      <c r="E913">
        <f t="shared" ref="E913:E919" si="102">(B913-C913)^2/B913</f>
        <v>1.6106993795518265E-3</v>
      </c>
    </row>
    <row r="914" spans="1:11">
      <c r="A914">
        <v>115</v>
      </c>
      <c r="B914">
        <v>0.21</v>
      </c>
      <c r="C914">
        <f t="shared" si="100"/>
        <v>0.18745890160070289</v>
      </c>
      <c r="D914">
        <f t="shared" si="101"/>
        <v>5.0810111704679452E-4</v>
      </c>
      <c r="E914">
        <f t="shared" si="102"/>
        <v>2.4195291287942597E-3</v>
      </c>
    </row>
    <row r="915" spans="1:11">
      <c r="A915">
        <v>130</v>
      </c>
      <c r="B915">
        <v>0.36</v>
      </c>
      <c r="C915">
        <f t="shared" si="100"/>
        <v>0.35753877984110749</v>
      </c>
      <c r="D915">
        <f t="shared" si="101"/>
        <v>6.0576046705388057E-6</v>
      </c>
      <c r="E915">
        <f t="shared" si="102"/>
        <v>1.6826679640385574E-5</v>
      </c>
      <c r="J915" t="s">
        <v>105</v>
      </c>
      <c r="K915">
        <v>4</v>
      </c>
    </row>
    <row r="916" spans="1:11">
      <c r="A916">
        <v>140</v>
      </c>
      <c r="B916">
        <v>0.46</v>
      </c>
      <c r="C916">
        <f t="shared" si="100"/>
        <v>0.48655062305469476</v>
      </c>
      <c r="D916">
        <f t="shared" si="101"/>
        <v>7.0493558459248809E-4</v>
      </c>
      <c r="E916">
        <f t="shared" si="102"/>
        <v>1.5324686621575828E-3</v>
      </c>
      <c r="J916" t="s">
        <v>8</v>
      </c>
      <c r="K916">
        <v>12</v>
      </c>
    </row>
    <row r="917" spans="1:11">
      <c r="A917">
        <v>165</v>
      </c>
      <c r="B917">
        <v>0.72</v>
      </c>
      <c r="C917">
        <f t="shared" si="100"/>
        <v>0.75514309337809471</v>
      </c>
      <c r="D917">
        <f t="shared" si="101"/>
        <v>1.2350370121814861E-3</v>
      </c>
      <c r="E917">
        <f t="shared" si="102"/>
        <v>1.7153291835853973E-3</v>
      </c>
      <c r="J917" t="s">
        <v>12</v>
      </c>
      <c r="K917">
        <v>100</v>
      </c>
    </row>
    <row r="918" spans="1:11">
      <c r="A918">
        <v>180</v>
      </c>
      <c r="B918">
        <v>0.88</v>
      </c>
      <c r="C918">
        <f t="shared" si="100"/>
        <v>0.85209894833528921</v>
      </c>
      <c r="D918">
        <f t="shared" si="101"/>
        <v>7.7846868399686115E-4</v>
      </c>
      <c r="E918">
        <f t="shared" si="102"/>
        <v>8.8462350454188762E-4</v>
      </c>
      <c r="J918" t="s">
        <v>210</v>
      </c>
      <c r="K918">
        <v>0.43319999999999997</v>
      </c>
    </row>
    <row r="919" spans="1:11">
      <c r="A919">
        <v>185</v>
      </c>
      <c r="B919">
        <v>0.9</v>
      </c>
      <c r="C919">
        <f t="shared" si="100"/>
        <v>0.87522204461153319</v>
      </c>
      <c r="D919">
        <f t="shared" si="101"/>
        <v>6.139470732328525E-4</v>
      </c>
      <c r="E919">
        <f t="shared" si="102"/>
        <v>6.8216341470316944E-4</v>
      </c>
      <c r="J919" t="s">
        <v>106</v>
      </c>
      <c r="K919">
        <v>14</v>
      </c>
    </row>
    <row r="920" spans="1:11">
      <c r="D920">
        <f>SUM(D906:D919)</f>
        <v>4.0839577299654406E-3</v>
      </c>
      <c r="E920">
        <f>SUM(E906:E919)</f>
        <v>1.3405196141967725E-2</v>
      </c>
    </row>
    <row r="926" spans="1:11" ht="15.6">
      <c r="A926" s="4"/>
      <c r="B926" s="4"/>
      <c r="C926" s="4"/>
      <c r="D926" s="4"/>
      <c r="I926">
        <v>201</v>
      </c>
    </row>
    <row r="927" spans="1:11" ht="15.6">
      <c r="A927" s="4" t="s">
        <v>269</v>
      </c>
      <c r="B927" s="4"/>
      <c r="C927" s="4"/>
      <c r="D927" s="4"/>
      <c r="E927" s="4"/>
    </row>
    <row r="928" spans="1:11" ht="15.6">
      <c r="A928" s="4" t="s">
        <v>270</v>
      </c>
      <c r="B928" s="4"/>
      <c r="C928" s="4"/>
      <c r="D928" s="4"/>
      <c r="E928" s="4"/>
    </row>
    <row r="929" spans="1:5" ht="15.6">
      <c r="A929" s="4" t="s">
        <v>153</v>
      </c>
      <c r="B929" s="4" t="s">
        <v>21</v>
      </c>
      <c r="C929" s="4" t="s">
        <v>271</v>
      </c>
      <c r="D929" s="4" t="s">
        <v>156</v>
      </c>
    </row>
    <row r="930" spans="1:5" ht="15.6">
      <c r="A930" s="4" t="s">
        <v>100</v>
      </c>
      <c r="B930" s="4">
        <v>3.4077959999999998</v>
      </c>
      <c r="C930" s="4">
        <v>20143.28</v>
      </c>
      <c r="D930" s="4">
        <v>2.2000000000000001E-3</v>
      </c>
    </row>
    <row r="931" spans="1:5" ht="15.6">
      <c r="A931" s="4" t="s">
        <v>157</v>
      </c>
      <c r="B931" s="4">
        <v>4.0673719999999998</v>
      </c>
      <c r="C931" s="4">
        <v>20324.25</v>
      </c>
      <c r="D931" s="4">
        <v>0.31940000000000002</v>
      </c>
    </row>
    <row r="932" spans="1:5" ht="15.6">
      <c r="A932" s="4" t="s">
        <v>121</v>
      </c>
      <c r="B932" s="4">
        <v>5.0092400000000001</v>
      </c>
      <c r="C932" s="4">
        <v>19957.849999999999</v>
      </c>
      <c r="D932" s="4">
        <v>13.058059999999999</v>
      </c>
    </row>
    <row r="933" spans="1:5" ht="15.6">
      <c r="A933" s="4" t="s">
        <v>129</v>
      </c>
      <c r="B933" s="4">
        <v>3.7700999999999998</v>
      </c>
      <c r="C933" s="4">
        <v>201731.6</v>
      </c>
      <c r="D933" s="4">
        <v>1.0049999999999999</v>
      </c>
    </row>
    <row r="934" spans="1:5" ht="15.6">
      <c r="A934" s="4" t="s">
        <v>132</v>
      </c>
      <c r="B934" s="4">
        <v>3.2714780000000001</v>
      </c>
      <c r="C934" s="4">
        <v>20055.53</v>
      </c>
      <c r="D934" s="5">
        <v>0.1171</v>
      </c>
    </row>
    <row r="935" spans="1:5" ht="15.6">
      <c r="A935" s="4" t="s">
        <v>6</v>
      </c>
      <c r="B935" s="4">
        <v>3.4077957335003202</v>
      </c>
      <c r="C935" s="4">
        <v>20143.275178577998</v>
      </c>
      <c r="D935" s="4">
        <v>0.99890000000000001</v>
      </c>
    </row>
    <row r="936" spans="1:5" ht="15.6">
      <c r="A936" s="4"/>
      <c r="D936" s="4"/>
    </row>
    <row r="937" spans="1:5" ht="15.6">
      <c r="A937" s="4"/>
      <c r="B937" s="4"/>
      <c r="C937" s="4"/>
      <c r="D937" s="4"/>
    </row>
    <row r="938" spans="1:5" ht="15.6">
      <c r="A938" s="4" t="s">
        <v>272</v>
      </c>
      <c r="B938" s="4"/>
      <c r="C938" s="4"/>
      <c r="D938" s="4"/>
      <c r="E938" s="4"/>
    </row>
    <row r="939" spans="1:5" ht="15.6">
      <c r="A939" s="4" t="s">
        <v>153</v>
      </c>
      <c r="B939" s="4" t="s">
        <v>21</v>
      </c>
      <c r="C939" s="4" t="s">
        <v>271</v>
      </c>
      <c r="D939" s="4" t="s">
        <v>156</v>
      </c>
    </row>
    <row r="940" spans="1:5" ht="15.6">
      <c r="A940" s="4" t="s">
        <v>100</v>
      </c>
      <c r="B940" s="4">
        <v>5.8836000000000004</v>
      </c>
      <c r="C940" s="4">
        <v>19802.54</v>
      </c>
      <c r="D940" s="4">
        <v>3.8E-3</v>
      </c>
    </row>
    <row r="941" spans="1:5" ht="15.6">
      <c r="A941" s="4" t="s">
        <v>157</v>
      </c>
      <c r="B941" s="4">
        <v>7.0297999999999998</v>
      </c>
      <c r="C941" s="4">
        <v>198881.35</v>
      </c>
      <c r="D941" s="4">
        <v>0.20300000000000001</v>
      </c>
    </row>
    <row r="942" spans="1:5" ht="15.6">
      <c r="A942" s="4" t="s">
        <v>121</v>
      </c>
      <c r="B942" s="4">
        <v>8.5187000000000008</v>
      </c>
      <c r="C942" s="4">
        <v>19390.87</v>
      </c>
      <c r="D942" s="4">
        <v>11.34975</v>
      </c>
    </row>
    <row r="943" spans="1:5" ht="15.6">
      <c r="A943" s="4" t="s">
        <v>129</v>
      </c>
      <c r="B943" s="4">
        <v>5.7900999999999998</v>
      </c>
      <c r="C943" s="4">
        <v>19855.2</v>
      </c>
      <c r="D943" s="4">
        <v>0.62509999999999999</v>
      </c>
    </row>
    <row r="944" spans="1:5" ht="15.6">
      <c r="A944" s="4" t="s">
        <v>132</v>
      </c>
      <c r="B944" s="4">
        <v>5.7694000000000001</v>
      </c>
      <c r="C944" s="4">
        <v>19689.27</v>
      </c>
      <c r="D944" s="5">
        <v>0.15290000000000001</v>
      </c>
    </row>
    <row r="945" spans="1:5" ht="15.6">
      <c r="A945" s="4" t="s">
        <v>6</v>
      </c>
      <c r="B945" s="4">
        <v>5.8837999999999999</v>
      </c>
      <c r="C945" s="4">
        <v>19802.403916456198</v>
      </c>
      <c r="D945" s="4">
        <v>0.99839999999999995</v>
      </c>
    </row>
    <row r="946" spans="1:5" ht="15.6">
      <c r="A946" s="4"/>
      <c r="D946" s="4"/>
    </row>
    <row r="947" spans="1:5" ht="15.6">
      <c r="A947" s="4"/>
      <c r="B947" s="4"/>
      <c r="C947" s="4"/>
      <c r="D947" s="4"/>
    </row>
    <row r="948" spans="1:5" ht="15.6">
      <c r="A948" s="4" t="s">
        <v>273</v>
      </c>
      <c r="B948" s="4"/>
      <c r="C948" s="4"/>
      <c r="D948" s="4"/>
      <c r="E948" s="4"/>
    </row>
    <row r="949" spans="1:5" ht="15.6">
      <c r="A949" s="4" t="s">
        <v>153</v>
      </c>
      <c r="B949" s="4" t="s">
        <v>21</v>
      </c>
      <c r="C949" s="4" t="s">
        <v>271</v>
      </c>
      <c r="D949" s="4" t="s">
        <v>156</v>
      </c>
    </row>
    <row r="950" spans="1:5" ht="15.6">
      <c r="A950" s="4" t="s">
        <v>100</v>
      </c>
      <c r="B950" s="4">
        <v>11.761799999999999</v>
      </c>
      <c r="C950" s="4">
        <v>21020.97</v>
      </c>
      <c r="D950" s="4">
        <v>3.9800000000000002E-4</v>
      </c>
    </row>
    <row r="951" spans="1:5" ht="15.6">
      <c r="A951" s="4" t="s">
        <v>157</v>
      </c>
      <c r="B951" s="4">
        <v>11.76615</v>
      </c>
      <c r="C951" s="4">
        <v>21015.94</v>
      </c>
      <c r="D951" s="4">
        <v>9.7000000000000003E-3</v>
      </c>
    </row>
    <row r="952" spans="1:5" ht="15.6">
      <c r="A952" s="4" t="s">
        <v>121</v>
      </c>
      <c r="B952" s="4">
        <v>12.241199999999999</v>
      </c>
      <c r="C952" s="4">
        <v>20947.14</v>
      </c>
      <c r="D952" s="4">
        <v>3.3858999999999999</v>
      </c>
    </row>
    <row r="953" spans="1:5" ht="15.6">
      <c r="A953" s="4" t="s">
        <v>129</v>
      </c>
      <c r="B953" s="4">
        <v>11.7666</v>
      </c>
      <c r="C953" s="4">
        <v>21064</v>
      </c>
      <c r="D953" s="4">
        <v>7.3899999999999993E-2</v>
      </c>
    </row>
    <row r="954" spans="1:5" ht="15.6">
      <c r="A954" s="4" t="s">
        <v>132</v>
      </c>
      <c r="B954" s="4">
        <v>11.743230000000001</v>
      </c>
      <c r="C954" s="4">
        <v>20994.79</v>
      </c>
      <c r="D954" s="5">
        <v>5.9299999999999999E-2</v>
      </c>
    </row>
    <row r="955" spans="1:5" ht="15.6">
      <c r="A955" s="4" t="s">
        <v>6</v>
      </c>
      <c r="B955" s="4">
        <v>11.761802019361401</v>
      </c>
      <c r="C955" s="4">
        <v>21020.969219362301</v>
      </c>
      <c r="D955" s="4">
        <v>0.99990000000000001</v>
      </c>
    </row>
    <row r="956" spans="1:5" ht="15.6">
      <c r="A956" s="4"/>
      <c r="C956" s="4"/>
      <c r="D956" s="4"/>
    </row>
    <row r="957" spans="1:5" ht="15.6">
      <c r="A957" s="4"/>
      <c r="B957" s="4"/>
      <c r="C957" s="4"/>
      <c r="D957" s="4"/>
    </row>
    <row r="958" spans="1:5" ht="15.6">
      <c r="A958" s="4"/>
      <c r="B958" s="4"/>
      <c r="C958" s="4"/>
      <c r="D958" s="4"/>
    </row>
    <row r="959" spans="1:5" ht="15.6">
      <c r="A959" s="4" t="s">
        <v>274</v>
      </c>
      <c r="B959" s="4"/>
      <c r="C959" s="4"/>
      <c r="D959" s="4"/>
      <c r="E959" s="4"/>
    </row>
    <row r="960" spans="1:5" ht="15.6">
      <c r="A960" s="4" t="s">
        <v>153</v>
      </c>
      <c r="B960" s="4" t="s">
        <v>21</v>
      </c>
      <c r="C960" s="4" t="s">
        <v>271</v>
      </c>
      <c r="D960" s="4" t="s">
        <v>156</v>
      </c>
    </row>
    <row r="961" spans="1:5" ht="15.6">
      <c r="A961" s="4" t="s">
        <v>100</v>
      </c>
      <c r="B961" s="4">
        <v>6.9259380000000004</v>
      </c>
      <c r="C961" s="4">
        <v>24068.91</v>
      </c>
      <c r="D961" s="4">
        <v>9.2299999999999999E-4</v>
      </c>
    </row>
    <row r="962" spans="1:5" ht="15.6">
      <c r="A962" s="4" t="s">
        <v>157</v>
      </c>
      <c r="B962" s="4">
        <v>7.4280590000000002</v>
      </c>
      <c r="C962" s="4">
        <v>24173.54</v>
      </c>
      <c r="D962" s="4">
        <v>4.9168000000000003E-2</v>
      </c>
    </row>
    <row r="963" spans="1:5" ht="15.6">
      <c r="A963" s="4" t="s">
        <v>121</v>
      </c>
      <c r="B963" s="4">
        <v>8.1306119999999993</v>
      </c>
      <c r="C963" s="4">
        <v>24076.61</v>
      </c>
      <c r="D963" s="4">
        <v>4.7046279999999996</v>
      </c>
    </row>
    <row r="964" spans="1:5" ht="15.6">
      <c r="A964" s="4" t="s">
        <v>129</v>
      </c>
      <c r="B964" s="4">
        <v>7.4280590000000002</v>
      </c>
      <c r="C964" s="4">
        <v>24173.54</v>
      </c>
      <c r="D964" s="4">
        <v>1.9800000000000002E-2</v>
      </c>
    </row>
    <row r="965" spans="1:5" ht="15.6">
      <c r="A965" s="4" t="s">
        <v>132</v>
      </c>
      <c r="B965" s="4">
        <v>7.0794129999999997</v>
      </c>
      <c r="C965" s="4">
        <v>24117.040000000001</v>
      </c>
      <c r="D965" s="5">
        <v>8.0379000000000006E-2</v>
      </c>
    </row>
    <row r="966" spans="1:5" ht="15.6">
      <c r="A966" s="4" t="s">
        <v>6</v>
      </c>
      <c r="B966" s="4">
        <v>6.9259379404720596</v>
      </c>
      <c r="C966" s="4">
        <v>24068.9144823194</v>
      </c>
      <c r="D966" s="4">
        <v>0.99970000000000003</v>
      </c>
    </row>
    <row r="967" spans="1:5" ht="15.6">
      <c r="A967" s="4"/>
      <c r="C967" s="4"/>
      <c r="D967" s="4"/>
    </row>
    <row r="968" spans="1:5" ht="15.6">
      <c r="A968" s="4"/>
      <c r="B968" s="4"/>
      <c r="C968" s="4"/>
      <c r="D968" s="4"/>
    </row>
    <row r="969" spans="1:5" ht="15.6">
      <c r="A969" s="4" t="s">
        <v>275</v>
      </c>
      <c r="B969" s="4"/>
      <c r="C969" s="4"/>
      <c r="D969" s="4"/>
      <c r="E969" s="4"/>
    </row>
    <row r="970" spans="1:5" ht="15.6">
      <c r="A970" s="4" t="s">
        <v>153</v>
      </c>
      <c r="B970" s="4" t="s">
        <v>21</v>
      </c>
      <c r="C970" s="4" t="s">
        <v>271</v>
      </c>
      <c r="D970" s="4" t="s">
        <v>156</v>
      </c>
    </row>
    <row r="971" spans="1:5" ht="15.6">
      <c r="A971" s="4" t="s">
        <v>100</v>
      </c>
      <c r="B971" s="4">
        <v>2.6444960000000002</v>
      </c>
      <c r="C971" s="4">
        <v>12377.18</v>
      </c>
      <c r="D971" s="4">
        <v>6.4000000000000003E-3</v>
      </c>
    </row>
    <row r="972" spans="1:5" ht="15.6">
      <c r="A972" s="4" t="s">
        <v>157</v>
      </c>
      <c r="B972" s="4">
        <v>2.9819</v>
      </c>
      <c r="C972" s="4">
        <v>12493.8</v>
      </c>
      <c r="D972" s="4">
        <v>0.28460000000000002</v>
      </c>
    </row>
    <row r="973" spans="1:5" ht="15.6">
      <c r="A973" s="4" t="s">
        <v>121</v>
      </c>
      <c r="B973" s="4">
        <v>3.3374999999999999</v>
      </c>
      <c r="C973" s="4">
        <v>12200.99</v>
      </c>
      <c r="D973" s="4">
        <v>8.8283000000000005</v>
      </c>
    </row>
    <row r="974" spans="1:5" ht="15.6">
      <c r="A974" s="4" t="s">
        <v>129</v>
      </c>
      <c r="B974" s="4">
        <v>2.9819</v>
      </c>
      <c r="C974" s="4">
        <v>12493.8</v>
      </c>
      <c r="D974" s="4">
        <v>0.17929999999999999</v>
      </c>
    </row>
    <row r="975" spans="1:5" ht="15.6">
      <c r="A975" s="4" t="s">
        <v>132</v>
      </c>
      <c r="B975" s="4">
        <v>2.6444960000000002</v>
      </c>
      <c r="C975" s="4">
        <v>12377.18</v>
      </c>
      <c r="D975" s="5">
        <v>0.199902</v>
      </c>
    </row>
    <row r="976" spans="1:5" ht="15.6">
      <c r="A976" s="4" t="s">
        <v>6</v>
      </c>
      <c r="B976" s="4">
        <v>2.64449623884216</v>
      </c>
      <c r="C976" s="4">
        <v>12377.1796547958</v>
      </c>
      <c r="D976" s="4">
        <v>0.99480000000000002</v>
      </c>
    </row>
    <row r="977" spans="1:4" ht="15.6">
      <c r="A977" s="4"/>
      <c r="C977" s="4"/>
      <c r="D977" s="4"/>
    </row>
    <row r="978" spans="1:4" ht="15.6">
      <c r="A978" s="4"/>
      <c r="B978" s="4"/>
      <c r="C978" s="4"/>
      <c r="D978" s="4"/>
    </row>
    <row r="979" spans="1:4" ht="15.6">
      <c r="A979" s="4"/>
      <c r="B979" s="4"/>
      <c r="C979" s="4"/>
      <c r="D979" s="4"/>
    </row>
    <row r="980" spans="1:4" ht="15.6">
      <c r="A980" s="4" t="s">
        <v>276</v>
      </c>
      <c r="B980" s="4"/>
      <c r="C980" s="4"/>
      <c r="D980" s="4"/>
    </row>
    <row r="981" spans="1:4" ht="15.6">
      <c r="A981" s="4" t="s">
        <v>153</v>
      </c>
      <c r="B981" s="4" t="s">
        <v>21</v>
      </c>
      <c r="C981" s="4" t="s">
        <v>271</v>
      </c>
      <c r="D981" s="4" t="s">
        <v>156</v>
      </c>
    </row>
    <row r="982" spans="1:4" ht="15.6">
      <c r="A982" s="4" t="s">
        <v>100</v>
      </c>
      <c r="B982" s="4">
        <v>3.9674520000000002</v>
      </c>
      <c r="C982" s="4">
        <v>20251.86</v>
      </c>
      <c r="D982" s="4">
        <v>7.3700000000000002E-4</v>
      </c>
    </row>
    <row r="983" spans="1:4" ht="15.6">
      <c r="A983" s="4" t="s">
        <v>157</v>
      </c>
      <c r="B983" s="4">
        <v>4.2979180000000001</v>
      </c>
      <c r="C983" s="4">
        <v>20383.560000000001</v>
      </c>
      <c r="D983" s="4">
        <v>7.1265999999999996E-2</v>
      </c>
    </row>
    <row r="984" spans="1:4" ht="15.6">
      <c r="A984" s="4" t="s">
        <v>121</v>
      </c>
      <c r="B984" s="4">
        <v>4.8852130000000002</v>
      </c>
      <c r="C984" s="4">
        <v>19825.05</v>
      </c>
      <c r="D984" s="4">
        <v>10.766640000000001</v>
      </c>
    </row>
    <row r="985" spans="1:4" ht="15.6">
      <c r="A985" s="4" t="s">
        <v>129</v>
      </c>
      <c r="B985" s="4">
        <v>4.2979180000000001</v>
      </c>
      <c r="C985" s="4">
        <v>20383.560000000001</v>
      </c>
      <c r="D985" s="4">
        <v>3.4099999999999998E-2</v>
      </c>
    </row>
    <row r="986" spans="1:4" ht="15.6">
      <c r="A986" s="4" t="s">
        <v>132</v>
      </c>
      <c r="B986" s="4">
        <v>3.9674520000000002</v>
      </c>
      <c r="C986" s="4">
        <v>20251.86</v>
      </c>
      <c r="D986" s="5">
        <v>7.8486E-2</v>
      </c>
    </row>
    <row r="987" spans="1:4" ht="15.6">
      <c r="A987" s="4" t="s">
        <v>6</v>
      </c>
      <c r="B987" s="4">
        <v>3.9674517183548499</v>
      </c>
      <c r="C987" s="4">
        <v>20251.858468305301</v>
      </c>
      <c r="D987" s="4">
        <v>0.99970000000000003</v>
      </c>
    </row>
    <row r="988" spans="1:4" ht="15.6">
      <c r="A988" s="4"/>
      <c r="C988" s="4"/>
      <c r="D988" s="4"/>
    </row>
    <row r="989" spans="1:4" ht="15.6">
      <c r="A989" s="4"/>
      <c r="B989" s="4"/>
      <c r="C989" s="4"/>
      <c r="D989" s="4"/>
    </row>
    <row r="990" spans="1:4" ht="15.6">
      <c r="A990" s="4" t="s">
        <v>277</v>
      </c>
      <c r="B990" s="4"/>
      <c r="C990" s="4"/>
      <c r="D990" s="4"/>
    </row>
    <row r="991" spans="1:4" ht="15.6">
      <c r="A991" s="4" t="s">
        <v>153</v>
      </c>
      <c r="B991" s="4" t="s">
        <v>21</v>
      </c>
      <c r="C991" s="4" t="s">
        <v>271</v>
      </c>
      <c r="D991" s="4" t="s">
        <v>156</v>
      </c>
    </row>
    <row r="992" spans="1:4" ht="15.6">
      <c r="A992" s="4" t="s">
        <v>100</v>
      </c>
      <c r="B992" s="4">
        <v>3.3466100000000001</v>
      </c>
      <c r="C992" s="4">
        <v>11897.86</v>
      </c>
      <c r="D992" s="4">
        <v>5.6039999999999996E-3</v>
      </c>
    </row>
    <row r="993" spans="1:4" ht="15.6">
      <c r="A993" s="4" t="s">
        <v>157</v>
      </c>
      <c r="B993" s="4">
        <v>3.8849719999999999</v>
      </c>
      <c r="C993" s="4">
        <v>12084.72</v>
      </c>
      <c r="D993" s="4">
        <v>0.49396600000000002</v>
      </c>
    </row>
    <row r="994" spans="1:4" ht="15.6">
      <c r="A994" s="4" t="s">
        <v>121</v>
      </c>
      <c r="B994" s="4">
        <v>4.698874</v>
      </c>
      <c r="C994" s="4">
        <v>11698.7</v>
      </c>
      <c r="D994" s="4">
        <v>17.991820000000001</v>
      </c>
    </row>
    <row r="995" spans="1:4" ht="15.6">
      <c r="A995" s="4" t="s">
        <v>129</v>
      </c>
      <c r="B995" s="4">
        <v>3.8849719999999999</v>
      </c>
      <c r="C995" s="4">
        <v>12084.72</v>
      </c>
      <c r="D995" s="4">
        <v>8.9700000000000002E-2</v>
      </c>
    </row>
    <row r="996" spans="1:4" ht="15.6">
      <c r="A996" s="4" t="s">
        <v>132</v>
      </c>
      <c r="B996" s="4">
        <v>3.5421550000000002</v>
      </c>
      <c r="C996" s="4">
        <v>11957.14</v>
      </c>
      <c r="D996" s="5">
        <v>0.179671</v>
      </c>
    </row>
    <row r="997" spans="1:4" ht="15.6">
      <c r="A997" s="4" t="s">
        <v>6</v>
      </c>
      <c r="B997" s="4">
        <v>3.3466100802363101</v>
      </c>
      <c r="C997" s="4">
        <v>11897.859816594</v>
      </c>
      <c r="D997" s="4">
        <v>0.99609999999999999</v>
      </c>
    </row>
    <row r="998" spans="1:4" ht="15.6">
      <c r="A998" s="4"/>
      <c r="C998" s="4"/>
      <c r="D998" s="4"/>
    </row>
    <row r="999" spans="1:4" ht="15.6">
      <c r="A999" s="4"/>
      <c r="B999" s="4"/>
      <c r="C999" s="4"/>
      <c r="D999" s="4"/>
    </row>
    <row r="1000" spans="1:4" ht="15.6">
      <c r="A1000" s="4" t="s">
        <v>278</v>
      </c>
      <c r="B1000" s="4"/>
      <c r="C1000" s="4"/>
      <c r="D1000" s="4"/>
    </row>
    <row r="1001" spans="1:4" ht="15.6">
      <c r="A1001" s="4" t="s">
        <v>153</v>
      </c>
      <c r="B1001" s="4" t="s">
        <v>21</v>
      </c>
      <c r="C1001" s="4" t="s">
        <v>271</v>
      </c>
      <c r="D1001" s="4" t="s">
        <v>156</v>
      </c>
    </row>
    <row r="1002" spans="1:4" ht="15.6">
      <c r="A1002" s="4" t="s">
        <v>100</v>
      </c>
      <c r="B1002" s="4">
        <v>5.0774429999999997</v>
      </c>
      <c r="C1002" s="4">
        <v>28167.83</v>
      </c>
      <c r="D1002" s="4">
        <v>2.617E-3</v>
      </c>
    </row>
    <row r="1003" spans="1:4" ht="15.6">
      <c r="A1003" s="4" t="s">
        <v>157</v>
      </c>
      <c r="B1003" s="4">
        <v>5.8186629999999999</v>
      </c>
      <c r="C1003" s="4">
        <v>28370.395</v>
      </c>
      <c r="D1003" s="4">
        <v>0.39757999999999999</v>
      </c>
    </row>
    <row r="1004" spans="1:4" ht="15.6">
      <c r="A1004" s="4" t="s">
        <v>121</v>
      </c>
      <c r="B1004" s="4">
        <v>7.206709</v>
      </c>
      <c r="C1004" s="4">
        <v>27715.91</v>
      </c>
      <c r="D1004" s="4">
        <v>20.54101</v>
      </c>
    </row>
    <row r="1005" spans="1:4" ht="15.6">
      <c r="A1005" s="4" t="s">
        <v>129</v>
      </c>
      <c r="B1005" s="4">
        <v>5.8186629999999999</v>
      </c>
      <c r="C1005" s="4">
        <v>28370.395</v>
      </c>
      <c r="D1005" s="4">
        <v>9.9400000000000002E-2</v>
      </c>
    </row>
    <row r="1006" spans="1:4" ht="15.6">
      <c r="A1006" s="4" t="s">
        <v>132</v>
      </c>
      <c r="B1006" s="4">
        <v>5.0417199999999998</v>
      </c>
      <c r="C1006" s="4">
        <v>28337.439999999999</v>
      </c>
      <c r="D1006" s="5">
        <v>0.15414800000000001</v>
      </c>
    </row>
    <row r="1007" spans="1:4" ht="15.6">
      <c r="A1007" s="4" t="s">
        <v>6</v>
      </c>
      <c r="B1007" s="4">
        <v>5.0774430438654798</v>
      </c>
      <c r="C1007" s="4">
        <v>28167.8316675606</v>
      </c>
      <c r="D1007" s="4">
        <v>0.99870000000000003</v>
      </c>
    </row>
    <row r="1008" spans="1:4" ht="15.6">
      <c r="A1008" s="4"/>
      <c r="D1008" s="4"/>
    </row>
    <row r="1009" spans="1:4" ht="15.6">
      <c r="A1009" s="4"/>
      <c r="B1009" s="4"/>
      <c r="C1009" s="4"/>
      <c r="D1009" s="4"/>
    </row>
    <row r="1010" spans="1:4" ht="15.6">
      <c r="A1010" s="4" t="s">
        <v>279</v>
      </c>
      <c r="B1010" s="4"/>
      <c r="C1010" s="4"/>
      <c r="D1010" s="4"/>
    </row>
    <row r="1011" spans="1:4" ht="15.6">
      <c r="A1011" s="4" t="s">
        <v>153</v>
      </c>
      <c r="B1011" s="4" t="s">
        <v>21</v>
      </c>
      <c r="C1011" s="4" t="s">
        <v>271</v>
      </c>
      <c r="D1011" s="4" t="s">
        <v>156</v>
      </c>
    </row>
    <row r="1012" spans="1:4" ht="15.6">
      <c r="A1012" s="4" t="s">
        <v>100</v>
      </c>
      <c r="B1012" s="4">
        <v>7.1204000000000001</v>
      </c>
      <c r="C1012" s="4">
        <v>42375.23</v>
      </c>
      <c r="D1012" s="4">
        <v>4.0000000000000001E-3</v>
      </c>
    </row>
    <row r="1013" spans="1:4" ht="15.6">
      <c r="A1013" s="4" t="s">
        <v>157</v>
      </c>
      <c r="B1013" s="4">
        <v>7.1821000000000002</v>
      </c>
      <c r="C1013" s="4">
        <v>42315.86</v>
      </c>
      <c r="D1013" s="4">
        <v>0.11169999999999999</v>
      </c>
    </row>
    <row r="1014" spans="1:4" ht="15.6">
      <c r="A1014" s="4" t="s">
        <v>121</v>
      </c>
      <c r="B1014" s="4">
        <v>8.1502009999999991</v>
      </c>
      <c r="C1014" s="4">
        <v>41525.19</v>
      </c>
      <c r="D1014" s="4">
        <v>10.95134</v>
      </c>
    </row>
    <row r="1015" spans="1:4" ht="15.6">
      <c r="A1015" s="4" t="s">
        <v>129</v>
      </c>
      <c r="B1015" s="4">
        <v>7.1821000000000002</v>
      </c>
      <c r="C1015" s="4">
        <v>42315.86</v>
      </c>
      <c r="D1015" s="4">
        <v>0.10970000000000001</v>
      </c>
    </row>
    <row r="1016" spans="1:4" ht="15.6">
      <c r="A1016" s="4" t="s">
        <v>132</v>
      </c>
      <c r="B1016" s="4">
        <v>6.8379000000000003</v>
      </c>
      <c r="C1016" s="4">
        <v>42423.6</v>
      </c>
      <c r="D1016" s="5">
        <v>0.16370000000000001</v>
      </c>
    </row>
    <row r="1017" spans="1:4" ht="15.6">
      <c r="A1017" s="4" t="s">
        <v>6</v>
      </c>
      <c r="B1017" s="4">
        <v>7.1203806319535099</v>
      </c>
      <c r="C1017" s="4">
        <v>42375.226885170203</v>
      </c>
      <c r="D1017" s="4">
        <v>0.99739999999999995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12" sqref="C12"/>
    </sheetView>
  </sheetViews>
  <sheetFormatPr defaultColWidth="9" defaultRowHeight="14.4"/>
  <sheetData>
    <row r="1" spans="1:8">
      <c r="A1" t="s">
        <v>13</v>
      </c>
    </row>
    <row r="6" spans="1:8">
      <c r="A6" t="s">
        <v>14</v>
      </c>
    </row>
    <row r="7" spans="1:8">
      <c r="A7" t="s">
        <v>3</v>
      </c>
      <c r="B7" t="s">
        <v>15</v>
      </c>
      <c r="C7" s="22" t="s">
        <v>5</v>
      </c>
      <c r="D7" s="22"/>
    </row>
    <row r="8" spans="1:8">
      <c r="A8">
        <v>4</v>
      </c>
      <c r="B8">
        <v>3.5273793697171998E-2</v>
      </c>
      <c r="C8">
        <v>236.88009005187101</v>
      </c>
    </row>
    <row r="9" spans="1:8">
      <c r="A9">
        <v>8</v>
      </c>
      <c r="B9">
        <v>2.99557092461285E-2</v>
      </c>
      <c r="C9">
        <v>355.091637951302</v>
      </c>
    </row>
    <row r="10" spans="1:8">
      <c r="A10">
        <v>12</v>
      </c>
      <c r="B10">
        <v>3.6735828230728698E-2</v>
      </c>
      <c r="C10">
        <v>442.10880213447803</v>
      </c>
    </row>
    <row r="12" spans="1:8">
      <c r="A12" t="s">
        <v>16</v>
      </c>
    </row>
    <row r="13" spans="1:8">
      <c r="A13" t="s">
        <v>8</v>
      </c>
      <c r="B13" t="s">
        <v>17</v>
      </c>
      <c r="C13" s="22" t="s">
        <v>5</v>
      </c>
      <c r="D13" s="22"/>
      <c r="H13" s="22"/>
    </row>
    <row r="14" spans="1:8">
      <c r="A14">
        <v>4</v>
      </c>
      <c r="B14">
        <v>2.75172833449711E-2</v>
      </c>
      <c r="C14">
        <v>410.67131114155501</v>
      </c>
    </row>
    <row r="15" spans="1:8">
      <c r="A15">
        <v>8</v>
      </c>
      <c r="B15">
        <v>3.5273793697171998E-2</v>
      </c>
      <c r="C15">
        <v>236.88009005187101</v>
      </c>
    </row>
    <row r="16" spans="1:8">
      <c r="A16">
        <v>12</v>
      </c>
      <c r="B16">
        <v>7.25263486828817E-2</v>
      </c>
      <c r="C16">
        <v>107.699225025901</v>
      </c>
    </row>
    <row r="18" spans="1:4">
      <c r="A18" t="s">
        <v>18</v>
      </c>
    </row>
    <row r="19" spans="1:4">
      <c r="A19" t="s">
        <v>12</v>
      </c>
      <c r="B19" t="s">
        <v>15</v>
      </c>
      <c r="C19" s="22" t="s">
        <v>5</v>
      </c>
      <c r="D19" s="22"/>
    </row>
    <row r="20" spans="1:4">
      <c r="A20">
        <v>50</v>
      </c>
      <c r="B20">
        <v>2.0388147561627101E-2</v>
      </c>
      <c r="C20">
        <v>404.89837682338799</v>
      </c>
    </row>
    <row r="21" spans="1:4">
      <c r="A21">
        <v>100</v>
      </c>
      <c r="B21">
        <v>3.5273793697171998E-2</v>
      </c>
      <c r="C21">
        <v>236.88009005187101</v>
      </c>
    </row>
    <row r="22" spans="1:4">
      <c r="A22">
        <v>150</v>
      </c>
      <c r="B22">
        <v>8.9175536066372907E-2</v>
      </c>
      <c r="C22">
        <v>98.342058078301093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5" sqref="D5"/>
    </sheetView>
  </sheetViews>
  <sheetFormatPr defaultColWidth="9" defaultRowHeight="14.4"/>
  <sheetData>
    <row r="1" spans="1:4">
      <c r="A1" t="s">
        <v>19</v>
      </c>
    </row>
    <row r="6" spans="1:4">
      <c r="A6" t="s">
        <v>14</v>
      </c>
    </row>
    <row r="7" spans="1:4">
      <c r="A7" t="s">
        <v>20</v>
      </c>
      <c r="B7" s="22" t="s">
        <v>21</v>
      </c>
      <c r="C7" t="s">
        <v>22</v>
      </c>
      <c r="D7" t="s">
        <v>6</v>
      </c>
    </row>
    <row r="8" spans="1:4">
      <c r="A8">
        <v>4</v>
      </c>
      <c r="B8">
        <v>3.4077957335003202</v>
      </c>
      <c r="C8">
        <v>20143.275178577998</v>
      </c>
      <c r="D8" s="6" t="e">
        <f>1-(#REF!/A17)</f>
        <v>#REF!</v>
      </c>
    </row>
    <row r="9" spans="1:4">
      <c r="A9">
        <v>8</v>
      </c>
      <c r="B9">
        <v>5.8835702285599503</v>
      </c>
      <c r="C9">
        <v>19802.403916456198</v>
      </c>
      <c r="D9" s="6" t="e">
        <f>1-(#REF!/A20)</f>
        <v>#REF!</v>
      </c>
    </row>
    <row r="10" spans="1:4">
      <c r="A10">
        <v>12</v>
      </c>
      <c r="B10">
        <v>11.761802019361401</v>
      </c>
      <c r="C10">
        <v>21020.969219362301</v>
      </c>
      <c r="D10" s="6" t="e">
        <f>1-(A25/B25)</f>
        <v>#DIV/0!</v>
      </c>
    </row>
    <row r="12" spans="1:4">
      <c r="A12" t="s">
        <v>16</v>
      </c>
    </row>
    <row r="13" spans="1:4">
      <c r="A13" t="s">
        <v>8</v>
      </c>
      <c r="B13" s="22" t="s">
        <v>21</v>
      </c>
      <c r="C13" t="s">
        <v>22</v>
      </c>
      <c r="D13" t="s">
        <v>6</v>
      </c>
    </row>
    <row r="14" spans="1:4">
      <c r="A14">
        <v>4</v>
      </c>
      <c r="B14">
        <v>6.9259379404720596</v>
      </c>
      <c r="C14">
        <v>24068.9144823194</v>
      </c>
      <c r="D14" s="6" t="e">
        <f>1-(B29/C29)</f>
        <v>#DIV/0!</v>
      </c>
    </row>
    <row r="15" spans="1:4">
      <c r="A15">
        <v>8</v>
      </c>
      <c r="B15">
        <v>3.4077957335003202</v>
      </c>
      <c r="C15">
        <v>20143.275178577998</v>
      </c>
      <c r="D15" s="6" t="e">
        <f>1-(#REF!/A24)</f>
        <v>#REF!</v>
      </c>
    </row>
    <row r="16" spans="1:4">
      <c r="A16">
        <v>12</v>
      </c>
      <c r="B16">
        <v>2.64449623884216</v>
      </c>
      <c r="C16">
        <v>12377.1796547958</v>
      </c>
      <c r="D16" s="6" t="e">
        <f>1-(A19/B19)</f>
        <v>#VALUE!</v>
      </c>
    </row>
    <row r="18" spans="1:8">
      <c r="A18" t="s">
        <v>18</v>
      </c>
    </row>
    <row r="19" spans="1:8">
      <c r="A19" t="s">
        <v>12</v>
      </c>
      <c r="B19" s="22" t="s">
        <v>21</v>
      </c>
      <c r="C19" t="s">
        <v>22</v>
      </c>
      <c r="D19" t="s">
        <v>6</v>
      </c>
    </row>
    <row r="20" spans="1:8">
      <c r="A20">
        <v>50</v>
      </c>
      <c r="B20">
        <v>3.9674517183548499</v>
      </c>
      <c r="C20">
        <v>20251.858468305301</v>
      </c>
      <c r="D20" s="6" t="e">
        <f>1-(C30/D30)</f>
        <v>#DIV/0!</v>
      </c>
      <c r="H20" s="6"/>
    </row>
    <row r="21" spans="1:8">
      <c r="A21">
        <v>100</v>
      </c>
      <c r="B21">
        <v>3.4077957335003202</v>
      </c>
      <c r="C21">
        <v>20143.275178577998</v>
      </c>
      <c r="D21" s="6" t="e">
        <f>1-(#REF!/A30)</f>
        <v>#REF!</v>
      </c>
    </row>
    <row r="22" spans="1:8">
      <c r="A22">
        <v>150</v>
      </c>
      <c r="B22">
        <v>3.3466100802363101</v>
      </c>
      <c r="C22">
        <v>11897.859816594</v>
      </c>
      <c r="D22">
        <v>0.99609999999999999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T40" sqref="T40"/>
    </sheetView>
  </sheetViews>
  <sheetFormatPr defaultColWidth="9" defaultRowHeight="14.4"/>
  <cols>
    <col min="10" max="10" width="9.109375" customWidth="1"/>
  </cols>
  <sheetData>
    <row r="1" spans="1:12">
      <c r="A1" s="15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2">
      <c r="A2" t="s">
        <v>35</v>
      </c>
      <c r="B2" t="s">
        <v>36</v>
      </c>
      <c r="C2">
        <v>2</v>
      </c>
      <c r="D2">
        <v>25</v>
      </c>
      <c r="E2">
        <v>0</v>
      </c>
      <c r="G2">
        <v>0</v>
      </c>
      <c r="I2">
        <f>K2*G2</f>
        <v>0</v>
      </c>
      <c r="J2">
        <f>E2/D2</f>
        <v>0</v>
      </c>
      <c r="K2">
        <v>3</v>
      </c>
      <c r="L2">
        <v>25</v>
      </c>
    </row>
    <row r="3" spans="1:12">
      <c r="C3">
        <v>2</v>
      </c>
      <c r="D3">
        <v>25</v>
      </c>
      <c r="E3">
        <v>0.3</v>
      </c>
      <c r="G3">
        <v>5</v>
      </c>
      <c r="I3">
        <f t="shared" ref="I3:I15" si="0">K3*G3</f>
        <v>15</v>
      </c>
      <c r="J3">
        <f t="shared" ref="J3:J15" si="1">E3/D3</f>
        <v>1.2E-2</v>
      </c>
      <c r="K3">
        <v>3</v>
      </c>
      <c r="L3">
        <v>24.7</v>
      </c>
    </row>
    <row r="4" spans="1:12">
      <c r="C4">
        <v>2</v>
      </c>
      <c r="D4">
        <v>25</v>
      </c>
      <c r="E4">
        <v>0.6</v>
      </c>
      <c r="G4">
        <v>10</v>
      </c>
      <c r="I4">
        <f t="shared" si="0"/>
        <v>30</v>
      </c>
      <c r="J4">
        <f t="shared" si="1"/>
        <v>2.4E-2</v>
      </c>
      <c r="K4">
        <v>3</v>
      </c>
      <c r="L4">
        <v>24.4</v>
      </c>
    </row>
    <row r="5" spans="1:12">
      <c r="C5">
        <v>2</v>
      </c>
      <c r="D5">
        <v>25</v>
      </c>
      <c r="E5">
        <v>1.1000000000000001</v>
      </c>
      <c r="G5">
        <v>15</v>
      </c>
      <c r="I5">
        <f t="shared" si="0"/>
        <v>45</v>
      </c>
      <c r="J5">
        <f t="shared" si="1"/>
        <v>4.4000000000000004E-2</v>
      </c>
      <c r="K5">
        <v>3</v>
      </c>
      <c r="L5">
        <v>23.9</v>
      </c>
    </row>
    <row r="6" spans="1:12">
      <c r="C6">
        <v>2</v>
      </c>
      <c r="D6">
        <v>25</v>
      </c>
      <c r="E6">
        <v>1.8</v>
      </c>
      <c r="G6">
        <v>20</v>
      </c>
      <c r="I6">
        <f t="shared" si="0"/>
        <v>60</v>
      </c>
      <c r="J6">
        <f t="shared" si="1"/>
        <v>7.2000000000000008E-2</v>
      </c>
      <c r="K6">
        <v>3</v>
      </c>
      <c r="L6">
        <v>23.2</v>
      </c>
    </row>
    <row r="7" spans="1:12">
      <c r="C7">
        <v>2</v>
      </c>
      <c r="D7">
        <v>25</v>
      </c>
      <c r="E7">
        <v>2.2999999999999998</v>
      </c>
      <c r="G7">
        <v>30</v>
      </c>
      <c r="I7">
        <f t="shared" si="0"/>
        <v>90</v>
      </c>
      <c r="J7">
        <f t="shared" si="1"/>
        <v>9.1999999999999998E-2</v>
      </c>
      <c r="K7">
        <v>3</v>
      </c>
      <c r="L7">
        <v>22.7</v>
      </c>
    </row>
    <row r="8" spans="1:12">
      <c r="C8">
        <v>2</v>
      </c>
      <c r="D8">
        <v>25</v>
      </c>
      <c r="E8">
        <v>3.3</v>
      </c>
      <c r="G8">
        <v>40</v>
      </c>
      <c r="I8">
        <f t="shared" si="0"/>
        <v>120</v>
      </c>
      <c r="J8">
        <f t="shared" si="1"/>
        <v>0.13200000000000001</v>
      </c>
      <c r="K8">
        <v>3</v>
      </c>
      <c r="L8">
        <v>21.7</v>
      </c>
    </row>
    <row r="9" spans="1:12">
      <c r="C9">
        <v>2</v>
      </c>
      <c r="D9">
        <v>25</v>
      </c>
      <c r="E9">
        <v>3.9</v>
      </c>
      <c r="G9">
        <v>50</v>
      </c>
      <c r="I9">
        <f t="shared" si="0"/>
        <v>150</v>
      </c>
      <c r="J9">
        <f t="shared" si="1"/>
        <v>0.156</v>
      </c>
      <c r="K9">
        <v>3</v>
      </c>
      <c r="L9">
        <v>21.1</v>
      </c>
    </row>
    <row r="10" spans="1:12">
      <c r="C10">
        <v>2</v>
      </c>
      <c r="D10">
        <v>25</v>
      </c>
      <c r="E10">
        <v>5.0999999999999996</v>
      </c>
      <c r="G10">
        <v>60</v>
      </c>
      <c r="I10">
        <f t="shared" si="0"/>
        <v>180</v>
      </c>
      <c r="J10">
        <f t="shared" si="1"/>
        <v>0.20399999999999999</v>
      </c>
      <c r="K10">
        <v>3</v>
      </c>
      <c r="L10">
        <v>19.899999999999999</v>
      </c>
    </row>
    <row r="11" spans="1:12">
      <c r="C11">
        <v>2</v>
      </c>
      <c r="D11">
        <v>25</v>
      </c>
      <c r="E11">
        <v>6.3</v>
      </c>
      <c r="G11">
        <v>70</v>
      </c>
      <c r="I11">
        <f t="shared" si="0"/>
        <v>210</v>
      </c>
      <c r="J11">
        <f t="shared" si="1"/>
        <v>0.252</v>
      </c>
      <c r="K11">
        <v>3</v>
      </c>
      <c r="L11">
        <v>18.7</v>
      </c>
    </row>
    <row r="12" spans="1:12">
      <c r="C12">
        <v>2</v>
      </c>
      <c r="D12">
        <v>25</v>
      </c>
      <c r="E12">
        <v>6.5</v>
      </c>
      <c r="G12">
        <v>80</v>
      </c>
      <c r="I12">
        <f t="shared" si="0"/>
        <v>240</v>
      </c>
      <c r="J12">
        <f t="shared" si="1"/>
        <v>0.26</v>
      </c>
      <c r="K12">
        <v>3</v>
      </c>
      <c r="L12">
        <v>18.5</v>
      </c>
    </row>
    <row r="13" spans="1:12">
      <c r="C13">
        <v>2</v>
      </c>
      <c r="D13">
        <v>25</v>
      </c>
      <c r="E13">
        <v>6.6</v>
      </c>
      <c r="G13">
        <v>90</v>
      </c>
      <c r="I13">
        <f t="shared" si="0"/>
        <v>270</v>
      </c>
      <c r="J13">
        <f t="shared" si="1"/>
        <v>0.26400000000000001</v>
      </c>
      <c r="K13">
        <v>3</v>
      </c>
      <c r="L13">
        <v>18.399999999999999</v>
      </c>
    </row>
    <row r="14" spans="1:12">
      <c r="C14">
        <v>2</v>
      </c>
      <c r="D14">
        <v>25</v>
      </c>
      <c r="E14">
        <v>6.6</v>
      </c>
      <c r="G14">
        <v>100</v>
      </c>
      <c r="I14">
        <f t="shared" si="0"/>
        <v>300</v>
      </c>
      <c r="J14">
        <f t="shared" si="1"/>
        <v>0.26400000000000001</v>
      </c>
      <c r="K14">
        <v>3</v>
      </c>
      <c r="L14">
        <v>18.399999999999999</v>
      </c>
    </row>
    <row r="15" spans="1:12">
      <c r="C15">
        <v>2</v>
      </c>
      <c r="D15">
        <v>25</v>
      </c>
      <c r="E15">
        <v>6.7</v>
      </c>
      <c r="G15">
        <v>140</v>
      </c>
      <c r="I15">
        <f t="shared" si="0"/>
        <v>420</v>
      </c>
      <c r="J15">
        <f t="shared" si="1"/>
        <v>0.26800000000000002</v>
      </c>
      <c r="K15">
        <v>3</v>
      </c>
      <c r="L15">
        <v>18.3</v>
      </c>
    </row>
    <row r="16" spans="1:12">
      <c r="A16" t="s">
        <v>37</v>
      </c>
    </row>
    <row r="27" spans="1:1">
      <c r="A27" t="s">
        <v>38</v>
      </c>
    </row>
    <row r="29" spans="1:1">
      <c r="A29" t="s">
        <v>39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2"/>
  <sheetViews>
    <sheetView topLeftCell="A95" workbookViewId="0">
      <selection activeCell="G136" sqref="G136"/>
    </sheetView>
  </sheetViews>
  <sheetFormatPr defaultColWidth="9" defaultRowHeight="14.4"/>
  <sheetData>
    <row r="2" spans="1:9">
      <c r="A2" t="s">
        <v>40</v>
      </c>
    </row>
    <row r="4" spans="1:9">
      <c r="B4" t="s">
        <v>41</v>
      </c>
      <c r="E4" t="s">
        <v>42</v>
      </c>
    </row>
    <row r="5" spans="1:9">
      <c r="A5" t="s">
        <v>29</v>
      </c>
      <c r="B5" t="s">
        <v>43</v>
      </c>
      <c r="C5" t="s">
        <v>44</v>
      </c>
      <c r="D5" t="s">
        <v>29</v>
      </c>
      <c r="E5" t="s">
        <v>43</v>
      </c>
      <c r="F5" t="s">
        <v>44</v>
      </c>
      <c r="H5" t="s">
        <v>10</v>
      </c>
    </row>
    <row r="6" spans="1:9">
      <c r="A6">
        <v>0</v>
      </c>
      <c r="B6">
        <v>0</v>
      </c>
      <c r="C6">
        <f>(B6+B7)/2*(A7-A6)</f>
        <v>0</v>
      </c>
      <c r="D6">
        <v>0</v>
      </c>
      <c r="E6">
        <v>0</v>
      </c>
      <c r="F6">
        <f>(E6+E7)/2*(D7-D6)</f>
        <v>0</v>
      </c>
      <c r="G6" t="s">
        <v>29</v>
      </c>
      <c r="H6" t="s">
        <v>43</v>
      </c>
      <c r="I6" t="s">
        <v>44</v>
      </c>
    </row>
    <row r="7" spans="1:9">
      <c r="A7">
        <v>20</v>
      </c>
      <c r="B7">
        <v>0</v>
      </c>
      <c r="C7">
        <f t="shared" ref="C7:C27" si="0">(B7+B8)/2*(A8-A7)</f>
        <v>0</v>
      </c>
      <c r="D7">
        <v>20</v>
      </c>
      <c r="E7">
        <v>0</v>
      </c>
      <c r="F7">
        <f t="shared" ref="F7:F23" si="1">(E7+E8)/2*(D8-D7)</f>
        <v>0</v>
      </c>
      <c r="G7">
        <v>0</v>
      </c>
      <c r="H7">
        <v>0</v>
      </c>
      <c r="I7">
        <f>(H7+H8)/2*(G8-G7)</f>
        <v>0</v>
      </c>
    </row>
    <row r="8" spans="1:9">
      <c r="A8">
        <v>30</v>
      </c>
      <c r="B8">
        <v>0</v>
      </c>
      <c r="C8">
        <f t="shared" si="0"/>
        <v>0</v>
      </c>
      <c r="D8">
        <v>30</v>
      </c>
      <c r="E8">
        <v>0</v>
      </c>
      <c r="F8">
        <f t="shared" si="1"/>
        <v>0</v>
      </c>
      <c r="G8">
        <v>10</v>
      </c>
      <c r="H8">
        <v>0</v>
      </c>
      <c r="I8">
        <f t="shared" ref="I8:I20" si="2">(H8+H9)/2*(G9-G8)</f>
        <v>0</v>
      </c>
    </row>
    <row r="9" spans="1:9">
      <c r="A9">
        <v>40</v>
      </c>
      <c r="B9">
        <v>0</v>
      </c>
      <c r="C9">
        <f t="shared" si="0"/>
        <v>0</v>
      </c>
      <c r="D9">
        <v>40</v>
      </c>
      <c r="E9">
        <v>0</v>
      </c>
      <c r="F9">
        <f t="shared" si="1"/>
        <v>0</v>
      </c>
      <c r="G9">
        <v>15</v>
      </c>
      <c r="H9">
        <v>0</v>
      </c>
      <c r="I9">
        <f t="shared" si="2"/>
        <v>0</v>
      </c>
    </row>
    <row r="10" spans="1:9">
      <c r="A10">
        <v>50</v>
      </c>
      <c r="B10">
        <v>0</v>
      </c>
      <c r="C10">
        <f t="shared" si="0"/>
        <v>0</v>
      </c>
      <c r="D10">
        <v>50</v>
      </c>
      <c r="E10">
        <v>0</v>
      </c>
      <c r="F10">
        <f t="shared" si="1"/>
        <v>0</v>
      </c>
      <c r="G10">
        <v>20</v>
      </c>
      <c r="H10">
        <v>0</v>
      </c>
      <c r="I10">
        <f t="shared" si="2"/>
        <v>0</v>
      </c>
    </row>
    <row r="11" spans="1:9">
      <c r="A11">
        <v>60</v>
      </c>
      <c r="B11">
        <v>0</v>
      </c>
      <c r="C11">
        <f t="shared" si="0"/>
        <v>0</v>
      </c>
      <c r="D11">
        <v>60</v>
      </c>
      <c r="E11">
        <v>0</v>
      </c>
      <c r="F11">
        <f t="shared" si="1"/>
        <v>0</v>
      </c>
      <c r="G11">
        <v>25</v>
      </c>
      <c r="H11">
        <v>0</v>
      </c>
      <c r="I11">
        <f t="shared" si="2"/>
        <v>7.4999999999999997E-2</v>
      </c>
    </row>
    <row r="12" spans="1:9">
      <c r="A12">
        <v>80</v>
      </c>
      <c r="B12">
        <v>0</v>
      </c>
      <c r="C12">
        <f t="shared" si="0"/>
        <v>0</v>
      </c>
      <c r="D12">
        <v>70</v>
      </c>
      <c r="E12">
        <v>0</v>
      </c>
      <c r="F12">
        <f t="shared" si="1"/>
        <v>0</v>
      </c>
      <c r="G12">
        <v>40</v>
      </c>
      <c r="H12">
        <v>0.01</v>
      </c>
      <c r="I12">
        <f t="shared" si="2"/>
        <v>3.75</v>
      </c>
    </row>
    <row r="13" spans="1:9">
      <c r="A13">
        <v>100</v>
      </c>
      <c r="B13">
        <v>0</v>
      </c>
      <c r="C13">
        <f t="shared" si="0"/>
        <v>0</v>
      </c>
      <c r="D13">
        <v>80</v>
      </c>
      <c r="E13">
        <v>0</v>
      </c>
      <c r="F13">
        <f t="shared" si="1"/>
        <v>0.17500000000000002</v>
      </c>
      <c r="G13">
        <v>70</v>
      </c>
      <c r="H13">
        <v>0.24</v>
      </c>
      <c r="I13">
        <f t="shared" si="2"/>
        <v>7.3699999999999992</v>
      </c>
    </row>
    <row r="14" spans="1:9">
      <c r="A14">
        <v>140</v>
      </c>
      <c r="B14">
        <v>0</v>
      </c>
      <c r="C14">
        <f t="shared" si="0"/>
        <v>0</v>
      </c>
      <c r="D14">
        <v>115</v>
      </c>
      <c r="E14">
        <v>0.01</v>
      </c>
      <c r="F14">
        <f t="shared" si="1"/>
        <v>1.125</v>
      </c>
      <c r="G14">
        <v>92</v>
      </c>
      <c r="H14">
        <v>0.43</v>
      </c>
      <c r="I14">
        <f t="shared" si="2"/>
        <v>8.91</v>
      </c>
    </row>
    <row r="15" spans="1:9">
      <c r="A15">
        <v>180</v>
      </c>
      <c r="B15">
        <v>0</v>
      </c>
      <c r="C15">
        <f t="shared" si="0"/>
        <v>0.5</v>
      </c>
      <c r="D15">
        <v>140</v>
      </c>
      <c r="E15">
        <v>0.08</v>
      </c>
      <c r="F15">
        <f t="shared" si="1"/>
        <v>5.7</v>
      </c>
      <c r="G15">
        <v>110</v>
      </c>
      <c r="H15">
        <v>0.56000000000000005</v>
      </c>
      <c r="I15">
        <f t="shared" si="2"/>
        <v>12.6</v>
      </c>
    </row>
    <row r="16" spans="1:9">
      <c r="A16">
        <v>230</v>
      </c>
      <c r="B16">
        <v>0.02</v>
      </c>
      <c r="C16">
        <f t="shared" si="0"/>
        <v>1.25</v>
      </c>
      <c r="D16">
        <v>170</v>
      </c>
      <c r="E16">
        <v>0.3</v>
      </c>
      <c r="F16">
        <f t="shared" si="1"/>
        <v>9.875</v>
      </c>
      <c r="G16">
        <v>130</v>
      </c>
      <c r="H16">
        <v>0.7</v>
      </c>
      <c r="I16">
        <f t="shared" si="2"/>
        <v>23.249999999999996</v>
      </c>
    </row>
    <row r="17" spans="1:12">
      <c r="A17">
        <v>255</v>
      </c>
      <c r="B17">
        <v>0.08</v>
      </c>
      <c r="C17">
        <f t="shared" si="0"/>
        <v>3.6249999999999996</v>
      </c>
      <c r="D17">
        <v>195</v>
      </c>
      <c r="E17">
        <v>0.49</v>
      </c>
      <c r="F17">
        <f t="shared" si="1"/>
        <v>8.1749999999999989</v>
      </c>
      <c r="G17">
        <v>160</v>
      </c>
      <c r="H17">
        <v>0.85</v>
      </c>
      <c r="I17">
        <f t="shared" si="2"/>
        <v>17.3</v>
      </c>
    </row>
    <row r="18" spans="1:12">
      <c r="A18">
        <v>280</v>
      </c>
      <c r="B18">
        <v>0.21</v>
      </c>
      <c r="C18">
        <f t="shared" si="0"/>
        <v>3.3149999999999999</v>
      </c>
      <c r="D18">
        <v>210</v>
      </c>
      <c r="E18">
        <v>0.6</v>
      </c>
      <c r="F18">
        <f t="shared" si="1"/>
        <v>13.100000000000001</v>
      </c>
      <c r="G18">
        <v>180</v>
      </c>
      <c r="H18">
        <v>0.88</v>
      </c>
      <c r="I18">
        <f t="shared" si="2"/>
        <v>8.85</v>
      </c>
    </row>
    <row r="19" spans="1:12">
      <c r="A19">
        <v>293</v>
      </c>
      <c r="B19">
        <v>0.3</v>
      </c>
      <c r="C19">
        <f t="shared" si="0"/>
        <v>2.2749999999999995</v>
      </c>
      <c r="D19">
        <v>230</v>
      </c>
      <c r="E19">
        <v>0.71</v>
      </c>
      <c r="F19">
        <f t="shared" si="1"/>
        <v>15.1</v>
      </c>
      <c r="G19">
        <v>190</v>
      </c>
      <c r="H19">
        <v>0.89</v>
      </c>
      <c r="I19">
        <f t="shared" si="2"/>
        <v>8.9499999999999993</v>
      </c>
    </row>
    <row r="20" spans="1:12">
      <c r="A20">
        <v>300</v>
      </c>
      <c r="B20">
        <v>0.35</v>
      </c>
      <c r="C20">
        <f t="shared" si="0"/>
        <v>6.3</v>
      </c>
      <c r="D20">
        <v>250</v>
      </c>
      <c r="E20">
        <v>0.8</v>
      </c>
      <c r="F20">
        <f t="shared" si="1"/>
        <v>16.5</v>
      </c>
      <c r="G20">
        <v>200</v>
      </c>
      <c r="H20">
        <v>0.9</v>
      </c>
      <c r="I20">
        <f t="shared" si="2"/>
        <v>18.100000000000001</v>
      </c>
    </row>
    <row r="21" spans="1:12">
      <c r="A21">
        <v>315</v>
      </c>
      <c r="B21">
        <v>0.49</v>
      </c>
      <c r="C21">
        <f t="shared" si="0"/>
        <v>12.87</v>
      </c>
      <c r="D21">
        <v>270</v>
      </c>
      <c r="E21">
        <v>0.85</v>
      </c>
      <c r="F21">
        <f t="shared" si="1"/>
        <v>12.9</v>
      </c>
      <c r="G21">
        <v>220</v>
      </c>
      <c r="H21">
        <v>0.91</v>
      </c>
    </row>
    <row r="22" spans="1:12">
      <c r="A22">
        <v>337</v>
      </c>
      <c r="B22">
        <v>0.68</v>
      </c>
      <c r="C22">
        <f t="shared" si="0"/>
        <v>12.58</v>
      </c>
      <c r="D22">
        <v>285</v>
      </c>
      <c r="E22">
        <v>0.87</v>
      </c>
      <c r="F22">
        <f t="shared" si="1"/>
        <v>13.275</v>
      </c>
    </row>
    <row r="23" spans="1:12">
      <c r="A23">
        <v>354</v>
      </c>
      <c r="B23">
        <v>0.8</v>
      </c>
      <c r="C23">
        <f t="shared" si="0"/>
        <v>6.5600000000000005</v>
      </c>
      <c r="D23">
        <v>300</v>
      </c>
      <c r="E23">
        <v>0.9</v>
      </c>
      <c r="F23">
        <f t="shared" si="1"/>
        <v>18.100000000000001</v>
      </c>
      <c r="I23">
        <f>SUM(I7:I22)</f>
        <v>109.155</v>
      </c>
    </row>
    <row r="24" spans="1:12">
      <c r="A24">
        <v>362</v>
      </c>
      <c r="B24">
        <v>0.84</v>
      </c>
      <c r="C24">
        <f t="shared" si="0"/>
        <v>6.84</v>
      </c>
      <c r="D24">
        <v>320</v>
      </c>
      <c r="E24">
        <v>0.91</v>
      </c>
      <c r="G24" t="s">
        <v>45</v>
      </c>
    </row>
    <row r="25" spans="1:12">
      <c r="A25">
        <v>370</v>
      </c>
      <c r="B25">
        <v>0.87</v>
      </c>
      <c r="C25">
        <f t="shared" si="0"/>
        <v>4.4000000000000004</v>
      </c>
      <c r="G25" t="s">
        <v>46</v>
      </c>
    </row>
    <row r="26" spans="1:12">
      <c r="A26">
        <v>375</v>
      </c>
      <c r="B26">
        <v>0.89</v>
      </c>
      <c r="C26">
        <f t="shared" si="0"/>
        <v>4.4749999999999996</v>
      </c>
      <c r="F26">
        <f>SUM(F6:F25)</f>
        <v>114.02500000000001</v>
      </c>
      <c r="L26">
        <f>8/83.09</f>
        <v>9.6281140931520029E-2</v>
      </c>
    </row>
    <row r="27" spans="1:12">
      <c r="A27">
        <v>380</v>
      </c>
      <c r="B27">
        <v>0.9</v>
      </c>
      <c r="C27">
        <f t="shared" si="0"/>
        <v>18.100000000000001</v>
      </c>
      <c r="E27" t="s">
        <v>47</v>
      </c>
    </row>
    <row r="28" spans="1:12">
      <c r="A28">
        <v>400</v>
      </c>
      <c r="B28">
        <v>0.91</v>
      </c>
      <c r="E28" t="s">
        <v>48</v>
      </c>
    </row>
    <row r="29" spans="1:12">
      <c r="E29" t="s">
        <v>49</v>
      </c>
    </row>
    <row r="30" spans="1:12">
      <c r="C30">
        <f>SUM(C6:C29)</f>
        <v>83.09</v>
      </c>
    </row>
    <row r="31" spans="1:12">
      <c r="A31" t="s">
        <v>50</v>
      </c>
    </row>
    <row r="32" spans="1:12">
      <c r="A32" t="s">
        <v>51</v>
      </c>
    </row>
    <row r="36" spans="1:9">
      <c r="A36" t="s">
        <v>52</v>
      </c>
    </row>
    <row r="38" spans="1:9">
      <c r="B38" t="s">
        <v>53</v>
      </c>
      <c r="E38" t="s">
        <v>54</v>
      </c>
      <c r="H38" t="s">
        <v>55</v>
      </c>
    </row>
    <row r="39" spans="1:9">
      <c r="A39" t="s">
        <v>29</v>
      </c>
      <c r="B39" t="s">
        <v>43</v>
      </c>
      <c r="C39" t="s">
        <v>44</v>
      </c>
      <c r="D39" t="s">
        <v>29</v>
      </c>
      <c r="E39" t="s">
        <v>43</v>
      </c>
      <c r="F39" t="s">
        <v>44</v>
      </c>
      <c r="G39" t="s">
        <v>29</v>
      </c>
      <c r="H39" t="s">
        <v>43</v>
      </c>
      <c r="I39" t="s">
        <v>44</v>
      </c>
    </row>
    <row r="40" spans="1:9">
      <c r="A40">
        <v>0</v>
      </c>
      <c r="B40">
        <v>0</v>
      </c>
      <c r="C40">
        <f>(B40+B41)/2*(A41-A40)</f>
        <v>0</v>
      </c>
      <c r="D40">
        <v>0</v>
      </c>
      <c r="E40">
        <v>0</v>
      </c>
      <c r="F40">
        <f>(E40+E41)/2*(D41-D40)</f>
        <v>0</v>
      </c>
      <c r="G40">
        <v>0</v>
      </c>
      <c r="H40">
        <v>0</v>
      </c>
      <c r="I40">
        <f>(H40+H41)/2*(G41-G40)</f>
        <v>0</v>
      </c>
    </row>
    <row r="41" spans="1:9">
      <c r="A41">
        <v>20</v>
      </c>
      <c r="B41">
        <v>0</v>
      </c>
      <c r="C41">
        <f t="shared" ref="C41:C57" si="3">(B41+B42)/2*(A42-A41)</f>
        <v>0</v>
      </c>
      <c r="D41">
        <v>10</v>
      </c>
      <c r="E41">
        <v>0</v>
      </c>
      <c r="F41">
        <f t="shared" ref="F41:F53" si="4">(E41+E42)/2*(D42-D41)</f>
        <v>0</v>
      </c>
      <c r="G41">
        <v>10</v>
      </c>
      <c r="H41">
        <v>0</v>
      </c>
      <c r="I41">
        <f t="shared" ref="I41:I48" si="5">(H41+H42)/2*(G42-G41)</f>
        <v>0.4</v>
      </c>
    </row>
    <row r="42" spans="1:9">
      <c r="A42">
        <v>30</v>
      </c>
      <c r="B42">
        <v>0</v>
      </c>
      <c r="C42">
        <f t="shared" si="3"/>
        <v>0</v>
      </c>
      <c r="D42">
        <v>15</v>
      </c>
      <c r="E42">
        <v>0</v>
      </c>
      <c r="F42">
        <f t="shared" si="4"/>
        <v>0</v>
      </c>
      <c r="G42">
        <v>20</v>
      </c>
      <c r="H42">
        <v>0.08</v>
      </c>
      <c r="I42">
        <f t="shared" si="5"/>
        <v>2</v>
      </c>
    </row>
    <row r="43" spans="1:9">
      <c r="A43">
        <v>40</v>
      </c>
      <c r="B43">
        <v>0</v>
      </c>
      <c r="C43">
        <f t="shared" si="3"/>
        <v>0</v>
      </c>
      <c r="D43">
        <v>20</v>
      </c>
      <c r="E43">
        <v>0</v>
      </c>
      <c r="F43">
        <f t="shared" si="4"/>
        <v>0</v>
      </c>
      <c r="G43">
        <v>30</v>
      </c>
      <c r="H43">
        <v>0.32</v>
      </c>
      <c r="I43">
        <f t="shared" si="5"/>
        <v>8.4599999999999991</v>
      </c>
    </row>
    <row r="44" spans="1:9">
      <c r="A44">
        <v>50</v>
      </c>
      <c r="B44">
        <v>0</v>
      </c>
      <c r="C44">
        <f t="shared" si="3"/>
        <v>0</v>
      </c>
      <c r="D44">
        <v>25</v>
      </c>
      <c r="E44">
        <v>0</v>
      </c>
      <c r="F44">
        <f t="shared" si="4"/>
        <v>7.4999999999999997E-2</v>
      </c>
      <c r="G44">
        <v>48</v>
      </c>
      <c r="H44">
        <v>0.62</v>
      </c>
      <c r="I44">
        <f t="shared" si="5"/>
        <v>8.16</v>
      </c>
    </row>
    <row r="45" spans="1:9">
      <c r="A45">
        <v>60</v>
      </c>
      <c r="B45">
        <v>0</v>
      </c>
      <c r="C45">
        <f t="shared" si="3"/>
        <v>0</v>
      </c>
      <c r="D45">
        <v>40</v>
      </c>
      <c r="E45">
        <v>0.01</v>
      </c>
      <c r="F45">
        <f t="shared" si="4"/>
        <v>3.75</v>
      </c>
      <c r="G45">
        <v>60</v>
      </c>
      <c r="H45">
        <v>0.74</v>
      </c>
      <c r="I45">
        <f t="shared" si="5"/>
        <v>20</v>
      </c>
    </row>
    <row r="46" spans="1:9">
      <c r="A46">
        <v>90</v>
      </c>
      <c r="B46">
        <v>0</v>
      </c>
      <c r="C46">
        <f t="shared" si="3"/>
        <v>0.6</v>
      </c>
      <c r="D46">
        <v>70</v>
      </c>
      <c r="E46">
        <v>0.24</v>
      </c>
      <c r="F46">
        <f t="shared" si="4"/>
        <v>7.3699999999999992</v>
      </c>
      <c r="G46">
        <v>85</v>
      </c>
      <c r="H46">
        <v>0.86</v>
      </c>
      <c r="I46">
        <f t="shared" si="5"/>
        <v>13.125</v>
      </c>
    </row>
    <row r="47" spans="1:9">
      <c r="A47">
        <v>150</v>
      </c>
      <c r="B47">
        <v>0.02</v>
      </c>
      <c r="C47">
        <f t="shared" si="3"/>
        <v>9.3000000000000007</v>
      </c>
      <c r="D47">
        <v>92</v>
      </c>
      <c r="E47">
        <v>0.43</v>
      </c>
      <c r="F47">
        <f t="shared" si="4"/>
        <v>8.91</v>
      </c>
      <c r="G47">
        <v>100</v>
      </c>
      <c r="H47">
        <v>0.89</v>
      </c>
      <c r="I47">
        <f t="shared" si="5"/>
        <v>17.899999999999999</v>
      </c>
    </row>
    <row r="48" spans="1:9">
      <c r="A48">
        <v>210</v>
      </c>
      <c r="B48">
        <v>0.28999999999999998</v>
      </c>
      <c r="C48">
        <f t="shared" si="3"/>
        <v>9.25</v>
      </c>
      <c r="D48">
        <v>110</v>
      </c>
      <c r="E48">
        <v>0.56000000000000005</v>
      </c>
      <c r="F48">
        <f t="shared" si="4"/>
        <v>12.6</v>
      </c>
      <c r="G48">
        <v>120</v>
      </c>
      <c r="H48">
        <v>0.9</v>
      </c>
      <c r="I48">
        <f t="shared" si="5"/>
        <v>9.0500000000000007</v>
      </c>
    </row>
    <row r="49" spans="1:9">
      <c r="A49">
        <v>235</v>
      </c>
      <c r="B49">
        <v>0.45</v>
      </c>
      <c r="C49">
        <f t="shared" si="3"/>
        <v>13.5</v>
      </c>
      <c r="D49">
        <v>130</v>
      </c>
      <c r="E49">
        <v>0.7</v>
      </c>
      <c r="F49">
        <f t="shared" si="4"/>
        <v>23.249999999999996</v>
      </c>
      <c r="G49">
        <v>130</v>
      </c>
      <c r="H49">
        <v>0.91</v>
      </c>
    </row>
    <row r="50" spans="1:9">
      <c r="A50">
        <v>260</v>
      </c>
      <c r="B50">
        <v>0.63</v>
      </c>
      <c r="C50">
        <f t="shared" si="3"/>
        <v>13.700000000000001</v>
      </c>
      <c r="D50">
        <v>160</v>
      </c>
      <c r="E50">
        <v>0.85</v>
      </c>
      <c r="F50">
        <f t="shared" si="4"/>
        <v>17.3</v>
      </c>
    </row>
    <row r="51" spans="1:9">
      <c r="A51">
        <v>280</v>
      </c>
      <c r="B51">
        <v>0.74</v>
      </c>
      <c r="C51">
        <f t="shared" si="3"/>
        <v>7.65</v>
      </c>
      <c r="D51">
        <v>180</v>
      </c>
      <c r="E51">
        <v>0.88</v>
      </c>
      <c r="F51">
        <f t="shared" si="4"/>
        <v>8.85</v>
      </c>
      <c r="I51">
        <f>SUM(I40:I50)</f>
        <v>79.094999999999985</v>
      </c>
    </row>
    <row r="52" spans="1:9">
      <c r="A52">
        <v>290</v>
      </c>
      <c r="B52">
        <v>0.79</v>
      </c>
      <c r="C52">
        <f t="shared" si="3"/>
        <v>8.1000000000000014</v>
      </c>
      <c r="D52">
        <v>190</v>
      </c>
      <c r="E52">
        <v>0.89</v>
      </c>
      <c r="F52">
        <f t="shared" si="4"/>
        <v>8.9499999999999993</v>
      </c>
      <c r="G52" t="s">
        <v>56</v>
      </c>
    </row>
    <row r="53" spans="1:9">
      <c r="A53">
        <v>300</v>
      </c>
      <c r="B53">
        <v>0.83</v>
      </c>
      <c r="C53">
        <f t="shared" si="3"/>
        <v>12.75</v>
      </c>
      <c r="D53">
        <v>200</v>
      </c>
      <c r="E53">
        <v>0.9</v>
      </c>
      <c r="F53">
        <f t="shared" si="4"/>
        <v>18.100000000000001</v>
      </c>
      <c r="H53" t="s">
        <v>57</v>
      </c>
    </row>
    <row r="54" spans="1:9">
      <c r="A54">
        <v>315</v>
      </c>
      <c r="B54">
        <v>0.87</v>
      </c>
      <c r="C54">
        <f t="shared" si="3"/>
        <v>4.375</v>
      </c>
      <c r="D54">
        <v>220</v>
      </c>
      <c r="E54">
        <v>0.91</v>
      </c>
    </row>
    <row r="55" spans="1:9">
      <c r="A55">
        <v>320</v>
      </c>
      <c r="B55">
        <v>0.88</v>
      </c>
      <c r="C55">
        <f t="shared" si="3"/>
        <v>8.85</v>
      </c>
    </row>
    <row r="56" spans="1:9">
      <c r="A56">
        <v>330</v>
      </c>
      <c r="B56">
        <v>0.89</v>
      </c>
      <c r="C56">
        <f t="shared" si="3"/>
        <v>8.9499999999999993</v>
      </c>
      <c r="F56">
        <f>SUM(F40:F55)</f>
        <v>109.155</v>
      </c>
    </row>
    <row r="57" spans="1:9">
      <c r="A57">
        <v>340</v>
      </c>
      <c r="B57">
        <v>0.9</v>
      </c>
      <c r="C57">
        <f t="shared" si="3"/>
        <v>18.100000000000001</v>
      </c>
    </row>
    <row r="58" spans="1:9">
      <c r="A58">
        <v>360</v>
      </c>
      <c r="B58">
        <v>0.91</v>
      </c>
      <c r="E58" t="s">
        <v>45</v>
      </c>
    </row>
    <row r="59" spans="1:9">
      <c r="E59" t="s">
        <v>58</v>
      </c>
    </row>
    <row r="60" spans="1:9">
      <c r="C60">
        <f>SUM(C40:C59)</f>
        <v>115.125</v>
      </c>
      <c r="E60" t="s">
        <v>59</v>
      </c>
    </row>
    <row r="61" spans="1:9">
      <c r="A61" t="s">
        <v>60</v>
      </c>
    </row>
    <row r="62" spans="1:9">
      <c r="A62" t="s">
        <v>61</v>
      </c>
    </row>
    <row r="67" spans="1:9">
      <c r="A67" t="s">
        <v>62</v>
      </c>
    </row>
    <row r="69" spans="1:9">
      <c r="A69" t="s">
        <v>63</v>
      </c>
      <c r="B69" t="s">
        <v>64</v>
      </c>
      <c r="E69" t="s">
        <v>65</v>
      </c>
      <c r="H69" t="s">
        <v>66</v>
      </c>
    </row>
    <row r="70" spans="1:9">
      <c r="A70" t="s">
        <v>29</v>
      </c>
      <c r="B70" t="s">
        <v>43</v>
      </c>
      <c r="C70" t="s">
        <v>44</v>
      </c>
      <c r="D70" t="s">
        <v>29</v>
      </c>
      <c r="E70" t="s">
        <v>43</v>
      </c>
      <c r="F70" t="s">
        <v>44</v>
      </c>
      <c r="G70" t="s">
        <v>29</v>
      </c>
      <c r="H70" t="s">
        <v>43</v>
      </c>
      <c r="I70" t="s">
        <v>44</v>
      </c>
    </row>
    <row r="71" spans="1:9">
      <c r="A71">
        <v>0</v>
      </c>
      <c r="B71">
        <v>0</v>
      </c>
      <c r="C71">
        <f>(B71+B72)/2*(A72-A71)</f>
        <v>0</v>
      </c>
      <c r="D71">
        <v>0</v>
      </c>
      <c r="E71">
        <v>0</v>
      </c>
      <c r="F71">
        <f>(E71+E72)/2*(D72-D71)</f>
        <v>0</v>
      </c>
      <c r="G71">
        <v>0</v>
      </c>
      <c r="H71">
        <v>0</v>
      </c>
      <c r="I71">
        <f>(H71+H72)/2*(G72-G71)</f>
        <v>0</v>
      </c>
    </row>
    <row r="72" spans="1:9">
      <c r="A72">
        <v>10</v>
      </c>
      <c r="B72">
        <v>0</v>
      </c>
      <c r="C72">
        <f t="shared" ref="C72:C87" si="6">(B72+B73)/2*(A73-A72)</f>
        <v>0</v>
      </c>
      <c r="D72">
        <v>10</v>
      </c>
      <c r="E72">
        <v>0</v>
      </c>
      <c r="F72">
        <f t="shared" ref="F72:F84" si="7">(E72+E73)/2*(D73-D72)</f>
        <v>0</v>
      </c>
      <c r="G72">
        <v>10</v>
      </c>
      <c r="H72">
        <v>0</v>
      </c>
      <c r="I72">
        <f t="shared" ref="I72:I80" si="8">(H72+H73)/2*(G73-G72)</f>
        <v>2.5000000000000001E-2</v>
      </c>
    </row>
    <row r="73" spans="1:9">
      <c r="A73">
        <v>22</v>
      </c>
      <c r="B73">
        <v>0</v>
      </c>
      <c r="C73">
        <f t="shared" si="6"/>
        <v>0</v>
      </c>
      <c r="D73">
        <v>15</v>
      </c>
      <c r="E73">
        <v>0</v>
      </c>
      <c r="F73">
        <f t="shared" si="7"/>
        <v>0</v>
      </c>
      <c r="G73">
        <v>15</v>
      </c>
      <c r="H73">
        <v>0.01</v>
      </c>
      <c r="I73">
        <f t="shared" si="8"/>
        <v>1.05</v>
      </c>
    </row>
    <row r="74" spans="1:9">
      <c r="A74">
        <v>30</v>
      </c>
      <c r="B74">
        <v>0</v>
      </c>
      <c r="C74">
        <f t="shared" si="6"/>
        <v>0</v>
      </c>
      <c r="D74">
        <v>20</v>
      </c>
      <c r="E74">
        <v>0</v>
      </c>
      <c r="F74">
        <f t="shared" si="7"/>
        <v>0</v>
      </c>
      <c r="G74">
        <v>25</v>
      </c>
      <c r="H74">
        <v>0.2</v>
      </c>
      <c r="I74">
        <f t="shared" si="8"/>
        <v>5.0999999999999996</v>
      </c>
    </row>
    <row r="75" spans="1:9">
      <c r="A75">
        <v>41</v>
      </c>
      <c r="B75">
        <v>0</v>
      </c>
      <c r="C75">
        <f t="shared" si="6"/>
        <v>0</v>
      </c>
      <c r="D75">
        <v>25</v>
      </c>
      <c r="E75">
        <v>0</v>
      </c>
      <c r="F75">
        <f t="shared" si="7"/>
        <v>7.4999999999999997E-2</v>
      </c>
      <c r="G75">
        <v>40</v>
      </c>
      <c r="H75">
        <v>0.48</v>
      </c>
      <c r="I75">
        <f t="shared" si="8"/>
        <v>5.85</v>
      </c>
    </row>
    <row r="76" spans="1:9">
      <c r="A76">
        <v>50</v>
      </c>
      <c r="B76">
        <v>0</v>
      </c>
      <c r="C76">
        <f t="shared" si="6"/>
        <v>0</v>
      </c>
      <c r="D76">
        <v>40</v>
      </c>
      <c r="E76">
        <v>0.01</v>
      </c>
      <c r="F76">
        <f t="shared" si="7"/>
        <v>3.75</v>
      </c>
      <c r="G76">
        <v>50</v>
      </c>
      <c r="H76">
        <v>0.69</v>
      </c>
      <c r="I76">
        <f t="shared" si="8"/>
        <v>7.6</v>
      </c>
    </row>
    <row r="77" spans="1:9">
      <c r="A77">
        <v>60</v>
      </c>
      <c r="B77">
        <v>0</v>
      </c>
      <c r="C77">
        <f t="shared" si="6"/>
        <v>0.1</v>
      </c>
      <c r="D77">
        <v>70</v>
      </c>
      <c r="E77">
        <v>0.24</v>
      </c>
      <c r="F77">
        <f t="shared" si="7"/>
        <v>7.3699999999999992</v>
      </c>
      <c r="G77">
        <v>60</v>
      </c>
      <c r="H77">
        <v>0.83</v>
      </c>
      <c r="I77">
        <f t="shared" si="8"/>
        <v>8.5500000000000007</v>
      </c>
    </row>
    <row r="78" spans="1:9">
      <c r="A78">
        <v>80</v>
      </c>
      <c r="B78">
        <v>0.01</v>
      </c>
      <c r="C78">
        <f t="shared" si="6"/>
        <v>0.60000000000000009</v>
      </c>
      <c r="D78">
        <v>92</v>
      </c>
      <c r="E78">
        <v>0.43</v>
      </c>
      <c r="F78">
        <f t="shared" si="7"/>
        <v>8.91</v>
      </c>
      <c r="G78">
        <v>70</v>
      </c>
      <c r="H78">
        <v>0.88</v>
      </c>
      <c r="I78">
        <f t="shared" si="8"/>
        <v>4.4249999999999998</v>
      </c>
    </row>
    <row r="79" spans="1:9">
      <c r="A79">
        <v>100</v>
      </c>
      <c r="B79">
        <v>0.05</v>
      </c>
      <c r="C79">
        <f t="shared" si="6"/>
        <v>8.5250000000000004</v>
      </c>
      <c r="D79">
        <v>110</v>
      </c>
      <c r="E79">
        <v>0.56000000000000005</v>
      </c>
      <c r="F79">
        <f t="shared" si="7"/>
        <v>12.6</v>
      </c>
      <c r="G79">
        <v>75</v>
      </c>
      <c r="H79">
        <v>0.89</v>
      </c>
      <c r="I79">
        <f t="shared" si="8"/>
        <v>17.899999999999999</v>
      </c>
    </row>
    <row r="80" spans="1:9">
      <c r="A80">
        <v>155</v>
      </c>
      <c r="B80">
        <v>0.26</v>
      </c>
      <c r="C80">
        <f t="shared" si="6"/>
        <v>22</v>
      </c>
      <c r="D80">
        <v>130</v>
      </c>
      <c r="E80">
        <v>0.7</v>
      </c>
      <c r="F80">
        <f t="shared" si="7"/>
        <v>23.249999999999996</v>
      </c>
      <c r="G80">
        <v>95</v>
      </c>
      <c r="H80">
        <v>0.9</v>
      </c>
      <c r="I80">
        <f t="shared" si="8"/>
        <v>13.575000000000001</v>
      </c>
    </row>
    <row r="81" spans="1:11">
      <c r="A81">
        <v>210</v>
      </c>
      <c r="B81">
        <v>0.54</v>
      </c>
      <c r="C81">
        <f t="shared" si="6"/>
        <v>18.000000000000004</v>
      </c>
      <c r="D81">
        <v>160</v>
      </c>
      <c r="E81">
        <v>0.85</v>
      </c>
      <c r="F81">
        <f t="shared" si="7"/>
        <v>17.3</v>
      </c>
      <c r="G81">
        <v>110</v>
      </c>
      <c r="H81">
        <v>0.91</v>
      </c>
    </row>
    <row r="82" spans="1:11">
      <c r="A82">
        <v>240</v>
      </c>
      <c r="B82">
        <v>0.66</v>
      </c>
      <c r="C82">
        <f t="shared" si="6"/>
        <v>29.000000000000004</v>
      </c>
      <c r="D82">
        <v>180</v>
      </c>
      <c r="E82">
        <v>0.88</v>
      </c>
      <c r="F82">
        <f t="shared" si="7"/>
        <v>8.85</v>
      </c>
      <c r="I82">
        <f>SUM(I71:I81)</f>
        <v>64.075000000000003</v>
      </c>
    </row>
    <row r="83" spans="1:11">
      <c r="A83">
        <v>280</v>
      </c>
      <c r="B83">
        <v>0.79</v>
      </c>
      <c r="C83">
        <f t="shared" si="6"/>
        <v>16.200000000000003</v>
      </c>
      <c r="D83">
        <v>190</v>
      </c>
      <c r="E83">
        <v>0.89</v>
      </c>
      <c r="F83">
        <f t="shared" si="7"/>
        <v>8.9499999999999993</v>
      </c>
      <c r="G83" t="s">
        <v>67</v>
      </c>
    </row>
    <row r="84" spans="1:11">
      <c r="A84">
        <v>300</v>
      </c>
      <c r="B84">
        <v>0.83</v>
      </c>
      <c r="C84">
        <f t="shared" si="6"/>
        <v>16.899999999999999</v>
      </c>
      <c r="D84">
        <v>200</v>
      </c>
      <c r="E84">
        <v>0.9</v>
      </c>
      <c r="F84">
        <f t="shared" si="7"/>
        <v>18.100000000000001</v>
      </c>
      <c r="G84" t="s">
        <v>68</v>
      </c>
    </row>
    <row r="85" spans="1:11">
      <c r="A85">
        <v>320</v>
      </c>
      <c r="B85">
        <v>0.86</v>
      </c>
      <c r="C85">
        <f t="shared" si="6"/>
        <v>17.399999999999999</v>
      </c>
      <c r="D85">
        <v>220</v>
      </c>
      <c r="E85">
        <v>0.91</v>
      </c>
    </row>
    <row r="86" spans="1:11">
      <c r="A86">
        <v>340</v>
      </c>
      <c r="B86">
        <v>0.88</v>
      </c>
      <c r="C86">
        <f t="shared" si="6"/>
        <v>26.7</v>
      </c>
    </row>
    <row r="87" spans="1:11">
      <c r="A87">
        <v>370</v>
      </c>
      <c r="B87">
        <v>0.9</v>
      </c>
      <c r="C87">
        <f t="shared" si="6"/>
        <v>18.100000000000001</v>
      </c>
      <c r="F87">
        <f>SUM(F71:F86)</f>
        <v>109.155</v>
      </c>
    </row>
    <row r="88" spans="1:11">
      <c r="A88">
        <v>390</v>
      </c>
      <c r="B88">
        <v>0.91</v>
      </c>
    </row>
    <row r="89" spans="1:11">
      <c r="C89">
        <f>SUM(C71:C88)</f>
        <v>173.52500000000001</v>
      </c>
      <c r="E89" t="s">
        <v>45</v>
      </c>
    </row>
    <row r="90" spans="1:11">
      <c r="A90" t="s">
        <v>69</v>
      </c>
      <c r="E90" t="s">
        <v>58</v>
      </c>
    </row>
    <row r="91" spans="1:11">
      <c r="A91" t="s">
        <v>70</v>
      </c>
      <c r="E91" t="s">
        <v>59</v>
      </c>
    </row>
    <row r="95" spans="1:11">
      <c r="A95" t="s">
        <v>71</v>
      </c>
    </row>
    <row r="96" spans="1:11">
      <c r="B96" s="29" t="s">
        <v>72</v>
      </c>
      <c r="E96" s="30" t="s">
        <v>73</v>
      </c>
      <c r="H96" s="31" t="s">
        <v>74</v>
      </c>
      <c r="K96" s="33" t="s">
        <v>75</v>
      </c>
    </row>
    <row r="97" spans="1:12">
      <c r="A97" t="s">
        <v>29</v>
      </c>
      <c r="B97" t="s">
        <v>43</v>
      </c>
      <c r="C97" t="s">
        <v>44</v>
      </c>
      <c r="D97" t="s">
        <v>29</v>
      </c>
      <c r="E97" t="s">
        <v>43</v>
      </c>
      <c r="F97" t="s">
        <v>44</v>
      </c>
      <c r="G97" t="s">
        <v>29</v>
      </c>
      <c r="H97" t="s">
        <v>43</v>
      </c>
      <c r="I97" t="s">
        <v>44</v>
      </c>
      <c r="J97" t="s">
        <v>29</v>
      </c>
      <c r="K97" t="s">
        <v>43</v>
      </c>
      <c r="L97" t="s">
        <v>44</v>
      </c>
    </row>
    <row r="98" spans="1:12">
      <c r="A98">
        <v>0</v>
      </c>
      <c r="B98">
        <v>0</v>
      </c>
      <c r="C98">
        <f>(B98+B99)/2*(A99-A98)</f>
        <v>0</v>
      </c>
      <c r="D98">
        <v>0</v>
      </c>
      <c r="E98">
        <v>0</v>
      </c>
      <c r="F98">
        <f>(E98+E99)/2*(D99-D98)</f>
        <v>0</v>
      </c>
      <c r="G98">
        <v>0</v>
      </c>
      <c r="H98">
        <v>0</v>
      </c>
      <c r="I98">
        <f>(H98+H99)/2*(G99-G98)</f>
        <v>0</v>
      </c>
      <c r="J98">
        <v>0</v>
      </c>
      <c r="K98">
        <v>0</v>
      </c>
      <c r="L98">
        <f>(K98+K99)/2*(J99-J98)</f>
        <v>0</v>
      </c>
    </row>
    <row r="99" spans="1:12">
      <c r="A99">
        <v>20</v>
      </c>
      <c r="B99">
        <v>0</v>
      </c>
      <c r="C99">
        <f t="shared" ref="C99:C112" si="9">(B99+B100)/2*(A100-A99)</f>
        <v>0</v>
      </c>
      <c r="D99">
        <v>20</v>
      </c>
      <c r="E99">
        <v>0</v>
      </c>
      <c r="F99">
        <f t="shared" ref="F99:F111" si="10">(E99+E100)/2*(D100-D99)</f>
        <v>0</v>
      </c>
      <c r="G99">
        <v>10</v>
      </c>
      <c r="H99">
        <v>0</v>
      </c>
      <c r="I99">
        <f t="shared" ref="I99:I106" si="11">(H99+H100)/2*(G100-G99)</f>
        <v>0.4</v>
      </c>
      <c r="J99">
        <v>10</v>
      </c>
      <c r="K99">
        <v>0</v>
      </c>
      <c r="L99">
        <f t="shared" ref="L99:L106" si="12">(K99+K100)/2*(J100-J99)</f>
        <v>0.15</v>
      </c>
    </row>
    <row r="100" spans="1:12">
      <c r="A100">
        <v>40</v>
      </c>
      <c r="B100">
        <v>0</v>
      </c>
      <c r="C100">
        <f t="shared" si="9"/>
        <v>0</v>
      </c>
      <c r="D100">
        <v>30</v>
      </c>
      <c r="E100">
        <v>0</v>
      </c>
      <c r="F100">
        <f t="shared" si="10"/>
        <v>0</v>
      </c>
      <c r="G100">
        <v>20</v>
      </c>
      <c r="H100">
        <v>0.08</v>
      </c>
      <c r="I100">
        <f t="shared" si="11"/>
        <v>2</v>
      </c>
      <c r="J100">
        <v>25</v>
      </c>
      <c r="K100">
        <v>0.02</v>
      </c>
      <c r="L100">
        <f t="shared" si="12"/>
        <v>6.25</v>
      </c>
    </row>
    <row r="101" spans="1:12">
      <c r="A101">
        <v>50</v>
      </c>
      <c r="B101">
        <v>0</v>
      </c>
      <c r="C101">
        <f t="shared" si="9"/>
        <v>0</v>
      </c>
      <c r="D101">
        <v>40</v>
      </c>
      <c r="E101">
        <v>0</v>
      </c>
      <c r="F101">
        <f t="shared" si="10"/>
        <v>0.05</v>
      </c>
      <c r="G101">
        <v>30</v>
      </c>
      <c r="H101">
        <v>0.32</v>
      </c>
      <c r="I101">
        <f t="shared" si="11"/>
        <v>8.4599999999999991</v>
      </c>
      <c r="J101">
        <v>50</v>
      </c>
      <c r="K101">
        <v>0.48</v>
      </c>
      <c r="L101">
        <f t="shared" si="12"/>
        <v>15.375</v>
      </c>
    </row>
    <row r="102" spans="1:12">
      <c r="A102">
        <v>60</v>
      </c>
      <c r="B102">
        <v>0</v>
      </c>
      <c r="C102">
        <f t="shared" si="9"/>
        <v>0</v>
      </c>
      <c r="D102">
        <v>50</v>
      </c>
      <c r="E102">
        <v>0.01</v>
      </c>
      <c r="F102">
        <f t="shared" si="10"/>
        <v>0.6</v>
      </c>
      <c r="G102">
        <v>48</v>
      </c>
      <c r="H102">
        <v>0.62</v>
      </c>
      <c r="I102">
        <f t="shared" si="11"/>
        <v>8.16</v>
      </c>
      <c r="J102">
        <v>75</v>
      </c>
      <c r="K102">
        <v>0.75</v>
      </c>
      <c r="L102">
        <f t="shared" si="12"/>
        <v>15.899999999999999</v>
      </c>
    </row>
    <row r="103" spans="1:12">
      <c r="A103">
        <v>70</v>
      </c>
      <c r="B103">
        <v>0</v>
      </c>
      <c r="C103">
        <f t="shared" si="9"/>
        <v>0.05</v>
      </c>
      <c r="D103">
        <v>60</v>
      </c>
      <c r="E103">
        <v>0.11</v>
      </c>
      <c r="F103">
        <f t="shared" si="10"/>
        <v>4.3</v>
      </c>
      <c r="G103">
        <v>60</v>
      </c>
      <c r="H103">
        <v>0.74</v>
      </c>
      <c r="I103">
        <f t="shared" si="11"/>
        <v>20</v>
      </c>
      <c r="J103">
        <v>95</v>
      </c>
      <c r="K103">
        <v>0.84</v>
      </c>
      <c r="L103">
        <f t="shared" si="12"/>
        <v>12.824999999999999</v>
      </c>
    </row>
    <row r="104" spans="1:12">
      <c r="A104">
        <v>80</v>
      </c>
      <c r="B104">
        <v>0.01</v>
      </c>
      <c r="C104">
        <f t="shared" si="9"/>
        <v>0.99999999999999989</v>
      </c>
      <c r="D104">
        <v>80</v>
      </c>
      <c r="E104">
        <v>0.32</v>
      </c>
      <c r="F104">
        <f t="shared" si="10"/>
        <v>6.7200000000000006</v>
      </c>
      <c r="G104">
        <v>85</v>
      </c>
      <c r="H104">
        <v>0.86</v>
      </c>
      <c r="I104">
        <f t="shared" si="11"/>
        <v>13.125</v>
      </c>
      <c r="J104">
        <v>110</v>
      </c>
      <c r="K104">
        <v>0.87</v>
      </c>
      <c r="L104">
        <f t="shared" si="12"/>
        <v>8.8000000000000007</v>
      </c>
    </row>
    <row r="105" spans="1:12">
      <c r="A105">
        <v>100</v>
      </c>
      <c r="B105">
        <v>0.09</v>
      </c>
      <c r="C105">
        <f t="shared" si="9"/>
        <v>2.25</v>
      </c>
      <c r="D105">
        <v>96</v>
      </c>
      <c r="E105">
        <v>0.52</v>
      </c>
      <c r="F105">
        <f t="shared" si="10"/>
        <v>5.1300000000000008</v>
      </c>
      <c r="G105">
        <v>100</v>
      </c>
      <c r="H105">
        <v>0.89</v>
      </c>
      <c r="I105">
        <f t="shared" si="11"/>
        <v>17.899999999999999</v>
      </c>
      <c r="J105">
        <v>120</v>
      </c>
      <c r="K105">
        <v>0.89</v>
      </c>
      <c r="L105">
        <f t="shared" si="12"/>
        <v>8.9499999999999993</v>
      </c>
    </row>
    <row r="106" spans="1:12">
      <c r="A106">
        <v>115</v>
      </c>
      <c r="B106">
        <v>0.21</v>
      </c>
      <c r="C106">
        <f t="shared" si="9"/>
        <v>4.2749999999999995</v>
      </c>
      <c r="D106">
        <v>105</v>
      </c>
      <c r="E106">
        <v>0.62</v>
      </c>
      <c r="F106">
        <f t="shared" si="10"/>
        <v>12.155000000000001</v>
      </c>
      <c r="G106">
        <v>120</v>
      </c>
      <c r="H106">
        <v>0.9</v>
      </c>
      <c r="I106">
        <f t="shared" si="11"/>
        <v>9.0500000000000007</v>
      </c>
      <c r="J106">
        <v>130</v>
      </c>
      <c r="K106">
        <v>0.9</v>
      </c>
      <c r="L106">
        <f t="shared" si="12"/>
        <v>9.0500000000000007</v>
      </c>
    </row>
    <row r="107" spans="1:12">
      <c r="A107">
        <v>130</v>
      </c>
      <c r="B107">
        <v>0.36</v>
      </c>
      <c r="C107">
        <f t="shared" si="9"/>
        <v>4.1000000000000005</v>
      </c>
      <c r="D107">
        <v>122</v>
      </c>
      <c r="E107">
        <v>0.81</v>
      </c>
      <c r="F107">
        <f t="shared" si="10"/>
        <v>8.35</v>
      </c>
      <c r="G107">
        <v>130</v>
      </c>
      <c r="H107">
        <v>0.91</v>
      </c>
      <c r="J107">
        <v>140</v>
      </c>
      <c r="K107" s="29">
        <v>0.91</v>
      </c>
      <c r="L107" s="29"/>
    </row>
    <row r="108" spans="1:12">
      <c r="A108">
        <v>140</v>
      </c>
      <c r="B108">
        <v>0.46</v>
      </c>
      <c r="C108">
        <f t="shared" si="9"/>
        <v>14.75</v>
      </c>
      <c r="D108">
        <v>132</v>
      </c>
      <c r="E108">
        <v>0.86</v>
      </c>
      <c r="F108">
        <f t="shared" si="10"/>
        <v>5.22</v>
      </c>
      <c r="I108">
        <f>SUM(I98:I107)</f>
        <v>79.094999999999985</v>
      </c>
      <c r="K108" s="29"/>
      <c r="L108" s="29">
        <f>SUM(L98:L107)</f>
        <v>77.3</v>
      </c>
    </row>
    <row r="109" spans="1:12">
      <c r="A109">
        <v>165</v>
      </c>
      <c r="B109">
        <v>0.72</v>
      </c>
      <c r="C109">
        <f t="shared" si="9"/>
        <v>12</v>
      </c>
      <c r="D109">
        <v>138</v>
      </c>
      <c r="E109">
        <v>0.88</v>
      </c>
      <c r="F109">
        <f t="shared" si="10"/>
        <v>4.4249999999999998</v>
      </c>
      <c r="G109" s="29"/>
      <c r="H109" s="29"/>
      <c r="I109" s="29"/>
      <c r="J109" s="29"/>
      <c r="K109" s="29" t="s">
        <v>76</v>
      </c>
      <c r="L109" s="29"/>
    </row>
    <row r="110" spans="1:12">
      <c r="A110">
        <v>180</v>
      </c>
      <c r="B110">
        <v>0.88</v>
      </c>
      <c r="C110">
        <f t="shared" si="9"/>
        <v>4.4249999999999998</v>
      </c>
      <c r="D110">
        <v>143</v>
      </c>
      <c r="E110">
        <v>0.89</v>
      </c>
      <c r="F110">
        <f t="shared" si="10"/>
        <v>6.2650000000000006</v>
      </c>
      <c r="G110" s="29" t="s">
        <v>56</v>
      </c>
      <c r="H110" s="29"/>
      <c r="I110" s="29"/>
      <c r="J110" s="29"/>
      <c r="K110" s="29" t="s">
        <v>77</v>
      </c>
      <c r="L110" s="29" t="s">
        <v>78</v>
      </c>
    </row>
    <row r="111" spans="1:12">
      <c r="A111">
        <v>185</v>
      </c>
      <c r="B111">
        <v>0.89</v>
      </c>
      <c r="C111">
        <f t="shared" si="9"/>
        <v>4.4749999999999996</v>
      </c>
      <c r="D111">
        <v>150</v>
      </c>
      <c r="E111">
        <v>0.9</v>
      </c>
      <c r="F111">
        <f t="shared" si="10"/>
        <v>22.625</v>
      </c>
      <c r="G111" s="29"/>
      <c r="H111" s="29" t="s">
        <v>79</v>
      </c>
      <c r="I111" s="29"/>
      <c r="J111" s="29"/>
    </row>
    <row r="112" spans="1:12">
      <c r="A112">
        <v>190</v>
      </c>
      <c r="B112">
        <v>0.9</v>
      </c>
      <c r="C112">
        <f t="shared" si="9"/>
        <v>4.5250000000000004</v>
      </c>
      <c r="D112">
        <v>175</v>
      </c>
      <c r="E112">
        <v>0.91</v>
      </c>
    </row>
    <row r="113" spans="1:11">
      <c r="A113" s="29">
        <v>195</v>
      </c>
      <c r="B113" s="29">
        <v>0.91</v>
      </c>
      <c r="C113">
        <f>SUM(C98:C112)</f>
        <v>51.849999999999994</v>
      </c>
      <c r="F113">
        <f>SUM(F98:F112)</f>
        <v>75.84</v>
      </c>
    </row>
    <row r="114" spans="1:11">
      <c r="A114" t="s">
        <v>80</v>
      </c>
      <c r="C114" s="29"/>
      <c r="D114" s="29"/>
      <c r="E114" s="29"/>
      <c r="F114" s="29"/>
      <c r="G114" s="29"/>
    </row>
    <row r="115" spans="1:11">
      <c r="C115" s="29"/>
      <c r="D115" s="29"/>
      <c r="E115" s="29"/>
      <c r="F115" s="29" t="s">
        <v>81</v>
      </c>
      <c r="G115" s="29"/>
    </row>
    <row r="116" spans="1:11">
      <c r="C116" s="29"/>
      <c r="D116" s="29" t="s">
        <v>82</v>
      </c>
      <c r="E116" s="29"/>
      <c r="F116" s="29"/>
      <c r="G116" s="29"/>
    </row>
    <row r="118" spans="1:11">
      <c r="A118" s="29" t="s">
        <v>83</v>
      </c>
      <c r="B118" s="29"/>
    </row>
    <row r="119" spans="1:11">
      <c r="A119" s="29" t="s">
        <v>84</v>
      </c>
      <c r="B119" s="29"/>
    </row>
    <row r="121" spans="1:11">
      <c r="A121" t="s">
        <v>85</v>
      </c>
    </row>
    <row r="122" spans="1:11">
      <c r="A122" s="32" t="s">
        <v>86</v>
      </c>
      <c r="B122" t="s">
        <v>87</v>
      </c>
      <c r="C122" t="s">
        <v>88</v>
      </c>
      <c r="D122" t="s">
        <v>89</v>
      </c>
      <c r="E122" t="s">
        <v>90</v>
      </c>
      <c r="F122" t="s">
        <v>91</v>
      </c>
      <c r="G122" t="s">
        <v>92</v>
      </c>
      <c r="H122" t="s">
        <v>93</v>
      </c>
      <c r="I122" t="s">
        <v>94</v>
      </c>
      <c r="J122" t="s">
        <v>95</v>
      </c>
      <c r="K122" t="s">
        <v>96</v>
      </c>
    </row>
    <row r="123" spans="1:11">
      <c r="A123" t="s">
        <v>74</v>
      </c>
      <c r="B123">
        <v>4</v>
      </c>
      <c r="C123">
        <v>4</v>
      </c>
      <c r="D123">
        <v>8</v>
      </c>
      <c r="E123">
        <v>100</v>
      </c>
      <c r="F123">
        <v>40</v>
      </c>
      <c r="G123">
        <v>200</v>
      </c>
      <c r="H123">
        <v>0.56679999999999997</v>
      </c>
      <c r="I123">
        <v>0.1416</v>
      </c>
      <c r="J123">
        <v>1.522</v>
      </c>
      <c r="K123">
        <v>36.520000000000003</v>
      </c>
    </row>
    <row r="124" spans="1:11">
      <c r="A124" t="s">
        <v>74</v>
      </c>
      <c r="B124">
        <v>8</v>
      </c>
      <c r="C124">
        <v>8</v>
      </c>
      <c r="D124">
        <v>8</v>
      </c>
      <c r="E124">
        <v>100</v>
      </c>
      <c r="F124">
        <v>115</v>
      </c>
      <c r="G124">
        <v>300</v>
      </c>
      <c r="H124">
        <v>1.248</v>
      </c>
      <c r="I124">
        <v>0.156</v>
      </c>
      <c r="J124">
        <v>2.3279999999999998</v>
      </c>
      <c r="K124">
        <v>53.61</v>
      </c>
    </row>
    <row r="125" spans="1:11">
      <c r="A125" t="s">
        <v>74</v>
      </c>
      <c r="B125">
        <v>12</v>
      </c>
      <c r="C125">
        <v>12</v>
      </c>
      <c r="D125">
        <v>8</v>
      </c>
      <c r="E125">
        <v>100</v>
      </c>
      <c r="F125">
        <v>220</v>
      </c>
      <c r="G125">
        <v>380</v>
      </c>
      <c r="H125">
        <v>2.0712000000000002</v>
      </c>
      <c r="I125">
        <v>0.25890000000000002</v>
      </c>
      <c r="J125">
        <v>2.9489999999999998</v>
      </c>
      <c r="K125" s="11">
        <v>70.23</v>
      </c>
    </row>
    <row r="126" spans="1:11">
      <c r="A126" t="s">
        <v>74</v>
      </c>
      <c r="B126">
        <v>4</v>
      </c>
      <c r="C126">
        <v>4</v>
      </c>
      <c r="D126">
        <v>4</v>
      </c>
      <c r="E126">
        <v>100</v>
      </c>
      <c r="F126">
        <v>135</v>
      </c>
      <c r="G126">
        <v>340</v>
      </c>
      <c r="H126">
        <v>0.76349999999999996</v>
      </c>
      <c r="I126">
        <v>0.19089999999999999</v>
      </c>
      <c r="J126">
        <v>1.3191999999999999</v>
      </c>
      <c r="K126">
        <v>58</v>
      </c>
    </row>
    <row r="127" spans="1:11">
      <c r="A127" t="s">
        <v>74</v>
      </c>
      <c r="B127">
        <v>4</v>
      </c>
      <c r="C127">
        <v>4</v>
      </c>
      <c r="D127">
        <v>12</v>
      </c>
      <c r="E127">
        <v>100</v>
      </c>
      <c r="F127">
        <v>15</v>
      </c>
      <c r="G127">
        <v>120</v>
      </c>
      <c r="H127">
        <v>0.34670000000000001</v>
      </c>
      <c r="I127">
        <v>8.72E-2</v>
      </c>
      <c r="J127">
        <v>1.397</v>
      </c>
      <c r="K127" s="11">
        <v>28.84</v>
      </c>
    </row>
    <row r="128" spans="1:11">
      <c r="A128" t="s">
        <v>74</v>
      </c>
      <c r="B128">
        <v>4</v>
      </c>
      <c r="C128">
        <v>4</v>
      </c>
      <c r="D128">
        <v>8</v>
      </c>
      <c r="E128">
        <v>150</v>
      </c>
      <c r="F128">
        <v>15</v>
      </c>
      <c r="G128">
        <v>95</v>
      </c>
      <c r="H128">
        <v>0.1714</v>
      </c>
      <c r="I128">
        <v>4.2599999999999999E-2</v>
      </c>
      <c r="J128">
        <v>0.98799999999999999</v>
      </c>
      <c r="K128">
        <v>17.34</v>
      </c>
    </row>
    <row r="129" spans="1:11">
      <c r="A129" t="s">
        <v>74</v>
      </c>
      <c r="B129">
        <v>4</v>
      </c>
      <c r="C129">
        <v>4</v>
      </c>
      <c r="D129">
        <v>8</v>
      </c>
      <c r="E129">
        <v>50</v>
      </c>
      <c r="F129">
        <v>80</v>
      </c>
      <c r="G129">
        <v>370</v>
      </c>
      <c r="H129">
        <v>1.2758</v>
      </c>
      <c r="I129">
        <v>0.31900000000000001</v>
      </c>
      <c r="J129">
        <v>2.2789999999999999</v>
      </c>
      <c r="K129">
        <v>56</v>
      </c>
    </row>
    <row r="130" spans="1:11">
      <c r="A130" t="s">
        <v>75</v>
      </c>
      <c r="B130">
        <v>4</v>
      </c>
      <c r="C130">
        <v>4</v>
      </c>
      <c r="D130">
        <v>12</v>
      </c>
      <c r="E130">
        <v>100</v>
      </c>
      <c r="F130">
        <v>20</v>
      </c>
      <c r="G130">
        <v>130</v>
      </c>
      <c r="H130">
        <v>0.47639999999999999</v>
      </c>
      <c r="I130">
        <v>0.1191</v>
      </c>
      <c r="J130">
        <v>1.5287999999999999</v>
      </c>
      <c r="K130">
        <v>31.16</v>
      </c>
    </row>
    <row r="131" spans="1:11">
      <c r="A131" t="s">
        <v>97</v>
      </c>
      <c r="B131">
        <v>4</v>
      </c>
      <c r="C131">
        <v>4</v>
      </c>
      <c r="D131">
        <v>12</v>
      </c>
      <c r="E131">
        <v>100</v>
      </c>
      <c r="F131">
        <v>50</v>
      </c>
      <c r="G131">
        <v>150</v>
      </c>
      <c r="H131">
        <v>0.71</v>
      </c>
      <c r="I131">
        <v>0.17749999999999999</v>
      </c>
      <c r="J131">
        <v>1.746</v>
      </c>
      <c r="K131">
        <v>41</v>
      </c>
    </row>
    <row r="132" spans="1:11">
      <c r="A132" t="s">
        <v>72</v>
      </c>
      <c r="B132">
        <v>4</v>
      </c>
      <c r="C132">
        <v>4</v>
      </c>
      <c r="D132">
        <v>12</v>
      </c>
      <c r="E132">
        <v>100</v>
      </c>
      <c r="F132">
        <v>80</v>
      </c>
      <c r="G132">
        <v>185</v>
      </c>
      <c r="H132">
        <v>1.43</v>
      </c>
      <c r="I132">
        <v>0.35730000000000001</v>
      </c>
      <c r="J132">
        <v>2.1534</v>
      </c>
      <c r="K132" s="11">
        <v>66.41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9"/>
  <sheetViews>
    <sheetView topLeftCell="A199" zoomScaleNormal="100" workbookViewId="0">
      <selection activeCell="C7" sqref="C7"/>
    </sheetView>
  </sheetViews>
  <sheetFormatPr defaultColWidth="9" defaultRowHeight="14.4"/>
  <cols>
    <col min="3" max="4" width="12" customWidth="1"/>
  </cols>
  <sheetData>
    <row r="2" spans="1:11">
      <c r="A2" t="s">
        <v>98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100</v>
      </c>
      <c r="E5" t="s">
        <v>101</v>
      </c>
    </row>
    <row r="6" spans="1:11" ht="15.6">
      <c r="A6">
        <v>0</v>
      </c>
      <c r="B6">
        <v>0</v>
      </c>
      <c r="C6">
        <f>(1/(1+EXP(($K$6*$K$7*$K$11/$K$15)-($K$6*$K$12*A6))))</f>
        <v>2.2966334291301977E-2</v>
      </c>
      <c r="D6">
        <f>(B6-C6)^2</f>
        <v>5.2745251077983312E-4</v>
      </c>
      <c r="E6">
        <f>(B6-C$20)^2</f>
        <v>0.1727589592737411</v>
      </c>
      <c r="J6" t="s">
        <v>102</v>
      </c>
      <c r="K6" s="4">
        <v>3.52737817843753E-4</v>
      </c>
    </row>
    <row r="7" spans="1:11" ht="15.6">
      <c r="A7">
        <v>10</v>
      </c>
      <c r="B7">
        <v>0</v>
      </c>
      <c r="C7">
        <f t="shared" ref="C7:C19" si="0">(1/(1+EXP(($K$6*$K$7*$K$11/$K$15)-($K$6*$K$12*A7))))</f>
        <v>3.2365735448746664E-2</v>
      </c>
      <c r="D7">
        <f t="shared" ref="D7:D19" si="1">(B7-C7)^2</f>
        <v>1.0475408311382565E-3</v>
      </c>
      <c r="E7">
        <f t="shared" ref="E7:E19" si="2">(B7-C$20)^2</f>
        <v>0.1727589592737411</v>
      </c>
      <c r="J7" t="s">
        <v>103</v>
      </c>
      <c r="K7" s="4">
        <v>21265.038806748398</v>
      </c>
    </row>
    <row r="8" spans="1:11" ht="15.6">
      <c r="A8">
        <v>15</v>
      </c>
      <c r="B8">
        <v>0</v>
      </c>
      <c r="C8">
        <f t="shared" si="0"/>
        <v>3.8368852174807407E-2</v>
      </c>
      <c r="D8">
        <f t="shared" si="1"/>
        <v>1.4721688172122231E-3</v>
      </c>
      <c r="E8">
        <f t="shared" si="2"/>
        <v>0.1727589592737411</v>
      </c>
      <c r="K8" s="4"/>
    </row>
    <row r="9" spans="1:11" ht="15.6">
      <c r="A9">
        <v>20</v>
      </c>
      <c r="B9">
        <v>0</v>
      </c>
      <c r="C9">
        <f t="shared" si="0"/>
        <v>4.543313290099768E-2</v>
      </c>
      <c r="D9">
        <f t="shared" si="1"/>
        <v>2.064169565199718E-3</v>
      </c>
      <c r="E9">
        <f t="shared" si="2"/>
        <v>0.1727589592737411</v>
      </c>
      <c r="J9" s="6" t="s">
        <v>104</v>
      </c>
      <c r="K9" s="7">
        <f>1-(D20/E20)</f>
        <v>0.98568372929784454</v>
      </c>
    </row>
    <row r="10" spans="1:11" ht="15.6">
      <c r="A10">
        <v>25</v>
      </c>
      <c r="B10">
        <v>0</v>
      </c>
      <c r="C10">
        <f t="shared" si="0"/>
        <v>5.3725388105167443E-2</v>
      </c>
      <c r="D10">
        <f t="shared" si="1"/>
        <v>2.8864173270508674E-3</v>
      </c>
      <c r="E10">
        <f t="shared" si="2"/>
        <v>0.1727589592737411</v>
      </c>
      <c r="K10" s="4"/>
    </row>
    <row r="11" spans="1:11" ht="15.6">
      <c r="A11">
        <v>40</v>
      </c>
      <c r="B11">
        <v>0.01</v>
      </c>
      <c r="C11">
        <f t="shared" si="0"/>
        <v>8.7900754223337763E-2</v>
      </c>
      <c r="D11">
        <f t="shared" si="1"/>
        <v>6.0685275085648766E-3</v>
      </c>
      <c r="E11">
        <f t="shared" si="2"/>
        <v>0.16454610274247</v>
      </c>
      <c r="J11" s="27" t="s">
        <v>105</v>
      </c>
      <c r="K11" s="28">
        <v>4</v>
      </c>
    </row>
    <row r="12" spans="1:11" ht="15.6">
      <c r="A12">
        <v>70</v>
      </c>
      <c r="B12">
        <v>0.24</v>
      </c>
      <c r="C12">
        <f t="shared" si="0"/>
        <v>0.21732442899150536</v>
      </c>
      <c r="D12">
        <f t="shared" si="1"/>
        <v>5.1418152056128207E-4</v>
      </c>
      <c r="E12">
        <f t="shared" si="2"/>
        <v>3.0850402523234909E-2</v>
      </c>
      <c r="J12" s="27" t="s">
        <v>12</v>
      </c>
      <c r="K12" s="28">
        <v>100</v>
      </c>
    </row>
    <row r="13" spans="1:11" ht="15.6">
      <c r="A13">
        <v>92</v>
      </c>
      <c r="B13">
        <v>0.43</v>
      </c>
      <c r="C13">
        <f t="shared" si="0"/>
        <v>0.3762950754713662</v>
      </c>
      <c r="D13">
        <f t="shared" si="1"/>
        <v>2.8842189186262515E-3</v>
      </c>
      <c r="E13">
        <f t="shared" si="2"/>
        <v>2.0612842908417444E-4</v>
      </c>
      <c r="J13" s="27" t="s">
        <v>106</v>
      </c>
      <c r="K13" s="28">
        <v>14</v>
      </c>
    </row>
    <row r="14" spans="1:11" ht="15.6">
      <c r="A14">
        <v>110</v>
      </c>
      <c r="B14">
        <v>0.56000000000000005</v>
      </c>
      <c r="C14">
        <f t="shared" si="0"/>
        <v>0.53236077690053862</v>
      </c>
      <c r="D14">
        <f t="shared" si="1"/>
        <v>7.6392665354180233E-4</v>
      </c>
      <c r="E14">
        <f t="shared" si="2"/>
        <v>2.0838993522560006E-2</v>
      </c>
      <c r="J14" s="27" t="s">
        <v>107</v>
      </c>
      <c r="K14" s="28">
        <v>2</v>
      </c>
    </row>
    <row r="15" spans="1:11" ht="15.6">
      <c r="A15">
        <v>130</v>
      </c>
      <c r="B15">
        <v>0.7</v>
      </c>
      <c r="C15">
        <f t="shared" si="0"/>
        <v>0.69743220408532247</v>
      </c>
      <c r="D15">
        <f t="shared" si="1"/>
        <v>6.5935758594343776E-6</v>
      </c>
      <c r="E15">
        <f t="shared" si="2"/>
        <v>8.0859002084764695E-2</v>
      </c>
      <c r="J15" s="27" t="s">
        <v>8</v>
      </c>
      <c r="K15" s="28">
        <v>8</v>
      </c>
    </row>
    <row r="16" spans="1:11" ht="15.6">
      <c r="A16">
        <v>160</v>
      </c>
      <c r="B16">
        <v>0.85</v>
      </c>
      <c r="C16">
        <f t="shared" si="0"/>
        <v>0.86913286012471314</v>
      </c>
      <c r="D16">
        <f t="shared" si="1"/>
        <v>3.6606633655183882E-4</v>
      </c>
      <c r="E16">
        <f t="shared" si="2"/>
        <v>0.18866615411569831</v>
      </c>
      <c r="K16" s="4"/>
    </row>
    <row r="17" spans="1:11" ht="15.6">
      <c r="A17">
        <v>180</v>
      </c>
      <c r="B17">
        <v>0.88</v>
      </c>
      <c r="C17">
        <f t="shared" si="0"/>
        <v>0.93078360292516849</v>
      </c>
      <c r="D17">
        <f t="shared" si="1"/>
        <v>2.5789743260611806E-3</v>
      </c>
      <c r="E17">
        <f t="shared" si="2"/>
        <v>0.21562758452188507</v>
      </c>
      <c r="K17" s="4"/>
    </row>
    <row r="18" spans="1:11" ht="15.6">
      <c r="A18">
        <v>190</v>
      </c>
      <c r="B18">
        <v>0.89</v>
      </c>
      <c r="C18">
        <f t="shared" si="0"/>
        <v>0.9503356018778143</v>
      </c>
      <c r="D18">
        <f t="shared" si="1"/>
        <v>3.6403848539581065E-3</v>
      </c>
      <c r="E18">
        <f t="shared" si="2"/>
        <v>0.22501472799061401</v>
      </c>
      <c r="K18" s="4"/>
    </row>
    <row r="19" spans="1:11" ht="15.6">
      <c r="A19">
        <v>200</v>
      </c>
      <c r="B19">
        <v>0.9</v>
      </c>
      <c r="C19">
        <f t="shared" si="0"/>
        <v>0.96457482436897657</v>
      </c>
      <c r="D19">
        <f t="shared" si="1"/>
        <v>4.169907942284167E-3</v>
      </c>
      <c r="E19">
        <f t="shared" si="2"/>
        <v>0.23460187145934291</v>
      </c>
      <c r="K19" s="4"/>
    </row>
    <row r="20" spans="1:11" ht="15.6">
      <c r="C20">
        <f>AVERAGE(C6:C19)</f>
        <v>0.41564282656355456</v>
      </c>
      <c r="D20">
        <f>SUM(D6:D19)</f>
        <v>2.899053068738984E-2</v>
      </c>
      <c r="E20">
        <f>SUM(E6:E19)</f>
        <v>2.0250057637583594</v>
      </c>
      <c r="K20" s="4"/>
    </row>
    <row r="21" spans="1:11" ht="15.6">
      <c r="K21" s="4"/>
    </row>
    <row r="22" spans="1:11" ht="15.6">
      <c r="K22" s="4"/>
    </row>
    <row r="23" spans="1:11" ht="15.6">
      <c r="K23" s="4"/>
    </row>
    <row r="24" spans="1:11" ht="15.6">
      <c r="K24" s="4"/>
    </row>
    <row r="25" spans="1:11" ht="15.6">
      <c r="K25" s="4"/>
    </row>
    <row r="26" spans="1:11" ht="15.6">
      <c r="A26" t="s">
        <v>29</v>
      </c>
      <c r="B26" t="s">
        <v>43</v>
      </c>
      <c r="C26" t="s">
        <v>99</v>
      </c>
      <c r="D26" t="s">
        <v>100</v>
      </c>
      <c r="E26" t="s">
        <v>101</v>
      </c>
      <c r="K26" s="4"/>
    </row>
    <row r="27" spans="1:11" ht="15.6">
      <c r="A27">
        <v>0</v>
      </c>
      <c r="B27">
        <v>0</v>
      </c>
      <c r="C27">
        <f>(1/(1+EXP(($K$27*$K$28*$K$32/$K$35)-($K$27*$K$33*A27))))</f>
        <v>2.3955595696019934E-3</v>
      </c>
      <c r="D27">
        <f>(B27-C27)^2</f>
        <v>5.7387056515116876E-6</v>
      </c>
      <c r="E27">
        <f>(B27-C$45)^2</f>
        <v>0.10636092735165829</v>
      </c>
      <c r="J27" t="s">
        <v>102</v>
      </c>
      <c r="K27" s="4">
        <v>2.9955125454037999E-4</v>
      </c>
    </row>
    <row r="28" spans="1:11" ht="15.6">
      <c r="A28">
        <v>20</v>
      </c>
      <c r="B28">
        <v>0</v>
      </c>
      <c r="C28">
        <f t="shared" ref="C28:C44" si="3">(1/(1+EXP(($K$27*$K$28*$K$32/$K$35)-($K$27*$K$33*A28))))</f>
        <v>4.3525233776721163E-3</v>
      </c>
      <c r="D28">
        <f t="shared" ref="D28:D44" si="4">(B28-C28)^2</f>
        <v>1.8944459753182289E-5</v>
      </c>
      <c r="E28">
        <f t="shared" ref="E28:E44" si="5">(B28-C$45)^2</f>
        <v>0.10636092735165829</v>
      </c>
      <c r="J28" t="s">
        <v>103</v>
      </c>
      <c r="K28" s="4">
        <v>20135.919678915499</v>
      </c>
    </row>
    <row r="29" spans="1:11" ht="15.6">
      <c r="A29">
        <v>30</v>
      </c>
      <c r="B29">
        <v>0</v>
      </c>
      <c r="C29">
        <f t="shared" si="3"/>
        <v>5.8637424306585808E-3</v>
      </c>
      <c r="D29">
        <f t="shared" si="4"/>
        <v>3.4383475293105802E-5</v>
      </c>
      <c r="E29">
        <f t="shared" si="5"/>
        <v>0.10636092735165829</v>
      </c>
      <c r="K29" s="4"/>
    </row>
    <row r="30" spans="1:11" ht="15.6">
      <c r="A30">
        <v>40</v>
      </c>
      <c r="B30">
        <v>0</v>
      </c>
      <c r="C30">
        <f t="shared" si="3"/>
        <v>7.8955037957325891E-3</v>
      </c>
      <c r="D30">
        <f t="shared" si="4"/>
        <v>6.2338980188427723E-5</v>
      </c>
      <c r="E30">
        <f t="shared" si="5"/>
        <v>0.10636092735165829</v>
      </c>
      <c r="J30" s="6" t="s">
        <v>104</v>
      </c>
      <c r="K30" s="7">
        <f>1-(D45/E45)</f>
        <v>0.99227635788720803</v>
      </c>
    </row>
    <row r="31" spans="1:11" ht="15.6">
      <c r="A31">
        <v>50</v>
      </c>
      <c r="B31">
        <v>0</v>
      </c>
      <c r="C31">
        <f t="shared" si="3"/>
        <v>1.0623738488337741E-2</v>
      </c>
      <c r="D31">
        <f t="shared" si="4"/>
        <v>1.1286381946858867E-4</v>
      </c>
      <c r="E31">
        <f t="shared" si="5"/>
        <v>0.10636092735165829</v>
      </c>
      <c r="K31" s="4"/>
    </row>
    <row r="32" spans="1:11" ht="15.6">
      <c r="A32">
        <v>60</v>
      </c>
      <c r="B32">
        <v>0</v>
      </c>
      <c r="C32">
        <f t="shared" si="3"/>
        <v>1.4281124832399621E-2</v>
      </c>
      <c r="D32">
        <f t="shared" si="4"/>
        <v>2.0395052647858111E-4</v>
      </c>
      <c r="E32">
        <f t="shared" si="5"/>
        <v>0.10636092735165829</v>
      </c>
      <c r="J32" s="27" t="s">
        <v>105</v>
      </c>
      <c r="K32" s="28">
        <v>8</v>
      </c>
    </row>
    <row r="33" spans="1:11" ht="15.6">
      <c r="A33">
        <v>70</v>
      </c>
      <c r="B33">
        <v>0</v>
      </c>
      <c r="C33">
        <f t="shared" si="3"/>
        <v>1.9173222556624337E-2</v>
      </c>
      <c r="D33">
        <f t="shared" si="4"/>
        <v>3.6761246320584826E-4</v>
      </c>
      <c r="E33">
        <f t="shared" si="5"/>
        <v>0.10636092735165829</v>
      </c>
      <c r="J33" s="27" t="s">
        <v>12</v>
      </c>
      <c r="K33" s="28">
        <v>100</v>
      </c>
    </row>
    <row r="34" spans="1:11" ht="15.6">
      <c r="A34">
        <v>80</v>
      </c>
      <c r="B34">
        <v>0</v>
      </c>
      <c r="C34">
        <f t="shared" si="3"/>
        <v>2.5697453797692352E-2</v>
      </c>
      <c r="D34">
        <f t="shared" si="4"/>
        <v>6.6035913168453308E-4</v>
      </c>
      <c r="E34">
        <f t="shared" si="5"/>
        <v>0.10636092735165829</v>
      </c>
      <c r="J34" s="27" t="s">
        <v>106</v>
      </c>
      <c r="K34" s="28">
        <v>18</v>
      </c>
    </row>
    <row r="35" spans="1:11" ht="15.6">
      <c r="A35">
        <v>115</v>
      </c>
      <c r="B35">
        <v>0.01</v>
      </c>
      <c r="C35">
        <f t="shared" si="3"/>
        <v>6.998625018692263E-2</v>
      </c>
      <c r="D35">
        <f t="shared" si="4"/>
        <v>3.598350211488075E-3</v>
      </c>
      <c r="E35">
        <f t="shared" si="5"/>
        <v>9.9938322738418003E-2</v>
      </c>
      <c r="J35" s="27" t="s">
        <v>8</v>
      </c>
      <c r="K35" s="28">
        <v>8</v>
      </c>
    </row>
    <row r="36" spans="1:11" ht="15.6">
      <c r="A36">
        <v>140</v>
      </c>
      <c r="B36">
        <v>0.08</v>
      </c>
      <c r="C36">
        <f t="shared" si="3"/>
        <v>0.13728534330874465</v>
      </c>
      <c r="D36">
        <f t="shared" si="4"/>
        <v>3.2816105580007345E-3</v>
      </c>
      <c r="E36">
        <f t="shared" si="5"/>
        <v>6.0580090445736083E-2</v>
      </c>
      <c r="J36" s="27" t="s">
        <v>107</v>
      </c>
      <c r="K36" s="28">
        <v>2</v>
      </c>
    </row>
    <row r="37" spans="1:11" ht="15.6">
      <c r="A37">
        <v>170</v>
      </c>
      <c r="B37">
        <v>0.3</v>
      </c>
      <c r="C37">
        <f t="shared" si="3"/>
        <v>0.28102788514027155</v>
      </c>
      <c r="D37">
        <f t="shared" si="4"/>
        <v>3.5994114225072868E-4</v>
      </c>
      <c r="E37">
        <f t="shared" si="5"/>
        <v>6.8278895445004378E-4</v>
      </c>
      <c r="K37" s="4"/>
    </row>
    <row r="38" spans="1:11" ht="15.6">
      <c r="A38">
        <v>195</v>
      </c>
      <c r="B38">
        <v>0.49</v>
      </c>
      <c r="C38">
        <f t="shared" si="3"/>
        <v>0.45252085043136459</v>
      </c>
      <c r="D38">
        <f t="shared" si="4"/>
        <v>1.4046866523881435E-3</v>
      </c>
      <c r="E38">
        <f t="shared" si="5"/>
        <v>2.6853301302884817E-2</v>
      </c>
      <c r="K38" s="4"/>
    </row>
    <row r="39" spans="1:11" ht="15.6">
      <c r="A39">
        <v>210</v>
      </c>
      <c r="B39">
        <v>0.6</v>
      </c>
      <c r="C39">
        <f t="shared" si="3"/>
        <v>0.56435021794918627</v>
      </c>
      <c r="D39">
        <f t="shared" si="4"/>
        <v>1.2709069602705189E-3</v>
      </c>
      <c r="E39">
        <f t="shared" si="5"/>
        <v>7.5004650557241787E-2</v>
      </c>
      <c r="K39" s="4"/>
    </row>
    <row r="40" spans="1:11" ht="15.6">
      <c r="A40">
        <v>230</v>
      </c>
      <c r="B40">
        <v>0.71</v>
      </c>
      <c r="C40">
        <f t="shared" si="3"/>
        <v>0.70222984192167237</v>
      </c>
      <c r="D40">
        <f t="shared" si="4"/>
        <v>6.0375356562199563E-5</v>
      </c>
      <c r="E40">
        <f t="shared" si="5"/>
        <v>0.14735599981159875</v>
      </c>
      <c r="K40" s="4"/>
    </row>
    <row r="41" spans="1:11" ht="15.6">
      <c r="A41">
        <v>250</v>
      </c>
      <c r="B41">
        <v>0.8</v>
      </c>
      <c r="C41">
        <f t="shared" si="3"/>
        <v>0.81107974173102448</v>
      </c>
      <c r="D41">
        <f t="shared" si="4"/>
        <v>1.2276067682620445E-4</v>
      </c>
      <c r="E41">
        <f t="shared" si="5"/>
        <v>0.22455255829243634</v>
      </c>
      <c r="K41" s="4"/>
    </row>
    <row r="42" spans="1:11" ht="15.6">
      <c r="A42">
        <v>270</v>
      </c>
      <c r="B42">
        <v>0.85</v>
      </c>
      <c r="C42">
        <f t="shared" si="3"/>
        <v>0.88656695222342519</v>
      </c>
      <c r="D42">
        <f t="shared" si="4"/>
        <v>1.3371419949102618E-3</v>
      </c>
      <c r="E42">
        <f t="shared" si="5"/>
        <v>0.27443953522623488</v>
      </c>
      <c r="K42" s="4"/>
    </row>
    <row r="43" spans="1:11" ht="15.6">
      <c r="A43">
        <v>285</v>
      </c>
      <c r="B43">
        <v>0.87</v>
      </c>
      <c r="C43">
        <f t="shared" si="3"/>
        <v>0.92452445131180816</v>
      </c>
      <c r="D43">
        <f t="shared" si="4"/>
        <v>2.9729157908537389E-3</v>
      </c>
      <c r="E43">
        <f t="shared" si="5"/>
        <v>0.29579432599975436</v>
      </c>
      <c r="K43" s="4"/>
    </row>
    <row r="44" spans="1:11" ht="15.6">
      <c r="A44">
        <v>300</v>
      </c>
      <c r="B44">
        <v>0.9</v>
      </c>
      <c r="C44">
        <f t="shared" si="3"/>
        <v>0.95048974886310833</v>
      </c>
      <c r="D44">
        <f t="shared" si="4"/>
        <v>2.5492147402597469E-3</v>
      </c>
      <c r="E44">
        <f t="shared" si="5"/>
        <v>0.32932651216003356</v>
      </c>
      <c r="K44" s="4"/>
    </row>
    <row r="45" spans="1:11" ht="15.6">
      <c r="C45">
        <f>AVERAGE(C27:C44)</f>
        <v>0.32613023066201374</v>
      </c>
      <c r="D45">
        <f>SUM(D27:D44)</f>
        <v>1.8424095645534131E-2</v>
      </c>
      <c r="E45">
        <f>SUM(E27:E44)</f>
        <v>2.3854155043020544</v>
      </c>
      <c r="K45" s="4"/>
    </row>
    <row r="46" spans="1:11" ht="15.6">
      <c r="K46" s="4"/>
    </row>
    <row r="47" spans="1:11" ht="15.6">
      <c r="K47" s="4"/>
    </row>
    <row r="48" spans="1:11" ht="15.6">
      <c r="K48" s="4"/>
    </row>
    <row r="49" spans="1:11" ht="15.6">
      <c r="K49" s="4"/>
    </row>
    <row r="50" spans="1:11" ht="15.6">
      <c r="B50" t="s">
        <v>41</v>
      </c>
      <c r="K50" s="4"/>
    </row>
    <row r="51" spans="1:11" ht="15.6">
      <c r="A51" t="s">
        <v>29</v>
      </c>
      <c r="B51" t="s">
        <v>43</v>
      </c>
      <c r="C51" t="s">
        <v>99</v>
      </c>
      <c r="D51" t="s">
        <v>100</v>
      </c>
      <c r="E51" t="s">
        <v>101</v>
      </c>
      <c r="K51" s="4"/>
    </row>
    <row r="52" spans="1:11" ht="15.6">
      <c r="A52">
        <v>0</v>
      </c>
      <c r="B52">
        <v>0</v>
      </c>
      <c r="C52">
        <f>(1/(1+EXP(($K$52*$K$53*$K$57/$K$59)-($K$52*$K$58*A52))))</f>
        <v>8.8412100041098174E-6</v>
      </c>
      <c r="D52">
        <f>(B52-C52)^2</f>
        <v>7.8166994336771513E-11</v>
      </c>
      <c r="E52">
        <f>(B52-C$74)^2</f>
        <v>8.661795624345929E-2</v>
      </c>
      <c r="J52" t="s">
        <v>102</v>
      </c>
      <c r="K52" s="4">
        <v>3.6735899043685501E-4</v>
      </c>
    </row>
    <row r="53" spans="1:11" ht="15.6">
      <c r="A53">
        <v>20</v>
      </c>
      <c r="B53">
        <v>0</v>
      </c>
      <c r="C53">
        <f t="shared" ref="C53:C73" si="6">(1/(1+EXP(($K$52*$K$53*$K$57/$K$59)-($K$52*$K$58*A53))))</f>
        <v>1.8432808264731135E-5</v>
      </c>
      <c r="D53">
        <f t="shared" ref="D53:D73" si="7">(B53-C53)^2</f>
        <v>3.3976842052434043E-10</v>
      </c>
      <c r="E53">
        <f t="shared" ref="E53:E73" si="8">(B53-C$74)^2</f>
        <v>8.661795624345929E-2</v>
      </c>
      <c r="J53" t="s">
        <v>103</v>
      </c>
      <c r="K53" s="4">
        <v>21116.633908614</v>
      </c>
    </row>
    <row r="54" spans="1:11" ht="15.6">
      <c r="A54">
        <v>30</v>
      </c>
      <c r="B54">
        <v>0</v>
      </c>
      <c r="C54">
        <f t="shared" si="6"/>
        <v>2.6615212280596108E-5</v>
      </c>
      <c r="D54">
        <f t="shared" si="7"/>
        <v>7.0836952474119386E-10</v>
      </c>
      <c r="E54">
        <f t="shared" si="8"/>
        <v>8.661795624345929E-2</v>
      </c>
      <c r="K54" s="4"/>
    </row>
    <row r="55" spans="1:11" ht="15.6">
      <c r="A55">
        <v>40</v>
      </c>
      <c r="B55">
        <v>0</v>
      </c>
      <c r="C55">
        <f t="shared" si="6"/>
        <v>3.842968155401822E-5</v>
      </c>
      <c r="D55">
        <f t="shared" si="7"/>
        <v>1.4768404243432483E-9</v>
      </c>
      <c r="E55">
        <f t="shared" si="8"/>
        <v>8.661795624345929E-2</v>
      </c>
      <c r="J55" s="6" t="s">
        <v>104</v>
      </c>
      <c r="K55" s="7">
        <f>1-(D74/E74)</f>
        <v>0.99967988615022485</v>
      </c>
    </row>
    <row r="56" spans="1:11" ht="15.6">
      <c r="A56">
        <v>50</v>
      </c>
      <c r="B56">
        <v>0</v>
      </c>
      <c r="C56">
        <f t="shared" si="6"/>
        <v>5.5488292312607179E-5</v>
      </c>
      <c r="D56">
        <f t="shared" si="7"/>
        <v>3.078950583769341E-9</v>
      </c>
      <c r="E56">
        <f t="shared" si="8"/>
        <v>8.661795624345929E-2</v>
      </c>
      <c r="K56" s="4"/>
    </row>
    <row r="57" spans="1:11" ht="15.6">
      <c r="A57">
        <v>60</v>
      </c>
      <c r="B57">
        <v>0</v>
      </c>
      <c r="C57">
        <f t="shared" si="6"/>
        <v>8.0118469479775498E-5</v>
      </c>
      <c r="D57">
        <f t="shared" si="7"/>
        <v>6.4189691517817176E-9</v>
      </c>
      <c r="E57">
        <f t="shared" si="8"/>
        <v>8.661795624345929E-2</v>
      </c>
      <c r="J57" s="27" t="s">
        <v>105</v>
      </c>
      <c r="K57" s="28">
        <v>12</v>
      </c>
    </row>
    <row r="58" spans="1:11" ht="15.6">
      <c r="A58">
        <v>80</v>
      </c>
      <c r="B58">
        <v>0</v>
      </c>
      <c r="C58">
        <f t="shared" si="6"/>
        <v>1.6702399293664331E-4</v>
      </c>
      <c r="D58">
        <f t="shared" si="7"/>
        <v>2.7897014216499874E-8</v>
      </c>
      <c r="E58">
        <f t="shared" si="8"/>
        <v>8.661795624345929E-2</v>
      </c>
      <c r="J58" s="27" t="s">
        <v>12</v>
      </c>
      <c r="K58" s="28">
        <v>100</v>
      </c>
    </row>
    <row r="59" spans="1:11" ht="15.6">
      <c r="A59">
        <v>100</v>
      </c>
      <c r="B59">
        <v>0</v>
      </c>
      <c r="C59">
        <f t="shared" si="6"/>
        <v>3.4816422046356064E-4</v>
      </c>
      <c r="D59">
        <f t="shared" si="7"/>
        <v>1.2121832441099887E-7</v>
      </c>
      <c r="E59">
        <f t="shared" si="8"/>
        <v>8.661795624345929E-2</v>
      </c>
      <c r="J59" s="27" t="s">
        <v>8</v>
      </c>
      <c r="K59" s="28">
        <v>8</v>
      </c>
    </row>
    <row r="60" spans="1:11" ht="15.6">
      <c r="A60">
        <v>140</v>
      </c>
      <c r="B60">
        <v>0</v>
      </c>
      <c r="C60">
        <f t="shared" si="6"/>
        <v>1.51163280961304E-3</v>
      </c>
      <c r="D60">
        <f t="shared" si="7"/>
        <v>2.2850337510986131E-6</v>
      </c>
      <c r="E60">
        <f t="shared" si="8"/>
        <v>8.661795624345929E-2</v>
      </c>
      <c r="J60" s="27" t="s">
        <v>106</v>
      </c>
      <c r="K60" s="28">
        <v>23</v>
      </c>
    </row>
    <row r="61" spans="1:11" ht="15.6">
      <c r="A61">
        <v>180</v>
      </c>
      <c r="B61">
        <v>0</v>
      </c>
      <c r="C61">
        <f t="shared" si="6"/>
        <v>6.5376646005259574E-3</v>
      </c>
      <c r="D61">
        <f t="shared" si="7"/>
        <v>4.2741058428970229E-5</v>
      </c>
      <c r="E61">
        <f t="shared" si="8"/>
        <v>8.661795624345929E-2</v>
      </c>
      <c r="J61" s="27" t="s">
        <v>107</v>
      </c>
      <c r="K61" s="28">
        <v>2</v>
      </c>
    </row>
    <row r="62" spans="1:11" ht="15.6">
      <c r="A62">
        <v>230</v>
      </c>
      <c r="B62">
        <v>0.02</v>
      </c>
      <c r="C62">
        <f t="shared" si="6"/>
        <v>3.9664687804655797E-2</v>
      </c>
      <c r="D62">
        <f t="shared" si="7"/>
        <v>3.8669994645457845E-4</v>
      </c>
      <c r="E62">
        <f t="shared" si="8"/>
        <v>7.5245584775078964E-2</v>
      </c>
      <c r="K62" s="4"/>
    </row>
    <row r="63" spans="1:11" ht="15.6">
      <c r="A63">
        <v>255</v>
      </c>
      <c r="B63">
        <v>0.08</v>
      </c>
      <c r="C63">
        <f t="shared" si="6"/>
        <v>9.3772077417853941E-2</v>
      </c>
      <c r="D63">
        <f t="shared" si="7"/>
        <v>1.8967011640336245E-4</v>
      </c>
      <c r="E63">
        <f t="shared" si="8"/>
        <v>4.5928470369938031E-2</v>
      </c>
      <c r="K63" s="4"/>
    </row>
    <row r="64" spans="1:11" ht="15.6">
      <c r="A64">
        <v>280</v>
      </c>
      <c r="B64">
        <v>0.21</v>
      </c>
      <c r="C64">
        <f t="shared" si="6"/>
        <v>0.2058660820937607</v>
      </c>
      <c r="D64">
        <f t="shared" si="7"/>
        <v>1.7089277255525859E-5</v>
      </c>
      <c r="E64">
        <f t="shared" si="8"/>
        <v>7.108055825465997E-3</v>
      </c>
      <c r="K64" s="4"/>
    </row>
    <row r="65" spans="1:11" ht="15.6">
      <c r="A65">
        <v>293</v>
      </c>
      <c r="B65">
        <v>0.3</v>
      </c>
      <c r="C65">
        <f t="shared" si="6"/>
        <v>0.2947427783810927</v>
      </c>
      <c r="D65">
        <f t="shared" si="7"/>
        <v>2.7638379150306219E-5</v>
      </c>
      <c r="E65">
        <f t="shared" si="8"/>
        <v>3.238421775458393E-5</v>
      </c>
      <c r="K65" s="4"/>
    </row>
    <row r="66" spans="1:11" ht="15.6">
      <c r="A66">
        <v>300</v>
      </c>
      <c r="B66">
        <v>0.35</v>
      </c>
      <c r="C66">
        <f t="shared" si="6"/>
        <v>0.3508492655096549</v>
      </c>
      <c r="D66">
        <f t="shared" si="7"/>
        <v>7.2125190588942642E-7</v>
      </c>
      <c r="E66">
        <f t="shared" si="8"/>
        <v>3.101455546803797E-3</v>
      </c>
      <c r="K66" s="4"/>
    </row>
    <row r="67" spans="1:11" ht="15.6">
      <c r="A67">
        <v>315</v>
      </c>
      <c r="B67">
        <v>0.49</v>
      </c>
      <c r="C67">
        <f t="shared" si="6"/>
        <v>0.48393808530834859</v>
      </c>
      <c r="D67">
        <f t="shared" si="7"/>
        <v>3.6746809728859142E-5</v>
      </c>
      <c r="E67">
        <f t="shared" si="8"/>
        <v>3.8294855268141602E-2</v>
      </c>
      <c r="K67" s="4"/>
    </row>
    <row r="68" spans="1:11" ht="15.6">
      <c r="A68">
        <v>337</v>
      </c>
      <c r="B68">
        <v>0.68</v>
      </c>
      <c r="C68">
        <f t="shared" si="6"/>
        <v>0.67785245831927077</v>
      </c>
      <c r="D68">
        <f t="shared" si="7"/>
        <v>4.611935270469546E-6</v>
      </c>
      <c r="E68">
        <f t="shared" si="8"/>
        <v>0.14875732631852867</v>
      </c>
      <c r="K68" s="4"/>
    </row>
    <row r="69" spans="1:11" ht="15.6">
      <c r="A69">
        <v>354</v>
      </c>
      <c r="B69">
        <v>0.8</v>
      </c>
      <c r="C69">
        <f t="shared" si="6"/>
        <v>0.79712642496721042</v>
      </c>
      <c r="D69">
        <f t="shared" si="7"/>
        <v>8.2574334690718742E-6</v>
      </c>
      <c r="E69">
        <f t="shared" si="8"/>
        <v>0.25572309750824679</v>
      </c>
      <c r="K69" s="4"/>
    </row>
    <row r="70" spans="1:11" ht="15.6">
      <c r="A70">
        <v>362</v>
      </c>
      <c r="B70">
        <v>0.84</v>
      </c>
      <c r="C70">
        <f t="shared" si="6"/>
        <v>0.84054885228789777</v>
      </c>
      <c r="D70">
        <f t="shared" si="7"/>
        <v>3.0123883393065534E-7</v>
      </c>
      <c r="E70">
        <f t="shared" si="8"/>
        <v>0.2977783545714861</v>
      </c>
      <c r="K70" s="4"/>
    </row>
    <row r="71" spans="1:11" ht="15.6">
      <c r="A71">
        <v>370</v>
      </c>
      <c r="B71">
        <v>0.87</v>
      </c>
      <c r="C71">
        <f t="shared" si="6"/>
        <v>0.87612162390239212</v>
      </c>
      <c r="D71">
        <f t="shared" si="7"/>
        <v>3.7474279202338597E-5</v>
      </c>
      <c r="E71">
        <f t="shared" si="8"/>
        <v>0.33141979736891564</v>
      </c>
      <c r="K71" s="4"/>
    </row>
    <row r="72" spans="1:11" ht="15.6">
      <c r="A72">
        <v>375</v>
      </c>
      <c r="B72">
        <v>0.89</v>
      </c>
      <c r="C72">
        <f t="shared" si="6"/>
        <v>0.89471970023498093</v>
      </c>
      <c r="D72">
        <f t="shared" si="7"/>
        <v>2.2275570308078922E-5</v>
      </c>
      <c r="E72">
        <f t="shared" si="8"/>
        <v>0.35484742590053536</v>
      </c>
      <c r="K72" s="4"/>
    </row>
    <row r="73" spans="1:11" ht="15.6">
      <c r="A73">
        <v>380</v>
      </c>
      <c r="B73">
        <v>0.9</v>
      </c>
      <c r="C73">
        <f t="shared" si="6"/>
        <v>0.91080986008461939</v>
      </c>
      <c r="D73">
        <f t="shared" si="7"/>
        <v>1.1685307504904712E-4</v>
      </c>
      <c r="E73">
        <f t="shared" si="8"/>
        <v>0.36686124016634519</v>
      </c>
      <c r="K73" s="4"/>
    </row>
    <row r="74" spans="1:11" ht="15.6">
      <c r="C74">
        <f>AVERAGE(C52:C73)</f>
        <v>0.29430928670950784</v>
      </c>
      <c r="D74">
        <f>SUM(D52:D73)</f>
        <v>8.9352662161525413E-4</v>
      </c>
      <c r="E74">
        <f>SUM(E52:E73)</f>
        <v>2.7912776102718331</v>
      </c>
      <c r="K74" s="4"/>
    </row>
    <row r="75" spans="1:11" ht="15.6">
      <c r="K75" s="4"/>
    </row>
    <row r="76" spans="1:11" ht="15.6">
      <c r="K76" s="4"/>
    </row>
    <row r="77" spans="1:11" ht="15.6">
      <c r="K77" s="4"/>
    </row>
    <row r="78" spans="1:11" ht="15.6">
      <c r="K78" s="4"/>
    </row>
    <row r="79" spans="1:11" ht="15.6">
      <c r="A79" t="s">
        <v>108</v>
      </c>
      <c r="K79" s="4"/>
    </row>
    <row r="80" spans="1:11" ht="15.6">
      <c r="A80" t="s">
        <v>109</v>
      </c>
      <c r="B80" t="s">
        <v>53</v>
      </c>
      <c r="K80" s="4"/>
    </row>
    <row r="81" spans="1:11" ht="15.6">
      <c r="A81" t="s">
        <v>29</v>
      </c>
      <c r="B81" t="s">
        <v>43</v>
      </c>
      <c r="C81" t="s">
        <v>99</v>
      </c>
      <c r="D81" t="s">
        <v>100</v>
      </c>
      <c r="E81" t="s">
        <v>101</v>
      </c>
      <c r="K81" s="4"/>
    </row>
    <row r="82" spans="1:11" ht="15.6">
      <c r="A82">
        <v>0</v>
      </c>
      <c r="B82">
        <v>0</v>
      </c>
      <c r="C82">
        <f>(1/(1+EXP(($K$82*$K$83*$K$86/$K$88)-($K$82*$K$87*A82))))</f>
        <v>1.2351544107932987E-3</v>
      </c>
      <c r="D82">
        <f>(B82-C82)^2</f>
        <v>1.5256064185021409E-6</v>
      </c>
      <c r="E82">
        <f>(B82-C$100)^2</f>
        <v>0.16951261421350997</v>
      </c>
      <c r="J82" t="s">
        <v>102</v>
      </c>
      <c r="K82" s="4">
        <v>2.7516971221941899E-4</v>
      </c>
    </row>
    <row r="83" spans="1:11" ht="15.6">
      <c r="A83">
        <v>20</v>
      </c>
      <c r="B83">
        <v>0</v>
      </c>
      <c r="C83">
        <f t="shared" ref="C83:C99" si="9">(1/(1+EXP(($K$82*$K$83*$K$86/$K$88)-($K$82*$K$87*A83))))</f>
        <v>2.139622515291094E-3</v>
      </c>
      <c r="D83">
        <f t="shared" ref="D83:D99" si="10">(B83-C83)^2</f>
        <v>4.5779845079405876E-6</v>
      </c>
      <c r="E83">
        <f t="shared" ref="E83:E99" si="11">(B83-C$100)^2</f>
        <v>0.16951261421350997</v>
      </c>
      <c r="J83" t="s">
        <v>103</v>
      </c>
      <c r="K83" s="4">
        <v>24331.6145366817</v>
      </c>
    </row>
    <row r="84" spans="1:11" ht="15.6">
      <c r="A84">
        <v>30</v>
      </c>
      <c r="B84">
        <v>0</v>
      </c>
      <c r="C84">
        <f t="shared" si="9"/>
        <v>2.8154486473182402E-3</v>
      </c>
      <c r="D84">
        <f t="shared" si="10"/>
        <v>7.9267510856861081E-6</v>
      </c>
      <c r="E84">
        <f t="shared" si="11"/>
        <v>0.16951261421350997</v>
      </c>
      <c r="J84" s="6" t="s">
        <v>104</v>
      </c>
      <c r="K84" s="7">
        <f>1-(D100/E100)</f>
        <v>0.99799501297839488</v>
      </c>
    </row>
    <row r="85" spans="1:11" ht="15.6">
      <c r="A85">
        <v>40</v>
      </c>
      <c r="B85">
        <v>0</v>
      </c>
      <c r="C85">
        <f t="shared" si="9"/>
        <v>3.7039504191588701E-3</v>
      </c>
      <c r="D85">
        <f t="shared" si="10"/>
        <v>1.3719248707587169E-5</v>
      </c>
      <c r="E85">
        <f t="shared" si="11"/>
        <v>0.16951261421350997</v>
      </c>
      <c r="K85" s="4"/>
    </row>
    <row r="86" spans="1:11" ht="15.6">
      <c r="A86">
        <v>50</v>
      </c>
      <c r="B86">
        <v>0</v>
      </c>
      <c r="C86">
        <f t="shared" si="9"/>
        <v>4.8714765750082333E-3</v>
      </c>
      <c r="D86">
        <f t="shared" si="10"/>
        <v>2.3731284020853948E-5</v>
      </c>
      <c r="E86">
        <f t="shared" si="11"/>
        <v>0.16951261421350997</v>
      </c>
      <c r="J86" s="27" t="s">
        <v>105</v>
      </c>
      <c r="K86" s="28">
        <v>4</v>
      </c>
    </row>
    <row r="87" spans="1:11" ht="15.6">
      <c r="A87">
        <v>60</v>
      </c>
      <c r="B87">
        <v>0</v>
      </c>
      <c r="C87">
        <f t="shared" si="9"/>
        <v>6.4046541083209061E-3</v>
      </c>
      <c r="D87">
        <f t="shared" si="10"/>
        <v>4.1019594247231861E-5</v>
      </c>
      <c r="E87">
        <f t="shared" si="11"/>
        <v>0.16951261421350997</v>
      </c>
      <c r="J87" s="27" t="s">
        <v>12</v>
      </c>
      <c r="K87" s="28">
        <v>100</v>
      </c>
    </row>
    <row r="88" spans="1:11" ht="15.6">
      <c r="A88">
        <v>90</v>
      </c>
      <c r="B88">
        <v>0</v>
      </c>
      <c r="C88">
        <f t="shared" si="9"/>
        <v>1.4502922790554304E-2</v>
      </c>
      <c r="D88">
        <f t="shared" si="10"/>
        <v>2.1033476946877945E-4</v>
      </c>
      <c r="E88">
        <f t="shared" si="11"/>
        <v>0.16951261421350997</v>
      </c>
      <c r="J88" s="27" t="s">
        <v>8</v>
      </c>
      <c r="K88" s="28">
        <v>4</v>
      </c>
    </row>
    <row r="89" spans="1:11" ht="15.6">
      <c r="A89">
        <v>150</v>
      </c>
      <c r="B89">
        <v>0.02</v>
      </c>
      <c r="C89">
        <f t="shared" si="9"/>
        <v>7.1241205408253197E-2</v>
      </c>
      <c r="D89">
        <f t="shared" si="10"/>
        <v>2.6256611316907963E-3</v>
      </c>
      <c r="E89">
        <f t="shared" si="11"/>
        <v>0.15344385036367544</v>
      </c>
      <c r="J89" s="27" t="s">
        <v>107</v>
      </c>
      <c r="K89" s="28">
        <v>2</v>
      </c>
    </row>
    <row r="90" spans="1:11" ht="15.6">
      <c r="A90">
        <v>210</v>
      </c>
      <c r="B90">
        <v>0.28999999999999998</v>
      </c>
      <c r="C90">
        <f t="shared" si="9"/>
        <v>0.28561864605382753</v>
      </c>
      <c r="D90">
        <f t="shared" si="10"/>
        <v>1.9196262401640903E-5</v>
      </c>
      <c r="E90">
        <f t="shared" si="11"/>
        <v>1.4815538390909598E-2</v>
      </c>
      <c r="J90" s="27" t="s">
        <v>106</v>
      </c>
      <c r="K90" s="28">
        <v>18</v>
      </c>
    </row>
    <row r="91" spans="1:11" ht="15.6">
      <c r="A91">
        <v>235</v>
      </c>
      <c r="B91">
        <v>0.45</v>
      </c>
      <c r="C91">
        <f t="shared" si="9"/>
        <v>0.44303956371259917</v>
      </c>
      <c r="D91">
        <f t="shared" si="10"/>
        <v>4.8447673310966381E-5</v>
      </c>
      <c r="E91">
        <f t="shared" si="11"/>
        <v>1.465427592233522E-3</v>
      </c>
      <c r="K91" s="4"/>
    </row>
    <row r="92" spans="1:11" ht="15.6">
      <c r="A92">
        <v>260</v>
      </c>
      <c r="B92">
        <v>0.63</v>
      </c>
      <c r="C92">
        <f t="shared" si="9"/>
        <v>0.61279807445199108</v>
      </c>
      <c r="D92">
        <f t="shared" si="10"/>
        <v>2.9590624255924208E-4</v>
      </c>
      <c r="E92">
        <f t="shared" si="11"/>
        <v>4.7646552943722942E-2</v>
      </c>
      <c r="K92" s="4"/>
    </row>
    <row r="93" spans="1:11" ht="15.6">
      <c r="A93">
        <v>280</v>
      </c>
      <c r="B93">
        <v>0.74</v>
      </c>
      <c r="C93">
        <f t="shared" si="9"/>
        <v>0.73290830501890825</v>
      </c>
      <c r="D93">
        <f t="shared" si="10"/>
        <v>5.0292137704841845E-5</v>
      </c>
      <c r="E93">
        <f t="shared" si="11"/>
        <v>0.10776835176963313</v>
      </c>
      <c r="K93" s="4"/>
    </row>
    <row r="94" spans="1:11" ht="15.6">
      <c r="A94">
        <v>290</v>
      </c>
      <c r="B94">
        <v>0.79</v>
      </c>
      <c r="C94">
        <f t="shared" si="9"/>
        <v>0.78323148951735011</v>
      </c>
      <c r="D94">
        <f t="shared" si="10"/>
        <v>4.5812734153741924E-5</v>
      </c>
      <c r="E94">
        <f t="shared" si="11"/>
        <v>0.14309644214504688</v>
      </c>
      <c r="K94" s="4"/>
    </row>
    <row r="95" spans="1:11" ht="15.6">
      <c r="A95">
        <v>300</v>
      </c>
      <c r="B95">
        <v>0.83</v>
      </c>
      <c r="C95">
        <f t="shared" si="9"/>
        <v>0.82632005949592024</v>
      </c>
      <c r="D95">
        <f t="shared" si="10"/>
        <v>1.3541962113566467E-5</v>
      </c>
      <c r="E95">
        <f t="shared" si="11"/>
        <v>0.17495891444537781</v>
      </c>
      <c r="K95" s="4"/>
    </row>
    <row r="96" spans="1:11" ht="15.6">
      <c r="A96">
        <v>315</v>
      </c>
      <c r="B96">
        <v>0.87</v>
      </c>
      <c r="C96">
        <f t="shared" si="9"/>
        <v>0.87788180351098888</v>
      </c>
      <c r="D96">
        <f t="shared" si="10"/>
        <v>6.2122826585836682E-5</v>
      </c>
      <c r="E96">
        <f t="shared" si="11"/>
        <v>0.21002138674570883</v>
      </c>
      <c r="K96" s="4"/>
    </row>
    <row r="97" spans="1:11" ht="15.6">
      <c r="A97">
        <v>320</v>
      </c>
      <c r="B97">
        <v>0.88</v>
      </c>
      <c r="C97">
        <f t="shared" si="9"/>
        <v>0.89188169215809621</v>
      </c>
      <c r="D97">
        <f t="shared" si="10"/>
        <v>1.4117460853976479E-4</v>
      </c>
      <c r="E97">
        <f t="shared" si="11"/>
        <v>0.21928700482079158</v>
      </c>
      <c r="K97" s="4"/>
    </row>
    <row r="98" spans="1:11" ht="15.6">
      <c r="A98">
        <v>330</v>
      </c>
      <c r="B98">
        <v>0.89</v>
      </c>
      <c r="C98">
        <f t="shared" si="9"/>
        <v>0.91569769946922763</v>
      </c>
      <c r="D98">
        <f t="shared" si="10"/>
        <v>6.6037175801074151E-4</v>
      </c>
      <c r="E98">
        <f t="shared" si="11"/>
        <v>0.22875262289587434</v>
      </c>
      <c r="K98" s="4"/>
    </row>
    <row r="99" spans="1:11" ht="15.6">
      <c r="A99">
        <v>340</v>
      </c>
      <c r="B99">
        <v>0.9</v>
      </c>
      <c r="C99">
        <f t="shared" si="9"/>
        <v>0.93465196416192153</v>
      </c>
      <c r="D99">
        <f t="shared" si="10"/>
        <v>1.2007586202790927E-3</v>
      </c>
      <c r="E99">
        <f t="shared" si="11"/>
        <v>0.2384182409709571</v>
      </c>
      <c r="K99" s="4"/>
    </row>
    <row r="100" spans="1:11" ht="15.6">
      <c r="C100">
        <f>AVERAGE(C82:C99)</f>
        <v>0.41171909624586273</v>
      </c>
      <c r="D100">
        <f>SUM(D82:D99)</f>
        <v>5.4661211958068126E-3</v>
      </c>
      <c r="E100">
        <f>SUM(E82:E99)</f>
        <v>2.7262626325785013</v>
      </c>
      <c r="K100" s="4"/>
    </row>
    <row r="101" spans="1:11" ht="15.6">
      <c r="K101" s="4"/>
    </row>
    <row r="102" spans="1:11" ht="15.6">
      <c r="K102" s="4"/>
    </row>
    <row r="103" spans="1:11" ht="15.6">
      <c r="K103" s="4"/>
    </row>
    <row r="104" spans="1:11" ht="15.6">
      <c r="K104" s="4"/>
    </row>
    <row r="105" spans="1:11" ht="15.6">
      <c r="B105" t="s">
        <v>55</v>
      </c>
      <c r="K105" s="4"/>
    </row>
    <row r="106" spans="1:11" ht="15.6">
      <c r="A106" t="s">
        <v>29</v>
      </c>
      <c r="B106" t="s">
        <v>43</v>
      </c>
      <c r="C106" t="s">
        <v>99</v>
      </c>
      <c r="D106" t="s">
        <v>100</v>
      </c>
      <c r="E106" t="s">
        <v>101</v>
      </c>
      <c r="K106" s="4"/>
    </row>
    <row r="107" spans="1:11" ht="15.6">
      <c r="A107">
        <v>0</v>
      </c>
      <c r="B107">
        <v>0</v>
      </c>
      <c r="C107">
        <f>(1/(1+EXP(($K$107*$K$108*$K$112/$K$114)-($K$107*$K$113*A107))))</f>
        <v>3.4695062380794249E-2</v>
      </c>
      <c r="D107">
        <f>(B107-C107)^2</f>
        <v>1.2037473536072043E-3</v>
      </c>
      <c r="E107">
        <f>(B107-C$107)^2</f>
        <v>1.2037473536072043E-3</v>
      </c>
      <c r="J107" t="s">
        <v>102</v>
      </c>
      <c r="K107" s="4">
        <v>7.5040668623159901E-4</v>
      </c>
    </row>
    <row r="108" spans="1:11" ht="15.6">
      <c r="A108">
        <v>10</v>
      </c>
      <c r="B108">
        <v>0</v>
      </c>
      <c r="C108">
        <f t="shared" ref="C108:C115" si="12">(1/(1+EXP(($K$107*$K$108*$K$112/$K$114)-($K$107*$K$113*A108))))</f>
        <v>7.0735885461097089E-2</v>
      </c>
      <c r="D108">
        <f t="shared" ref="D108:D115" si="13">(B108-C108)^2</f>
        <v>5.0035654919654464E-3</v>
      </c>
      <c r="E108">
        <f t="shared" ref="E108:E115" si="14">(B108-C$107)^2</f>
        <v>1.2037473536072043E-3</v>
      </c>
      <c r="J108" t="s">
        <v>103</v>
      </c>
      <c r="K108" s="4">
        <v>13296.1768371116</v>
      </c>
    </row>
    <row r="109" spans="1:11" ht="15.6">
      <c r="A109">
        <v>20</v>
      </c>
      <c r="B109">
        <v>0.08</v>
      </c>
      <c r="C109">
        <f t="shared" si="12"/>
        <v>0.13883101295012906</v>
      </c>
      <c r="D109">
        <f t="shared" si="13"/>
        <v>3.4610880847382531E-3</v>
      </c>
      <c r="E109">
        <f t="shared" si="14"/>
        <v>2.0525373726801247E-3</v>
      </c>
      <c r="K109" s="4"/>
    </row>
    <row r="110" spans="1:11" ht="15.6">
      <c r="A110">
        <v>30</v>
      </c>
      <c r="B110">
        <v>0.32</v>
      </c>
      <c r="C110">
        <f t="shared" si="12"/>
        <v>0.25452422740439801</v>
      </c>
      <c r="D110">
        <f t="shared" si="13"/>
        <v>4.2870767969909861E-3</v>
      </c>
      <c r="E110">
        <f t="shared" si="14"/>
        <v>8.1398907429898901E-2</v>
      </c>
      <c r="J110" s="6" t="s">
        <v>104</v>
      </c>
      <c r="K110" s="7">
        <f>1-(D116/E116)</f>
        <v>0.98557545892374787</v>
      </c>
    </row>
    <row r="111" spans="1:11" ht="15.6">
      <c r="A111">
        <v>48</v>
      </c>
      <c r="B111">
        <v>0.62</v>
      </c>
      <c r="C111">
        <f t="shared" si="12"/>
        <v>0.56859116007670396</v>
      </c>
      <c r="D111">
        <f t="shared" si="13"/>
        <v>2.6428688222590764E-3</v>
      </c>
      <c r="E111">
        <f t="shared" si="14"/>
        <v>0.34258187000142237</v>
      </c>
      <c r="K111" s="4"/>
    </row>
    <row r="112" spans="1:11" ht="15.6">
      <c r="A112">
        <v>60</v>
      </c>
      <c r="B112">
        <v>0.74</v>
      </c>
      <c r="C112">
        <f t="shared" si="12"/>
        <v>0.76433474441617899</v>
      </c>
      <c r="D112">
        <f t="shared" si="13"/>
        <v>5.9217978580075495E-4</v>
      </c>
      <c r="E112">
        <f t="shared" si="14"/>
        <v>0.49745505503003173</v>
      </c>
      <c r="J112" s="27" t="s">
        <v>105</v>
      </c>
      <c r="K112" s="28">
        <v>4</v>
      </c>
    </row>
    <row r="113" spans="1:11" ht="15.6">
      <c r="A113">
        <v>85</v>
      </c>
      <c r="B113">
        <v>0.86</v>
      </c>
      <c r="C113">
        <f t="shared" si="12"/>
        <v>0.95489508117309629</v>
      </c>
      <c r="D113">
        <f t="shared" si="13"/>
        <v>9.0050764308485364E-3</v>
      </c>
      <c r="E113">
        <f t="shared" si="14"/>
        <v>0.68112824005864114</v>
      </c>
      <c r="J113" s="27" t="s">
        <v>12</v>
      </c>
      <c r="K113" s="28">
        <v>100</v>
      </c>
    </row>
    <row r="114" spans="1:11" ht="15.6">
      <c r="A114">
        <v>100</v>
      </c>
      <c r="B114">
        <v>0.89</v>
      </c>
      <c r="C114">
        <f t="shared" si="12"/>
        <v>0.98490557340041907</v>
      </c>
      <c r="D114">
        <f t="shared" si="13"/>
        <v>9.0070678624623278E-3</v>
      </c>
      <c r="E114">
        <f t="shared" si="14"/>
        <v>0.73154653631579347</v>
      </c>
      <c r="J114" s="27" t="s">
        <v>8</v>
      </c>
      <c r="K114" s="28">
        <v>12</v>
      </c>
    </row>
    <row r="115" spans="1:11" ht="15.6">
      <c r="A115">
        <v>120</v>
      </c>
      <c r="B115">
        <v>0.9</v>
      </c>
      <c r="C115">
        <f t="shared" si="12"/>
        <v>0.99659477616013215</v>
      </c>
      <c r="D115">
        <f t="shared" si="13"/>
        <v>9.3305507814260297E-3</v>
      </c>
      <c r="E115">
        <f t="shared" si="14"/>
        <v>0.74875263506817769</v>
      </c>
      <c r="J115" s="27" t="s">
        <v>106</v>
      </c>
      <c r="K115" s="28">
        <v>9</v>
      </c>
    </row>
    <row r="116" spans="1:11" ht="15.6">
      <c r="C116">
        <f>AVERAGE(C107:C115)</f>
        <v>0.52978972482477205</v>
      </c>
      <c r="D116">
        <f>SUM(D107:D115)</f>
        <v>4.453322141009862E-2</v>
      </c>
      <c r="E116">
        <f>SUM(E107:E115)</f>
        <v>3.0873232759838598</v>
      </c>
      <c r="J116" s="27" t="s">
        <v>107</v>
      </c>
      <c r="K116" s="28">
        <v>2</v>
      </c>
    </row>
    <row r="117" spans="1:11" ht="15.6">
      <c r="K117" s="4"/>
    </row>
    <row r="118" spans="1:11" ht="15.6">
      <c r="K118" s="4"/>
    </row>
    <row r="119" spans="1:11" ht="15.6">
      <c r="K119" s="4"/>
    </row>
    <row r="120" spans="1:11" ht="15.6">
      <c r="K120" s="4"/>
    </row>
    <row r="121" spans="1:11" ht="15.6">
      <c r="B121" t="s">
        <v>64</v>
      </c>
      <c r="K121" s="4"/>
    </row>
    <row r="122" spans="1:11" ht="15.6">
      <c r="A122" t="s">
        <v>29</v>
      </c>
      <c r="B122" t="s">
        <v>43</v>
      </c>
      <c r="C122" t="s">
        <v>99</v>
      </c>
      <c r="D122" t="s">
        <v>100</v>
      </c>
      <c r="E122" t="s">
        <v>101</v>
      </c>
      <c r="K122" s="4"/>
    </row>
    <row r="123" spans="1:11" ht="15.6">
      <c r="A123">
        <v>0</v>
      </c>
      <c r="B123">
        <v>0</v>
      </c>
      <c r="C123">
        <f>(1/(1+EXP(($K$123*$K$124*$K$128/$K$130)-($K$123*$K$129*A123))))</f>
        <v>1.2148493262990513E-2</v>
      </c>
      <c r="D123">
        <f>(B123-C123)^2</f>
        <v>1.4758588856092586E-4</v>
      </c>
      <c r="E123">
        <f>(B123-C$135)^2</f>
        <v>0.646226747243421</v>
      </c>
      <c r="J123" t="s">
        <v>102</v>
      </c>
      <c r="K123" s="4">
        <v>4.1493322109067803E-4</v>
      </c>
    </row>
    <row r="124" spans="1:11" ht="15.6">
      <c r="A124">
        <v>10</v>
      </c>
      <c r="B124">
        <v>0</v>
      </c>
      <c r="C124">
        <f t="shared" ref="C124:C139" si="15">(1/(1+EXP(($K$123*$K$124*$K$128/$K$130)-($K$123*$K$129*A124))))</f>
        <v>1.4907653830641607E-2</v>
      </c>
      <c r="D124">
        <f t="shared" ref="D124:D134" si="16">(B124-C124)^2</f>
        <v>2.2223814273424341E-4</v>
      </c>
      <c r="E124">
        <f t="shared" ref="E124:E134" si="17">(B124-C$135)^2</f>
        <v>0.646226747243421</v>
      </c>
      <c r="J124" t="s">
        <v>103</v>
      </c>
      <c r="K124" s="4">
        <v>21200.169160936199</v>
      </c>
    </row>
    <row r="125" spans="1:11" ht="15.6">
      <c r="A125">
        <v>22</v>
      </c>
      <c r="B125">
        <v>0</v>
      </c>
      <c r="C125">
        <f t="shared" si="15"/>
        <v>1.9041661601707983E-2</v>
      </c>
      <c r="D125">
        <f t="shared" si="16"/>
        <v>3.6258487655396027E-4</v>
      </c>
      <c r="E125">
        <f t="shared" si="17"/>
        <v>0.646226747243421</v>
      </c>
      <c r="K125" s="4">
        <v>0</v>
      </c>
    </row>
    <row r="126" spans="1:11" ht="15.6">
      <c r="A126">
        <v>30</v>
      </c>
      <c r="B126">
        <v>0</v>
      </c>
      <c r="C126">
        <f t="shared" si="15"/>
        <v>2.2402457604440883E-2</v>
      </c>
      <c r="D126">
        <f t="shared" si="16"/>
        <v>5.0187010671877115E-4</v>
      </c>
      <c r="E126">
        <f t="shared" si="17"/>
        <v>0.646226747243421</v>
      </c>
      <c r="J126" s="6" t="s">
        <v>104</v>
      </c>
      <c r="K126" s="7">
        <f>1-(D140/E140)</f>
        <v>0.99631795254169275</v>
      </c>
    </row>
    <row r="127" spans="1:11" ht="15.6">
      <c r="A127">
        <v>41</v>
      </c>
      <c r="B127">
        <v>0</v>
      </c>
      <c r="C127">
        <f t="shared" si="15"/>
        <v>2.798468578035317E-2</v>
      </c>
      <c r="D127">
        <f t="shared" si="16"/>
        <v>7.8314263822510093E-4</v>
      </c>
      <c r="E127">
        <f t="shared" si="17"/>
        <v>0.646226747243421</v>
      </c>
      <c r="K127" s="4"/>
    </row>
    <row r="128" spans="1:11" ht="15.6">
      <c r="A128">
        <v>50</v>
      </c>
      <c r="B128">
        <v>0</v>
      </c>
      <c r="C128">
        <f t="shared" si="15"/>
        <v>3.3536984520429851E-2</v>
      </c>
      <c r="D128">
        <f t="shared" si="16"/>
        <v>1.1247293307235515E-3</v>
      </c>
      <c r="E128">
        <f t="shared" si="17"/>
        <v>0.646226747243421</v>
      </c>
      <c r="J128" s="27" t="s">
        <v>105</v>
      </c>
      <c r="K128" s="28">
        <v>4</v>
      </c>
    </row>
    <row r="129" spans="1:11" ht="15.6">
      <c r="A129">
        <v>60</v>
      </c>
      <c r="B129">
        <v>0</v>
      </c>
      <c r="C129">
        <f t="shared" si="15"/>
        <v>4.0952506691984206E-2</v>
      </c>
      <c r="D129">
        <f t="shared" si="16"/>
        <v>1.6771078043570111E-3</v>
      </c>
      <c r="E129">
        <f t="shared" si="17"/>
        <v>0.646226747243421</v>
      </c>
      <c r="J129" s="27" t="s">
        <v>12</v>
      </c>
      <c r="K129" s="28">
        <v>50</v>
      </c>
    </row>
    <row r="130" spans="1:11" ht="15.6">
      <c r="A130">
        <v>80</v>
      </c>
      <c r="B130">
        <v>0.01</v>
      </c>
      <c r="C130">
        <f t="shared" si="15"/>
        <v>6.0734039457547899E-2</v>
      </c>
      <c r="D130">
        <f t="shared" si="16"/>
        <v>2.5739427596800269E-3</v>
      </c>
      <c r="E130">
        <f t="shared" si="17"/>
        <v>0.63024910130574185</v>
      </c>
      <c r="J130" s="27" t="s">
        <v>8</v>
      </c>
      <c r="K130" s="28">
        <v>8</v>
      </c>
    </row>
    <row r="131" spans="1:11" ht="15.6">
      <c r="A131">
        <v>100</v>
      </c>
      <c r="B131">
        <v>0.05</v>
      </c>
      <c r="C131">
        <f t="shared" si="15"/>
        <v>8.918222240289024E-2</v>
      </c>
      <c r="D131">
        <f t="shared" si="16"/>
        <v>1.5352465524295536E-3</v>
      </c>
      <c r="E131">
        <f t="shared" si="17"/>
        <v>0.56833851755502551</v>
      </c>
      <c r="J131" s="27" t="s">
        <v>106</v>
      </c>
      <c r="K131" s="28">
        <v>12</v>
      </c>
    </row>
    <row r="132" spans="1:11" ht="15.6">
      <c r="A132">
        <v>155</v>
      </c>
      <c r="B132">
        <v>0.26</v>
      </c>
      <c r="C132">
        <f t="shared" si="15"/>
        <v>0.2345859695052244</v>
      </c>
      <c r="D132">
        <f t="shared" si="16"/>
        <v>6.4587294598938483E-4</v>
      </c>
      <c r="E132">
        <f t="shared" si="17"/>
        <v>0.29580795286376504</v>
      </c>
      <c r="J132" s="27" t="s">
        <v>107</v>
      </c>
      <c r="K132" s="28">
        <v>2</v>
      </c>
    </row>
    <row r="133" spans="1:11" ht="15.6">
      <c r="A133">
        <v>210</v>
      </c>
      <c r="B133">
        <v>0.54</v>
      </c>
      <c r="C133">
        <f t="shared" si="15"/>
        <v>0.48961938749353612</v>
      </c>
      <c r="D133">
        <f t="shared" si="16"/>
        <v>2.5382061165264685E-3</v>
      </c>
      <c r="E133">
        <f t="shared" si="17"/>
        <v>6.9633866608751024E-2</v>
      </c>
      <c r="K133" s="4"/>
    </row>
    <row r="134" spans="1:11" ht="15.6">
      <c r="A134">
        <v>240</v>
      </c>
      <c r="B134">
        <v>0.66</v>
      </c>
      <c r="C134">
        <f t="shared" si="15"/>
        <v>0.64126789409112939</v>
      </c>
      <c r="D134">
        <f t="shared" si="16"/>
        <v>3.5089179178114649E-4</v>
      </c>
      <c r="E134">
        <f t="shared" si="17"/>
        <v>2.0702115356602165E-2</v>
      </c>
      <c r="K134" s="4"/>
    </row>
    <row r="135" spans="1:11" ht="15.6">
      <c r="A135">
        <v>280</v>
      </c>
      <c r="B135">
        <v>0.79</v>
      </c>
      <c r="C135">
        <f t="shared" si="15"/>
        <v>0.80388229688395363</v>
      </c>
      <c r="D135">
        <f t="shared" ref="D135:D139" si="18">(B135-C135)^2</f>
        <v>1.9271816677422765E-4</v>
      </c>
      <c r="E135">
        <f t="shared" ref="E135:E139" si="19">(B135-C$135)^2</f>
        <v>1.9271816677422765E-4</v>
      </c>
      <c r="K135" s="4"/>
    </row>
    <row r="136" spans="1:11" ht="15.6">
      <c r="A136">
        <v>300</v>
      </c>
      <c r="B136">
        <v>0.83</v>
      </c>
      <c r="C136">
        <f t="shared" si="15"/>
        <v>0.86124522093170919</v>
      </c>
      <c r="D136">
        <f t="shared" si="18"/>
        <v>9.7626383107132049E-4</v>
      </c>
      <c r="E136">
        <f t="shared" si="19"/>
        <v>6.821344160579363E-4</v>
      </c>
      <c r="K136" s="4"/>
    </row>
    <row r="137" spans="1:11" ht="15.6">
      <c r="A137">
        <v>320</v>
      </c>
      <c r="B137">
        <v>0.86</v>
      </c>
      <c r="C137">
        <f t="shared" si="15"/>
        <v>0.90383699413729923</v>
      </c>
      <c r="D137">
        <f t="shared" si="18"/>
        <v>1.9216820549936085E-3</v>
      </c>
      <c r="E137">
        <f t="shared" si="19"/>
        <v>3.1491966030207192E-3</v>
      </c>
      <c r="K137" s="4"/>
    </row>
    <row r="138" spans="1:11" ht="15.6">
      <c r="A138">
        <v>340</v>
      </c>
      <c r="B138">
        <v>0.88</v>
      </c>
      <c r="C138">
        <f t="shared" si="15"/>
        <v>0.93435147338033198</v>
      </c>
      <c r="D138">
        <f t="shared" si="18"/>
        <v>2.9540826586129348E-3</v>
      </c>
      <c r="E138">
        <f t="shared" si="19"/>
        <v>5.7939047276625759E-3</v>
      </c>
      <c r="K138" s="4"/>
    </row>
    <row r="139" spans="1:11" ht="15.6">
      <c r="A139">
        <v>370</v>
      </c>
      <c r="B139">
        <v>0.9</v>
      </c>
      <c r="C139">
        <f t="shared" si="15"/>
        <v>0.96366412782799826</v>
      </c>
      <c r="D139">
        <f t="shared" si="18"/>
        <v>4.0531211720996997E-3</v>
      </c>
      <c r="E139">
        <f t="shared" si="19"/>
        <v>9.2386128523044338E-3</v>
      </c>
      <c r="K139" s="4"/>
    </row>
    <row r="140" spans="1:11" ht="15.6">
      <c r="C140">
        <f>AVERAGE(C123:C139)</f>
        <v>0.36196141584730401</v>
      </c>
      <c r="D140">
        <f>AVERAGE(D123:D139)</f>
        <v>1.3271345198724669E-3</v>
      </c>
      <c r="E140">
        <f>AVERAGE(E123:E139)</f>
        <v>0.36043384418586183</v>
      </c>
      <c r="K140" s="4"/>
    </row>
    <row r="141" spans="1:11" ht="15.6">
      <c r="B141" t="s">
        <v>66</v>
      </c>
      <c r="K141" s="4"/>
    </row>
    <row r="142" spans="1:11" ht="15.6">
      <c r="A142" t="s">
        <v>29</v>
      </c>
      <c r="B142" t="s">
        <v>43</v>
      </c>
      <c r="C142" t="s">
        <v>99</v>
      </c>
      <c r="D142" t="s">
        <v>100</v>
      </c>
      <c r="E142" t="s">
        <v>101</v>
      </c>
      <c r="K142" s="4"/>
    </row>
    <row r="143" spans="1:11" ht="15.6">
      <c r="A143">
        <v>0</v>
      </c>
      <c r="B143">
        <v>0</v>
      </c>
      <c r="C143">
        <f>(1/(1+EXP(($K$143*$K$144*$K$148/$K$149)-($K$143*$K$150*A143))))</f>
        <v>2.2776532621103112E-2</v>
      </c>
      <c r="D143">
        <f>(B143-C143)^2</f>
        <v>5.1877043824017418E-4</v>
      </c>
      <c r="E143">
        <f>(B143-C$153)^2</f>
        <v>0.26528274538947111</v>
      </c>
      <c r="J143" t="s">
        <v>102</v>
      </c>
      <c r="K143" s="4">
        <v>5.9449010636684104E-4</v>
      </c>
    </row>
    <row r="144" spans="1:11" ht="15.6">
      <c r="A144">
        <v>10</v>
      </c>
      <c r="B144">
        <v>0</v>
      </c>
      <c r="C144">
        <f t="shared" ref="C144:C152" si="20">(1/(1+EXP(($K$143*$K$144*$K$148/$K$149)-($K$143*$K$150*A144))))</f>
        <v>5.3796489480314756E-2</v>
      </c>
      <c r="D144">
        <f t="shared" ref="D144:D152" si="21">(B144-C144)^2</f>
        <v>2.894062280405616E-3</v>
      </c>
      <c r="E144">
        <f t="shared" ref="E144:E152" si="22">(B144-C$153)^2</f>
        <v>0.26528274538947111</v>
      </c>
      <c r="J144" t="s">
        <v>103</v>
      </c>
      <c r="K144" s="4">
        <v>12646.079653348301</v>
      </c>
    </row>
    <row r="145" spans="1:11" ht="15.6">
      <c r="A145">
        <v>15</v>
      </c>
      <c r="B145">
        <v>0.01</v>
      </c>
      <c r="C145">
        <f t="shared" si="20"/>
        <v>8.1556685617690111E-2</v>
      </c>
      <c r="D145">
        <f t="shared" si="21"/>
        <v>5.1203592565889399E-3</v>
      </c>
      <c r="E145">
        <f t="shared" si="22"/>
        <v>0.25508162418079733</v>
      </c>
      <c r="K145" s="4"/>
    </row>
    <row r="146" spans="1:11" ht="15.6">
      <c r="A146">
        <v>25</v>
      </c>
      <c r="B146">
        <v>0.2</v>
      </c>
      <c r="C146">
        <f t="shared" si="20"/>
        <v>0.17804538071040138</v>
      </c>
      <c r="D146">
        <f t="shared" si="21"/>
        <v>4.8200530815121633E-4</v>
      </c>
      <c r="E146">
        <f t="shared" si="22"/>
        <v>9.9260321215995803E-2</v>
      </c>
      <c r="J146" s="6" t="s">
        <v>104</v>
      </c>
      <c r="K146" s="7">
        <f>1-(D153/E153)</f>
        <v>0.98335962786980935</v>
      </c>
    </row>
    <row r="147" spans="1:11" ht="15.6">
      <c r="A147">
        <v>40</v>
      </c>
      <c r="B147">
        <v>0.48</v>
      </c>
      <c r="C147">
        <f t="shared" si="20"/>
        <v>0.4521360199439346</v>
      </c>
      <c r="D147">
        <f t="shared" si="21"/>
        <v>7.7640138456480949E-4</v>
      </c>
      <c r="E147">
        <f t="shared" si="22"/>
        <v>1.228927373130403E-3</v>
      </c>
      <c r="K147" s="4"/>
    </row>
    <row r="148" spans="1:11" ht="15.6">
      <c r="A148">
        <v>50</v>
      </c>
      <c r="B148">
        <v>0.69</v>
      </c>
      <c r="C148">
        <f t="shared" si="20"/>
        <v>0.66811929893893951</v>
      </c>
      <c r="D148">
        <f t="shared" si="21"/>
        <v>4.7876507892349131E-4</v>
      </c>
      <c r="E148">
        <f t="shared" si="22"/>
        <v>3.0605381990981326E-2</v>
      </c>
      <c r="J148" s="27" t="s">
        <v>105</v>
      </c>
      <c r="K148" s="28">
        <v>4</v>
      </c>
    </row>
    <row r="149" spans="1:11" ht="15.6">
      <c r="A149">
        <v>60</v>
      </c>
      <c r="B149">
        <v>0.83</v>
      </c>
      <c r="C149">
        <f t="shared" si="20"/>
        <v>0.83081668423059007</v>
      </c>
      <c r="D149">
        <f t="shared" si="21"/>
        <v>6.6697313249456737E-7</v>
      </c>
      <c r="E149">
        <f t="shared" si="22"/>
        <v>9.9189685069548617E-2</v>
      </c>
      <c r="J149" s="27" t="s">
        <v>8</v>
      </c>
      <c r="K149" s="28">
        <v>8</v>
      </c>
    </row>
    <row r="150" spans="1:11" ht="15.6">
      <c r="A150">
        <v>70</v>
      </c>
      <c r="B150">
        <v>0.88</v>
      </c>
      <c r="C150">
        <f t="shared" si="20"/>
        <v>0.92295291542696278</v>
      </c>
      <c r="D150">
        <f t="shared" si="21"/>
        <v>1.8449529436758171E-3</v>
      </c>
      <c r="E150">
        <f t="shared" si="22"/>
        <v>0.13318407902617982</v>
      </c>
      <c r="J150" s="27" t="s">
        <v>12</v>
      </c>
      <c r="K150" s="28">
        <v>150</v>
      </c>
    </row>
    <row r="151" spans="1:11" ht="15.6">
      <c r="A151">
        <v>75</v>
      </c>
      <c r="B151">
        <v>0.89</v>
      </c>
      <c r="C151">
        <f t="shared" si="20"/>
        <v>0.9492629330988841</v>
      </c>
      <c r="D151">
        <f t="shared" si="21"/>
        <v>3.512095239482811E-3</v>
      </c>
      <c r="E151">
        <f t="shared" si="22"/>
        <v>0.14058295781750607</v>
      </c>
      <c r="J151" s="27" t="s">
        <v>106</v>
      </c>
      <c r="K151" s="28">
        <v>10</v>
      </c>
    </row>
    <row r="152" spans="1:11" ht="15.6">
      <c r="A152">
        <v>95</v>
      </c>
      <c r="B152">
        <v>0.9</v>
      </c>
      <c r="C152">
        <f t="shared" si="20"/>
        <v>0.9910976642680619</v>
      </c>
      <c r="D152">
        <f t="shared" si="21"/>
        <v>8.2987844350965161E-3</v>
      </c>
      <c r="E152">
        <f t="shared" si="22"/>
        <v>0.1481818366088323</v>
      </c>
      <c r="J152" s="27" t="s">
        <v>107</v>
      </c>
      <c r="K152" s="28">
        <v>2</v>
      </c>
    </row>
    <row r="153" spans="1:11" ht="15.6">
      <c r="C153">
        <f>AVERAGE(C143:C152)</f>
        <v>0.51505606043368823</v>
      </c>
      <c r="D153">
        <f>SUM(D143:D152)</f>
        <v>2.392686333826189E-2</v>
      </c>
      <c r="E153">
        <f>SUM(E143:E152)</f>
        <v>1.4378803040619139</v>
      </c>
      <c r="K153" s="4"/>
    </row>
    <row r="154" spans="1:11" ht="15.6">
      <c r="K154" s="4"/>
    </row>
    <row r="155" spans="1:11" ht="15.6">
      <c r="K155" s="4"/>
    </row>
    <row r="156" spans="1:11" ht="15.6">
      <c r="K156" s="4"/>
    </row>
    <row r="157" spans="1:11" ht="15.6">
      <c r="K157" s="4"/>
    </row>
    <row r="158" spans="1:11" ht="15.6">
      <c r="K158" s="4"/>
    </row>
    <row r="159" spans="1:11" ht="15.6">
      <c r="K159" s="4"/>
    </row>
    <row r="160" spans="1:11" ht="15.6">
      <c r="K160" s="4"/>
    </row>
    <row r="161" spans="1:11" ht="15.6">
      <c r="A161" t="s">
        <v>110</v>
      </c>
      <c r="K161" s="4"/>
    </row>
    <row r="162" spans="1:11" ht="15.6">
      <c r="A162" t="s">
        <v>111</v>
      </c>
      <c r="K162" s="4"/>
    </row>
    <row r="163" spans="1:11" ht="15.6">
      <c r="A163" t="s">
        <v>29</v>
      </c>
      <c r="B163" t="s">
        <v>43</v>
      </c>
      <c r="C163" t="s">
        <v>112</v>
      </c>
      <c r="D163" t="s">
        <v>100</v>
      </c>
      <c r="E163" t="s">
        <v>101</v>
      </c>
      <c r="K163" s="4"/>
    </row>
    <row r="164" spans="1:11" ht="15.6">
      <c r="A164">
        <v>0</v>
      </c>
      <c r="B164">
        <v>0</v>
      </c>
      <c r="C164">
        <f>(1/(1+EXP(($K$164*$K$165*$K$169/$K$170)-($K$164*$K$171*A164))))</f>
        <v>5.3077223839709713E-3</v>
      </c>
      <c r="D164">
        <f>(B164-C164)^2</f>
        <v>2.8171916905306491E-5</v>
      </c>
      <c r="E164">
        <f>(B164-C$178)^2</f>
        <v>0.19178531332664667</v>
      </c>
      <c r="J164" t="s">
        <v>102</v>
      </c>
      <c r="K164" s="4">
        <v>5.4205466648761795E-4</v>
      </c>
    </row>
    <row r="165" spans="1:11" ht="15.6">
      <c r="A165">
        <v>20</v>
      </c>
      <c r="B165">
        <v>0</v>
      </c>
      <c r="C165">
        <f t="shared" ref="C165:C177" si="23">(1/(1+EXP(($K$164*$K$165*$K$169/$K$170)-($K$164*$K$171*A165))))</f>
        <v>1.5532576593098694E-2</v>
      </c>
      <c r="D165">
        <f t="shared" ref="D165:D177" si="24">(B165-C165)^2</f>
        <v>2.4126093562047745E-4</v>
      </c>
      <c r="E165">
        <f t="shared" ref="E165:E177" si="25">(B165-C$178)^2</f>
        <v>0.19178531332664667</v>
      </c>
      <c r="J165" t="s">
        <v>103</v>
      </c>
      <c r="K165" s="4">
        <v>28963.521193404398</v>
      </c>
    </row>
    <row r="166" spans="1:11" ht="15.6">
      <c r="A166">
        <v>30</v>
      </c>
      <c r="B166">
        <v>0</v>
      </c>
      <c r="C166">
        <f t="shared" si="23"/>
        <v>2.6413624078030603E-2</v>
      </c>
      <c r="D166">
        <f t="shared" si="24"/>
        <v>6.9767953693551806E-4</v>
      </c>
      <c r="E166">
        <f t="shared" si="25"/>
        <v>0.19178531332664667</v>
      </c>
      <c r="K166" s="4"/>
    </row>
    <row r="167" spans="1:11" ht="15.6">
      <c r="A167">
        <v>40</v>
      </c>
      <c r="B167">
        <v>0</v>
      </c>
      <c r="C167">
        <f t="shared" si="23"/>
        <v>4.4572068454103581E-2</v>
      </c>
      <c r="D167">
        <f t="shared" si="24"/>
        <v>1.9866692862772956E-3</v>
      </c>
      <c r="E167">
        <f t="shared" si="25"/>
        <v>0.19178531332664667</v>
      </c>
      <c r="J167" s="6" t="s">
        <v>104</v>
      </c>
      <c r="K167" s="7">
        <f>1-(D178/E178)</f>
        <v>0.99346923870415038</v>
      </c>
    </row>
    <row r="168" spans="1:11" ht="15.6">
      <c r="A168">
        <v>50</v>
      </c>
      <c r="B168">
        <v>0.01</v>
      </c>
      <c r="C168">
        <f t="shared" si="23"/>
        <v>7.4261628901395926E-2</v>
      </c>
      <c r="D168">
        <f t="shared" si="24"/>
        <v>4.1295569490607245E-3</v>
      </c>
      <c r="E168">
        <f t="shared" si="25"/>
        <v>0.18312665330751937</v>
      </c>
      <c r="K168" s="4"/>
    </row>
    <row r="169" spans="1:11" ht="15.6">
      <c r="A169">
        <v>60</v>
      </c>
      <c r="B169">
        <v>0.11</v>
      </c>
      <c r="C169">
        <f t="shared" si="23"/>
        <v>0.12121839119555108</v>
      </c>
      <c r="D169">
        <f t="shared" si="24"/>
        <v>1.2585230101641806E-4</v>
      </c>
      <c r="E169">
        <f t="shared" si="25"/>
        <v>0.10754005311624661</v>
      </c>
      <c r="J169" s="27" t="s">
        <v>105</v>
      </c>
      <c r="K169" s="28">
        <v>4</v>
      </c>
    </row>
    <row r="170" spans="1:11" ht="15.6">
      <c r="A170">
        <v>80</v>
      </c>
      <c r="B170">
        <v>0.32</v>
      </c>
      <c r="C170">
        <f t="shared" si="23"/>
        <v>0.28970169479734997</v>
      </c>
      <c r="D170">
        <f t="shared" si="24"/>
        <v>9.1798729815293007E-4</v>
      </c>
      <c r="E170">
        <f t="shared" si="25"/>
        <v>1.3908192714573738E-2</v>
      </c>
      <c r="J170" s="27" t="s">
        <v>8</v>
      </c>
      <c r="K170" s="28">
        <v>12</v>
      </c>
    </row>
    <row r="171" spans="1:11" ht="15.6">
      <c r="A171">
        <v>96</v>
      </c>
      <c r="B171">
        <v>0.52</v>
      </c>
      <c r="C171">
        <f t="shared" si="23"/>
        <v>0.49261408512680188</v>
      </c>
      <c r="D171">
        <f t="shared" si="24"/>
        <v>7.4998833344205494E-4</v>
      </c>
      <c r="E171">
        <f t="shared" si="25"/>
        <v>6.7349923320281632E-3</v>
      </c>
      <c r="J171" s="27" t="s">
        <v>12</v>
      </c>
      <c r="K171" s="28">
        <v>100</v>
      </c>
    </row>
    <row r="172" spans="1:11" ht="15.6">
      <c r="A172">
        <v>105</v>
      </c>
      <c r="B172">
        <v>0.62</v>
      </c>
      <c r="C172">
        <f t="shared" si="23"/>
        <v>0.6126116162794486</v>
      </c>
      <c r="D172">
        <f t="shared" si="24"/>
        <v>5.4588214002108867E-5</v>
      </c>
      <c r="E172">
        <f t="shared" si="25"/>
        <v>3.3148392140755371E-2</v>
      </c>
      <c r="J172" s="27" t="s">
        <v>113</v>
      </c>
      <c r="K172" s="28">
        <v>14</v>
      </c>
    </row>
    <row r="173" spans="1:11" ht="15.6">
      <c r="A173">
        <v>122</v>
      </c>
      <c r="B173">
        <v>0.81</v>
      </c>
      <c r="C173">
        <f t="shared" si="23"/>
        <v>0.7989582870341192</v>
      </c>
      <c r="D173">
        <f t="shared" si="24"/>
        <v>1.2191942522090143E-4</v>
      </c>
      <c r="E173">
        <f t="shared" si="25"/>
        <v>0.13843385177733711</v>
      </c>
      <c r="J173" s="27" t="s">
        <v>107</v>
      </c>
      <c r="K173" s="28">
        <v>2</v>
      </c>
    </row>
    <row r="174" spans="1:11" ht="15.6">
      <c r="A174">
        <v>132</v>
      </c>
      <c r="B174">
        <v>0.86</v>
      </c>
      <c r="C174">
        <f t="shared" si="23"/>
        <v>0.87234470104073969</v>
      </c>
      <c r="D174">
        <f t="shared" si="24"/>
        <v>1.5239164378523989E-4</v>
      </c>
      <c r="E174">
        <f t="shared" si="25"/>
        <v>0.17814055168170068</v>
      </c>
      <c r="K174" s="4"/>
    </row>
    <row r="175" spans="1:11" ht="15.6">
      <c r="A175">
        <v>138</v>
      </c>
      <c r="B175">
        <v>0.88</v>
      </c>
      <c r="C175">
        <f t="shared" si="23"/>
        <v>0.90439869186413191</v>
      </c>
      <c r="D175">
        <f t="shared" si="24"/>
        <v>5.9529616468085645E-4</v>
      </c>
      <c r="E175">
        <f t="shared" si="25"/>
        <v>0.19542323164344613</v>
      </c>
      <c r="K175" s="4"/>
    </row>
    <row r="176" spans="1:11" ht="15.6">
      <c r="A176">
        <v>143</v>
      </c>
      <c r="B176">
        <v>0.89</v>
      </c>
      <c r="C176">
        <f t="shared" si="23"/>
        <v>0.9254017641369654</v>
      </c>
      <c r="D176">
        <f t="shared" si="24"/>
        <v>1.2532849040093285E-3</v>
      </c>
      <c r="E176">
        <f t="shared" si="25"/>
        <v>0.20436457162431884</v>
      </c>
      <c r="K176" s="4"/>
    </row>
    <row r="177" spans="1:11" ht="15.6">
      <c r="A177">
        <v>150</v>
      </c>
      <c r="B177">
        <v>0.9</v>
      </c>
      <c r="C177">
        <f t="shared" si="23"/>
        <v>0.94772516150338793</v>
      </c>
      <c r="D177">
        <f t="shared" si="24"/>
        <v>2.2776910405244589E-3</v>
      </c>
      <c r="E177">
        <f t="shared" si="25"/>
        <v>0.21350591160519158</v>
      </c>
      <c r="K177" s="4"/>
    </row>
    <row r="178" spans="1:11" ht="15.6">
      <c r="C178">
        <f>AVERAGE(C164:C177)</f>
        <v>0.43793300095636395</v>
      </c>
      <c r="D178">
        <f>SUM(D164:D177)</f>
        <v>1.333233794963362E-2</v>
      </c>
      <c r="E178">
        <f>SUM(E164:E177)</f>
        <v>2.0414676552497042</v>
      </c>
      <c r="K178" s="4"/>
    </row>
    <row r="179" spans="1:11" ht="15.6">
      <c r="K179" s="4"/>
    </row>
    <row r="180" spans="1:11" ht="15.6">
      <c r="K180" s="4"/>
    </row>
    <row r="181" spans="1:11" ht="15.6">
      <c r="K181" s="4"/>
    </row>
    <row r="182" spans="1:11" ht="15.6">
      <c r="A182" t="s">
        <v>72</v>
      </c>
      <c r="K182" s="4"/>
    </row>
    <row r="183" spans="1:11" ht="15.6">
      <c r="A183" t="s">
        <v>29</v>
      </c>
      <c r="B183" t="s">
        <v>43</v>
      </c>
      <c r="C183" t="s">
        <v>99</v>
      </c>
      <c r="D183" t="s">
        <v>100</v>
      </c>
      <c r="E183" t="s">
        <v>101</v>
      </c>
      <c r="K183" s="4"/>
    </row>
    <row r="184" spans="1:11" ht="15.6">
      <c r="A184">
        <v>0</v>
      </c>
      <c r="B184">
        <v>0</v>
      </c>
      <c r="C184">
        <f>(1/(1+EXP(($K$184*$K$185*$K$189/$K$191)-($K$184*$K$190*A184))))</f>
        <v>7.7334297865075852E-4</v>
      </c>
      <c r="D184">
        <f>(B184-C184)^2</f>
        <v>5.9805936262842752E-7</v>
      </c>
      <c r="E184">
        <f>(B184-C$199)^2</f>
        <v>9.4270735144865767E-2</v>
      </c>
      <c r="J184" t="s">
        <v>102</v>
      </c>
      <c r="K184" s="4">
        <v>4.9987969782648296E-4</v>
      </c>
    </row>
    <row r="185" spans="1:11" ht="15.6">
      <c r="A185">
        <v>20</v>
      </c>
      <c r="B185">
        <v>0</v>
      </c>
      <c r="C185">
        <f t="shared" ref="C185:C198" si="26">(1/(1+EXP(($K$184*$K$185*$K$189/$K$191)-($K$184*$K$190*A185))))</f>
        <v>2.0988704749419374E-3</v>
      </c>
      <c r="D185">
        <f t="shared" ref="D185:D198" si="27">(B185-C185)^2</f>
        <v>4.4052572705829943E-6</v>
      </c>
      <c r="E185">
        <f t="shared" ref="E185:E198" si="28">(B185-C$199)^2</f>
        <v>9.4270735144865767E-2</v>
      </c>
      <c r="J185" t="s">
        <v>103</v>
      </c>
      <c r="K185" s="4">
        <v>42994.430251780803</v>
      </c>
    </row>
    <row r="186" spans="1:11" ht="15.6">
      <c r="A186">
        <v>40</v>
      </c>
      <c r="B186">
        <v>0</v>
      </c>
      <c r="C186">
        <f t="shared" si="26"/>
        <v>5.683459594670614E-3</v>
      </c>
      <c r="D186">
        <f t="shared" si="27"/>
        <v>3.230171296425346E-5</v>
      </c>
      <c r="E186">
        <f t="shared" si="28"/>
        <v>9.4270735144865767E-2</v>
      </c>
      <c r="K186" s="4"/>
    </row>
    <row r="187" spans="1:11" ht="15.6">
      <c r="A187">
        <v>50</v>
      </c>
      <c r="B187">
        <v>0</v>
      </c>
      <c r="C187">
        <f t="shared" si="26"/>
        <v>9.3349064070030394E-3</v>
      </c>
      <c r="D187">
        <f t="shared" si="27"/>
        <v>8.7140477627506389E-5</v>
      </c>
      <c r="E187">
        <f t="shared" si="28"/>
        <v>9.4270735144865767E-2</v>
      </c>
      <c r="J187" s="6" t="s">
        <v>104</v>
      </c>
      <c r="K187" s="7">
        <f>1-(D199/E199)</f>
        <v>0.99797079458516946</v>
      </c>
    </row>
    <row r="188" spans="1:11" ht="15.6">
      <c r="A188">
        <v>60</v>
      </c>
      <c r="B188">
        <v>0</v>
      </c>
      <c r="C188">
        <f t="shared" si="26"/>
        <v>1.5296205621482985E-2</v>
      </c>
      <c r="D188">
        <f t="shared" si="27"/>
        <v>2.3397390641468767E-4</v>
      </c>
      <c r="E188">
        <f t="shared" si="28"/>
        <v>9.4270735144865767E-2</v>
      </c>
      <c r="K188" s="4"/>
    </row>
    <row r="189" spans="1:11" ht="15.6">
      <c r="A189">
        <v>70</v>
      </c>
      <c r="B189">
        <v>0</v>
      </c>
      <c r="C189">
        <f t="shared" si="26"/>
        <v>2.4968460197268328E-2</v>
      </c>
      <c r="D189">
        <f t="shared" si="27"/>
        <v>6.2342400462257275E-4</v>
      </c>
      <c r="E189">
        <f t="shared" si="28"/>
        <v>9.4270735144865767E-2</v>
      </c>
      <c r="J189" s="27" t="s">
        <v>105</v>
      </c>
      <c r="K189" s="28">
        <v>4</v>
      </c>
    </row>
    <row r="190" spans="1:11" ht="15.6">
      <c r="A190">
        <v>80</v>
      </c>
      <c r="B190">
        <v>0.01</v>
      </c>
      <c r="C190">
        <f t="shared" si="26"/>
        <v>4.0505194175347752E-2</v>
      </c>
      <c r="D190">
        <f t="shared" si="27"/>
        <v>9.305668716756703E-4</v>
      </c>
      <c r="E190">
        <f t="shared" si="28"/>
        <v>8.8230027200504102E-2</v>
      </c>
      <c r="J190" s="27" t="s">
        <v>12</v>
      </c>
      <c r="K190" s="28">
        <v>100</v>
      </c>
    </row>
    <row r="191" spans="1:11" ht="15.6">
      <c r="A191">
        <v>100</v>
      </c>
      <c r="B191">
        <v>0.09</v>
      </c>
      <c r="C191">
        <f t="shared" si="26"/>
        <v>0.10291776270667641</v>
      </c>
      <c r="D191">
        <f t="shared" si="27"/>
        <v>1.6686859334599989E-4</v>
      </c>
      <c r="E191">
        <f t="shared" si="28"/>
        <v>4.7104363645610894E-2</v>
      </c>
      <c r="J191" s="27" t="s">
        <v>8</v>
      </c>
      <c r="K191" s="28">
        <v>12</v>
      </c>
    </row>
    <row r="192" spans="1:11" ht="15.6">
      <c r="A192">
        <v>115</v>
      </c>
      <c r="B192">
        <v>0.21</v>
      </c>
      <c r="C192">
        <f t="shared" si="26"/>
        <v>0.19538408639367577</v>
      </c>
      <c r="D192">
        <f t="shared" si="27"/>
        <v>2.1362493054753349E-4</v>
      </c>
      <c r="E192">
        <f t="shared" si="28"/>
        <v>9.4158683132710731E-3</v>
      </c>
      <c r="J192" s="27" t="s">
        <v>106</v>
      </c>
      <c r="K192" s="28">
        <v>15</v>
      </c>
    </row>
    <row r="193" spans="1:11" ht="15.6">
      <c r="A193">
        <v>130</v>
      </c>
      <c r="B193">
        <v>0.36</v>
      </c>
      <c r="C193">
        <f t="shared" si="26"/>
        <v>0.33948766271010994</v>
      </c>
      <c r="D193">
        <f t="shared" si="27"/>
        <v>4.2075598109421382E-4</v>
      </c>
      <c r="E193">
        <f t="shared" si="28"/>
        <v>2.8052491478462913E-3</v>
      </c>
      <c r="J193" s="27" t="s">
        <v>107</v>
      </c>
      <c r="K193" s="28">
        <v>2</v>
      </c>
    </row>
    <row r="194" spans="1:11" ht="15.6">
      <c r="A194">
        <v>140</v>
      </c>
      <c r="B194">
        <v>0.46</v>
      </c>
      <c r="C194">
        <f t="shared" si="26"/>
        <v>0.45866989552754422</v>
      </c>
      <c r="D194">
        <f t="shared" si="27"/>
        <v>1.7691779076469095E-6</v>
      </c>
      <c r="E194">
        <f t="shared" si="28"/>
        <v>2.3398169704229779E-2</v>
      </c>
      <c r="K194" s="4"/>
    </row>
    <row r="195" spans="1:11" ht="15.6">
      <c r="A195">
        <v>165</v>
      </c>
      <c r="B195">
        <v>0.72</v>
      </c>
      <c r="C195">
        <f t="shared" si="26"/>
        <v>0.74725034059951423</v>
      </c>
      <c r="D195">
        <f t="shared" si="27"/>
        <v>7.4258106278953493E-4</v>
      </c>
      <c r="E195">
        <f t="shared" si="28"/>
        <v>0.17053976315082681</v>
      </c>
      <c r="K195" s="4"/>
    </row>
    <row r="196" spans="1:11" ht="15.6">
      <c r="A196">
        <v>180</v>
      </c>
      <c r="B196">
        <v>0.88</v>
      </c>
      <c r="C196">
        <f t="shared" si="26"/>
        <v>0.86221620381193731</v>
      </c>
      <c r="D196">
        <f t="shared" si="27"/>
        <v>3.1626340685855325E-4</v>
      </c>
      <c r="E196">
        <f t="shared" si="28"/>
        <v>0.32828843604104041</v>
      </c>
      <c r="K196" s="4"/>
    </row>
    <row r="197" spans="1:11" ht="15.6">
      <c r="A197">
        <v>185</v>
      </c>
      <c r="B197">
        <v>0.89</v>
      </c>
      <c r="C197">
        <f t="shared" si="26"/>
        <v>0.88931470154946524</v>
      </c>
      <c r="D197">
        <f t="shared" si="27"/>
        <v>4.6963396630536622E-7</v>
      </c>
      <c r="E197">
        <f t="shared" si="28"/>
        <v>0.33984772809667874</v>
      </c>
      <c r="K197" s="4"/>
    </row>
    <row r="198" spans="1:11" ht="15.6">
      <c r="A198">
        <v>190</v>
      </c>
      <c r="B198">
        <v>0.9</v>
      </c>
      <c r="C198">
        <f t="shared" si="26"/>
        <v>0.91162986552295033</v>
      </c>
      <c r="D198">
        <f t="shared" si="27"/>
        <v>1.3525377208190831E-4</v>
      </c>
      <c r="E198">
        <f t="shared" si="28"/>
        <v>0.3516070201523171</v>
      </c>
      <c r="K198" s="4"/>
    </row>
    <row r="199" spans="1:11">
      <c r="C199">
        <f>AVERAGE(C184:C198)</f>
        <v>0.3070353972180826</v>
      </c>
      <c r="D199">
        <f>SUM(D184:D198)</f>
        <v>3.9099968485295979E-3</v>
      </c>
      <c r="E199">
        <f>SUM(E184:E198)</f>
        <v>1.9268610363215197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I36" sqref="I36"/>
    </sheetView>
  </sheetViews>
  <sheetFormatPr defaultColWidth="9" defaultRowHeight="14.4"/>
  <sheetData>
    <row r="1" spans="1:4">
      <c r="A1" t="s">
        <v>0</v>
      </c>
    </row>
    <row r="6" spans="1:4">
      <c r="A6" t="s">
        <v>1</v>
      </c>
      <c r="B6" t="s">
        <v>2</v>
      </c>
    </row>
    <row r="7" spans="1:4" ht="15.6">
      <c r="A7" t="s">
        <v>3</v>
      </c>
      <c r="B7" t="s">
        <v>4</v>
      </c>
      <c r="C7" s="25" t="s">
        <v>103</v>
      </c>
      <c r="D7" t="s">
        <v>6</v>
      </c>
    </row>
    <row r="8" spans="1:4" ht="15.6">
      <c r="A8">
        <v>4</v>
      </c>
      <c r="B8" s="4">
        <v>4.0000000000000002E-4</v>
      </c>
      <c r="C8" s="4">
        <v>21265.040000000001</v>
      </c>
      <c r="D8" s="4">
        <v>0.98570000000000002</v>
      </c>
    </row>
    <row r="9" spans="1:4" ht="15.6">
      <c r="A9">
        <v>8</v>
      </c>
      <c r="B9" s="4">
        <v>2.9999999999999997E-4</v>
      </c>
      <c r="C9" s="4">
        <v>20135.919999999998</v>
      </c>
      <c r="D9" s="4">
        <v>0.99229999999999996</v>
      </c>
    </row>
    <row r="10" spans="1:4" ht="15.6">
      <c r="A10">
        <v>12</v>
      </c>
      <c r="B10" s="4">
        <v>4.0000000000000002E-4</v>
      </c>
      <c r="C10" s="4">
        <v>2116.63</v>
      </c>
      <c r="D10" s="4">
        <v>0.99970000000000003</v>
      </c>
    </row>
    <row r="12" spans="1:4">
      <c r="A12" t="s">
        <v>7</v>
      </c>
      <c r="B12" t="s">
        <v>2</v>
      </c>
    </row>
    <row r="13" spans="1:4" ht="21">
      <c r="A13" t="s">
        <v>8</v>
      </c>
      <c r="B13" t="s">
        <v>9</v>
      </c>
      <c r="C13" s="25" t="s">
        <v>103</v>
      </c>
      <c r="D13" t="s">
        <v>6</v>
      </c>
    </row>
    <row r="14" spans="1:4" ht="15.6">
      <c r="A14">
        <v>4</v>
      </c>
      <c r="B14" s="4">
        <v>2.9999999999999997E-4</v>
      </c>
      <c r="C14" s="4">
        <v>24331.61</v>
      </c>
      <c r="D14" s="4">
        <v>0.998</v>
      </c>
    </row>
    <row r="15" spans="1:4" ht="15.6">
      <c r="A15">
        <v>8</v>
      </c>
      <c r="B15" s="4">
        <v>4.0000000000000002E-4</v>
      </c>
      <c r="C15" s="4">
        <v>21265.040000000001</v>
      </c>
      <c r="D15" s="4">
        <v>0.98570000000000002</v>
      </c>
    </row>
    <row r="16" spans="1:4" ht="15.6">
      <c r="A16">
        <v>12</v>
      </c>
      <c r="B16" s="4">
        <v>8.0000000000000004E-4</v>
      </c>
      <c r="C16" s="4">
        <v>13296.16</v>
      </c>
      <c r="D16" s="4">
        <v>0.98560000000000003</v>
      </c>
    </row>
    <row r="18" spans="1:4">
      <c r="A18" t="s">
        <v>10</v>
      </c>
      <c r="B18" t="s">
        <v>11</v>
      </c>
    </row>
    <row r="19" spans="1:4" ht="15.6">
      <c r="A19" t="s">
        <v>12</v>
      </c>
      <c r="B19" t="s">
        <v>4</v>
      </c>
      <c r="C19" s="25" t="s">
        <v>103</v>
      </c>
      <c r="D19" t="s">
        <v>6</v>
      </c>
    </row>
    <row r="20" spans="1:4" ht="15.6">
      <c r="A20">
        <v>50</v>
      </c>
      <c r="B20" s="4">
        <v>6.9999999999999999E-4</v>
      </c>
      <c r="C20" s="4">
        <v>16336.79</v>
      </c>
      <c r="D20" s="4">
        <v>0.98729999999999996</v>
      </c>
    </row>
    <row r="21" spans="1:4" ht="15.6">
      <c r="A21">
        <v>100</v>
      </c>
      <c r="B21" s="4">
        <v>4.0000000000000002E-4</v>
      </c>
      <c r="C21" s="4">
        <v>21265.040000000001</v>
      </c>
      <c r="D21" s="4">
        <v>0.98570000000000002</v>
      </c>
    </row>
    <row r="22" spans="1:4" ht="15.6">
      <c r="A22">
        <v>150</v>
      </c>
      <c r="B22" s="4">
        <v>5.9999999999999995E-4</v>
      </c>
      <c r="C22" s="4">
        <v>12646.08</v>
      </c>
      <c r="D22" s="4">
        <v>0.98340000000000005</v>
      </c>
    </row>
    <row r="27" spans="1:4">
      <c r="A27" t="s">
        <v>114</v>
      </c>
    </row>
    <row r="29" spans="1:4">
      <c r="A29" t="s">
        <v>73</v>
      </c>
    </row>
    <row r="30" spans="1:4">
      <c r="A30" t="s">
        <v>115</v>
      </c>
    </row>
    <row r="31" spans="1:4">
      <c r="B31" t="s">
        <v>4</v>
      </c>
      <c r="C31" t="s">
        <v>103</v>
      </c>
    </row>
    <row r="32" spans="1:4">
      <c r="B32">
        <v>5.4205466648761795E-4</v>
      </c>
      <c r="C32">
        <v>28963.521193404398</v>
      </c>
    </row>
    <row r="35" spans="1:3">
      <c r="A35" t="s">
        <v>72</v>
      </c>
    </row>
    <row r="36" spans="1:3">
      <c r="A36" s="26" t="s">
        <v>116</v>
      </c>
    </row>
    <row r="37" spans="1:3">
      <c r="B37" t="s">
        <v>4</v>
      </c>
      <c r="C37" t="s">
        <v>103</v>
      </c>
    </row>
    <row r="38" spans="1:3">
      <c r="B38">
        <v>5.0000000000000001E-4</v>
      </c>
      <c r="C38">
        <v>42994.430251780803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5"/>
  <sheetViews>
    <sheetView topLeftCell="A198" workbookViewId="0">
      <selection activeCell="H198" sqref="H198"/>
    </sheetView>
  </sheetViews>
  <sheetFormatPr defaultColWidth="9" defaultRowHeight="14.4"/>
  <cols>
    <col min="3" max="3" width="13.33203125" bestFit="1" customWidth="1"/>
    <col min="4" max="5" width="12" customWidth="1"/>
    <col min="20" max="20" width="8.88671875" customWidth="1"/>
  </cols>
  <sheetData>
    <row r="1" spans="1:11">
      <c r="A1" t="s">
        <v>117</v>
      </c>
    </row>
    <row r="3" spans="1:11">
      <c r="A3" s="13" t="s">
        <v>109</v>
      </c>
    </row>
    <row r="5" spans="1:11">
      <c r="A5" t="s">
        <v>29</v>
      </c>
      <c r="B5" t="s">
        <v>43</v>
      </c>
      <c r="C5" t="s">
        <v>99</v>
      </c>
      <c r="D5" s="13" t="s">
        <v>100</v>
      </c>
      <c r="E5" t="s">
        <v>101</v>
      </c>
    </row>
    <row r="6" spans="1:11">
      <c r="A6">
        <v>0</v>
      </c>
      <c r="B6">
        <v>0</v>
      </c>
      <c r="C6">
        <f t="shared" ref="C6:C19" si="0">(1/(1+EXP(($K$6*$K$7*$K$11/$K$15)-($K$6*$K$12*A6))))</f>
        <v>2.2927677457107134E-2</v>
      </c>
      <c r="D6">
        <f t="shared" ref="D6:D19" si="1">(B6-C6)^2</f>
        <v>5.2567839357713867E-4</v>
      </c>
      <c r="E6">
        <f t="shared" ref="E6:E19" si="2">(B6-C$6)^2</f>
        <v>5.2567839357713867E-4</v>
      </c>
      <c r="J6" s="6" t="s">
        <v>102</v>
      </c>
      <c r="K6" s="6">
        <v>3.5268053670994202E-4</v>
      </c>
    </row>
    <row r="7" spans="1:11">
      <c r="A7">
        <v>10</v>
      </c>
      <c r="B7">
        <v>0</v>
      </c>
      <c r="C7">
        <f t="shared" si="0"/>
        <v>3.2309989802486443E-2</v>
      </c>
      <c r="D7">
        <f t="shared" si="1"/>
        <v>1.043935441036778E-3</v>
      </c>
      <c r="E7">
        <f t="shared" si="2"/>
        <v>5.2567839357713867E-4</v>
      </c>
      <c r="J7" s="6" t="s">
        <v>103</v>
      </c>
      <c r="K7" s="6">
        <v>21278.270165300899</v>
      </c>
    </row>
    <row r="8" spans="1:11">
      <c r="A8">
        <v>15</v>
      </c>
      <c r="B8">
        <v>0</v>
      </c>
      <c r="C8">
        <f t="shared" si="0"/>
        <v>3.8302121257453581E-2</v>
      </c>
      <c r="D8">
        <f t="shared" si="1"/>
        <v>1.4670524928206774E-3</v>
      </c>
      <c r="E8">
        <f t="shared" si="2"/>
        <v>5.2567839357713867E-4</v>
      </c>
      <c r="J8" s="6"/>
      <c r="K8" s="6"/>
    </row>
    <row r="9" spans="1:11">
      <c r="A9">
        <v>20</v>
      </c>
      <c r="B9">
        <v>0</v>
      </c>
      <c r="C9">
        <f t="shared" si="0"/>
        <v>4.5353455237326715E-2</v>
      </c>
      <c r="D9">
        <f t="shared" si="1"/>
        <v>2.056935901964198E-3</v>
      </c>
      <c r="E9">
        <f t="shared" si="2"/>
        <v>5.2567839357713867E-4</v>
      </c>
      <c r="J9" s="6"/>
      <c r="K9" s="6"/>
    </row>
    <row r="10" spans="1:11">
      <c r="A10">
        <v>25</v>
      </c>
      <c r="B10">
        <v>0</v>
      </c>
      <c r="C10">
        <f t="shared" si="0"/>
        <v>5.3630531435253266E-2</v>
      </c>
      <c r="D10">
        <f t="shared" si="1"/>
        <v>2.8762339020276888E-3</v>
      </c>
      <c r="E10">
        <f t="shared" si="2"/>
        <v>5.2567839357713867E-4</v>
      </c>
      <c r="H10" s="6" t="s">
        <v>100</v>
      </c>
      <c r="I10" s="6">
        <f>SUM(D6:D19)</f>
        <v>2.8989356440317065E-2</v>
      </c>
    </row>
    <row r="11" spans="1:11">
      <c r="A11">
        <v>40</v>
      </c>
      <c r="B11">
        <v>0.01</v>
      </c>
      <c r="C11">
        <f t="shared" si="0"/>
        <v>8.7744275696193197E-2</v>
      </c>
      <c r="D11">
        <f t="shared" si="1"/>
        <v>6.0441724035256968E-3</v>
      </c>
      <c r="E11">
        <f t="shared" si="2"/>
        <v>1.6712484443499596E-4</v>
      </c>
      <c r="J11" t="s">
        <v>105</v>
      </c>
      <c r="K11">
        <v>4</v>
      </c>
    </row>
    <row r="12" spans="1:11">
      <c r="A12">
        <v>70</v>
      </c>
      <c r="B12">
        <v>0.24</v>
      </c>
      <c r="C12">
        <f t="shared" si="0"/>
        <v>0.21696317037019089</v>
      </c>
      <c r="D12">
        <f t="shared" si="1"/>
        <v>5.3069551939285053E-4</v>
      </c>
      <c r="E12">
        <f t="shared" si="2"/>
        <v>4.7120393214165709E-2</v>
      </c>
      <c r="J12" t="s">
        <v>12</v>
      </c>
      <c r="K12">
        <v>100</v>
      </c>
    </row>
    <row r="13" spans="1:11">
      <c r="A13">
        <v>92</v>
      </c>
      <c r="B13">
        <v>0.43</v>
      </c>
      <c r="C13">
        <f t="shared" si="0"/>
        <v>0.37576688091200777</v>
      </c>
      <c r="D13">
        <f t="shared" si="1"/>
        <v>2.9412312060123464E-3</v>
      </c>
      <c r="E13">
        <f t="shared" si="2"/>
        <v>0.16570787578046503</v>
      </c>
      <c r="J13" t="s">
        <v>106</v>
      </c>
      <c r="K13">
        <v>14</v>
      </c>
    </row>
    <row r="14" spans="1:11">
      <c r="A14">
        <v>110</v>
      </c>
      <c r="B14">
        <v>0.56000000000000005</v>
      </c>
      <c r="C14">
        <f t="shared" si="0"/>
        <v>0.53177463019872684</v>
      </c>
      <c r="D14">
        <f t="shared" si="1"/>
        <v>7.9667150041862591E-4</v>
      </c>
      <c r="E14">
        <f t="shared" si="2"/>
        <v>0.28844667964161724</v>
      </c>
      <c r="J14" t="s">
        <v>107</v>
      </c>
      <c r="K14">
        <v>2</v>
      </c>
    </row>
    <row r="15" spans="1:11">
      <c r="A15">
        <v>130</v>
      </c>
      <c r="B15">
        <v>0.7</v>
      </c>
      <c r="C15">
        <f t="shared" si="0"/>
        <v>0.69691097579260042</v>
      </c>
      <c r="D15">
        <f t="shared" si="1"/>
        <v>9.5420705539003425E-6</v>
      </c>
      <c r="E15">
        <f t="shared" si="2"/>
        <v>0.4584269299536271</v>
      </c>
      <c r="J15" t="s">
        <v>8</v>
      </c>
      <c r="K15">
        <v>8</v>
      </c>
    </row>
    <row r="16" spans="1:11">
      <c r="A16">
        <v>160</v>
      </c>
      <c r="B16">
        <v>0.85</v>
      </c>
      <c r="C16">
        <f t="shared" si="0"/>
        <v>0.86883221421469381</v>
      </c>
      <c r="D16">
        <f t="shared" si="1"/>
        <v>3.5465229222811644E-4</v>
      </c>
      <c r="E16">
        <f t="shared" si="2"/>
        <v>0.68404862671649502</v>
      </c>
    </row>
    <row r="17" spans="1:11">
      <c r="A17">
        <v>180</v>
      </c>
      <c r="B17">
        <v>0.88</v>
      </c>
      <c r="C17">
        <f t="shared" si="0"/>
        <v>0.93060588448846604</v>
      </c>
      <c r="D17">
        <f t="shared" si="1"/>
        <v>2.5609555448599672E-3</v>
      </c>
      <c r="E17">
        <f t="shared" si="2"/>
        <v>0.73457296606906863</v>
      </c>
    </row>
    <row r="18" spans="1:11">
      <c r="A18">
        <v>190</v>
      </c>
      <c r="B18">
        <v>0.89</v>
      </c>
      <c r="C18">
        <f t="shared" si="0"/>
        <v>0.95020268873121949</v>
      </c>
      <c r="D18">
        <f t="shared" si="1"/>
        <v>3.6243637304681007E-3</v>
      </c>
      <c r="E18">
        <f t="shared" si="2"/>
        <v>0.75181441251992653</v>
      </c>
    </row>
    <row r="19" spans="1:11">
      <c r="A19">
        <v>200</v>
      </c>
      <c r="B19">
        <v>0.9</v>
      </c>
      <c r="C19">
        <f t="shared" si="0"/>
        <v>0.96447663174694365</v>
      </c>
      <c r="D19">
        <f t="shared" si="1"/>
        <v>4.1572360414309784E-3</v>
      </c>
      <c r="E19">
        <f t="shared" si="2"/>
        <v>0.76925585897078441</v>
      </c>
    </row>
    <row r="20" spans="1:11">
      <c r="C20">
        <f>AVERAGE(C6:C19)</f>
        <v>0.41541436623861921</v>
      </c>
      <c r="D20">
        <f>SUM(D6:D19)</f>
        <v>2.8989356440317065E-2</v>
      </c>
      <c r="E20">
        <f>SUM(E6:E19)</f>
        <v>3.9021892596784706</v>
      </c>
    </row>
    <row r="23" spans="1:11">
      <c r="A23" s="13" t="s">
        <v>118</v>
      </c>
    </row>
    <row r="25" spans="1:11">
      <c r="A25" t="s">
        <v>29</v>
      </c>
      <c r="B25" t="s">
        <v>43</v>
      </c>
      <c r="C25" t="s">
        <v>99</v>
      </c>
      <c r="D25" s="13" t="s">
        <v>119</v>
      </c>
      <c r="E25" t="s">
        <v>120</v>
      </c>
    </row>
    <row r="26" spans="1:11">
      <c r="A26">
        <v>0</v>
      </c>
      <c r="B26">
        <v>0</v>
      </c>
      <c r="C26">
        <f t="shared" ref="C26:C39" si="3">(1/(1+EXP(($K$6*$K$7*$K$11/$K$15)-($K$6*$K$12*A26))))</f>
        <v>2.2927677457107134E-2</v>
      </c>
      <c r="D26">
        <v>0</v>
      </c>
      <c r="E26">
        <f t="shared" ref="E26:E39" si="4">(C26-B26)^2</f>
        <v>5.2567839357713867E-4</v>
      </c>
      <c r="J26" s="6" t="s">
        <v>102</v>
      </c>
      <c r="K26" s="6">
        <v>3.52737817843753E-4</v>
      </c>
    </row>
    <row r="27" spans="1:11">
      <c r="A27">
        <v>10</v>
      </c>
      <c r="B27">
        <v>0</v>
      </c>
      <c r="C27">
        <f t="shared" si="3"/>
        <v>3.2309989802486443E-2</v>
      </c>
      <c r="D27">
        <v>0</v>
      </c>
      <c r="E27">
        <f t="shared" si="4"/>
        <v>1.043935441036778E-3</v>
      </c>
      <c r="J27" s="6" t="s">
        <v>103</v>
      </c>
      <c r="K27" s="6">
        <v>21265.038806748398</v>
      </c>
    </row>
    <row r="28" spans="1:11">
      <c r="A28">
        <v>15</v>
      </c>
      <c r="B28">
        <v>0</v>
      </c>
      <c r="C28">
        <f t="shared" si="3"/>
        <v>3.8302121257453581E-2</v>
      </c>
      <c r="D28">
        <v>0</v>
      </c>
      <c r="E28">
        <f t="shared" si="4"/>
        <v>1.4670524928206774E-3</v>
      </c>
    </row>
    <row r="29" spans="1:11">
      <c r="A29">
        <v>20</v>
      </c>
      <c r="B29">
        <v>0</v>
      </c>
      <c r="C29">
        <f t="shared" si="3"/>
        <v>4.5353455237326715E-2</v>
      </c>
      <c r="D29">
        <v>0</v>
      </c>
      <c r="E29">
        <f t="shared" si="4"/>
        <v>2.056935901964198E-3</v>
      </c>
      <c r="G29" s="6" t="s">
        <v>121</v>
      </c>
      <c r="H29" s="6">
        <f>(100)*((1/12)^(0.5)*(F35)^(0.5))</f>
        <v>0.90019380811173122</v>
      </c>
    </row>
    <row r="30" spans="1:11">
      <c r="A30">
        <v>25</v>
      </c>
      <c r="B30">
        <v>0</v>
      </c>
      <c r="C30">
        <f t="shared" si="3"/>
        <v>5.3630531435253266E-2</v>
      </c>
      <c r="D30">
        <v>0</v>
      </c>
      <c r="E30">
        <f t="shared" si="4"/>
        <v>2.8762339020276888E-3</v>
      </c>
    </row>
    <row r="31" spans="1:11">
      <c r="A31">
        <v>40</v>
      </c>
      <c r="B31">
        <v>0.01</v>
      </c>
      <c r="C31">
        <f t="shared" si="3"/>
        <v>8.7744275696193197E-2</v>
      </c>
      <c r="D31">
        <f t="shared" ref="D31:D39" si="5">((B31-C31)/B31)^2</f>
        <v>60.441724035256968</v>
      </c>
      <c r="E31">
        <f t="shared" si="4"/>
        <v>6.0441724035256968E-3</v>
      </c>
      <c r="J31" t="s">
        <v>105</v>
      </c>
      <c r="K31">
        <v>4</v>
      </c>
    </row>
    <row r="32" spans="1:11">
      <c r="A32">
        <v>70</v>
      </c>
      <c r="B32">
        <v>0.24</v>
      </c>
      <c r="C32">
        <f t="shared" si="3"/>
        <v>0.21696317037019089</v>
      </c>
      <c r="D32">
        <f t="shared" si="5"/>
        <v>9.2134638783481007E-3</v>
      </c>
      <c r="E32">
        <f t="shared" si="4"/>
        <v>5.3069551939285053E-4</v>
      </c>
      <c r="J32" t="s">
        <v>12</v>
      </c>
      <c r="K32">
        <v>100</v>
      </c>
    </row>
    <row r="33" spans="1:11">
      <c r="A33">
        <v>92</v>
      </c>
      <c r="B33">
        <v>0.43</v>
      </c>
      <c r="C33">
        <f t="shared" si="3"/>
        <v>0.37576688091200777</v>
      </c>
      <c r="D33">
        <f t="shared" si="5"/>
        <v>1.5907145516562176E-2</v>
      </c>
      <c r="E33">
        <f t="shared" si="4"/>
        <v>2.9412312060123464E-3</v>
      </c>
      <c r="J33" t="s">
        <v>106</v>
      </c>
      <c r="K33">
        <v>14</v>
      </c>
    </row>
    <row r="34" spans="1:11">
      <c r="A34">
        <v>110</v>
      </c>
      <c r="B34">
        <v>0.56000000000000005</v>
      </c>
      <c r="C34">
        <f t="shared" si="3"/>
        <v>0.53177463019872684</v>
      </c>
      <c r="D34">
        <f t="shared" si="5"/>
        <v>2.5404065702124548E-3</v>
      </c>
      <c r="E34">
        <f t="shared" si="4"/>
        <v>7.9667150041862591E-4</v>
      </c>
      <c r="J34" t="s">
        <v>107</v>
      </c>
      <c r="K34">
        <v>2</v>
      </c>
    </row>
    <row r="35" spans="1:11">
      <c r="A35">
        <v>130</v>
      </c>
      <c r="B35">
        <v>0.7</v>
      </c>
      <c r="C35">
        <f t="shared" si="3"/>
        <v>0.69691097579260042</v>
      </c>
      <c r="D35">
        <f t="shared" si="5"/>
        <v>1.9473613375306823E-5</v>
      </c>
      <c r="E35">
        <f t="shared" si="4"/>
        <v>9.5420705539003425E-6</v>
      </c>
      <c r="F35">
        <f>E40/B40^2</f>
        <v>9.7241867059524032E-4</v>
      </c>
      <c r="J35" t="s">
        <v>8</v>
      </c>
      <c r="K35">
        <v>8</v>
      </c>
    </row>
    <row r="36" spans="1:11">
      <c r="A36">
        <v>160</v>
      </c>
      <c r="B36">
        <v>0.85</v>
      </c>
      <c r="C36">
        <f t="shared" si="3"/>
        <v>0.86883221421469381</v>
      </c>
      <c r="D36">
        <f t="shared" si="5"/>
        <v>4.9086822453718538E-4</v>
      </c>
      <c r="E36">
        <f t="shared" si="4"/>
        <v>3.5465229222811644E-4</v>
      </c>
    </row>
    <row r="37" spans="1:11">
      <c r="A37">
        <v>180</v>
      </c>
      <c r="B37">
        <v>0.88</v>
      </c>
      <c r="C37">
        <f t="shared" si="3"/>
        <v>0.93060588448846604</v>
      </c>
      <c r="D37">
        <f t="shared" si="5"/>
        <v>3.3070190403666935E-3</v>
      </c>
      <c r="E37">
        <f t="shared" si="4"/>
        <v>2.5609555448599672E-3</v>
      </c>
    </row>
    <row r="38" spans="1:11">
      <c r="A38">
        <v>190</v>
      </c>
      <c r="B38">
        <v>0.89</v>
      </c>
      <c r="C38">
        <f t="shared" si="3"/>
        <v>0.95020268873121949</v>
      </c>
      <c r="D38">
        <f t="shared" si="5"/>
        <v>4.5756390991896238E-3</v>
      </c>
      <c r="E38">
        <f t="shared" si="4"/>
        <v>3.6243637304681007E-3</v>
      </c>
    </row>
    <row r="39" spans="1:11">
      <c r="A39">
        <v>200</v>
      </c>
      <c r="B39">
        <v>0.9</v>
      </c>
      <c r="C39">
        <f t="shared" si="3"/>
        <v>0.96447663174694365</v>
      </c>
      <c r="D39">
        <f t="shared" si="5"/>
        <v>5.1323901746061469E-3</v>
      </c>
      <c r="E39">
        <f t="shared" si="4"/>
        <v>4.1572360414309784E-3</v>
      </c>
    </row>
    <row r="40" spans="1:11">
      <c r="B40">
        <f>SUM(B26:B39)</f>
        <v>5.46</v>
      </c>
      <c r="D40">
        <f>SUM(D26:D39)</f>
        <v>60.482910441374166</v>
      </c>
      <c r="E40">
        <f>SUM(E26:E39)</f>
        <v>2.8989356440317065E-2</v>
      </c>
    </row>
    <row r="48" spans="1:11">
      <c r="A48" s="13" t="s">
        <v>122</v>
      </c>
    </row>
    <row r="50" spans="1:11">
      <c r="A50" t="s">
        <v>29</v>
      </c>
      <c r="B50" t="s">
        <v>43</v>
      </c>
      <c r="C50" t="s">
        <v>99</v>
      </c>
      <c r="D50" t="s">
        <v>123</v>
      </c>
      <c r="E50" t="s">
        <v>120</v>
      </c>
    </row>
    <row r="51" spans="1:11">
      <c r="A51">
        <v>0</v>
      </c>
      <c r="B51">
        <v>0</v>
      </c>
      <c r="C51">
        <f t="shared" ref="C51:C64" si="6">(1/(1+EXP(($K$51*$K$52*$K$56/$K$60)-($K$51*$K$57*A51))))</f>
        <v>2.9367463670720927E-2</v>
      </c>
      <c r="D51">
        <f t="shared" ref="D51:D64" si="7">ABS(B51-C51)</f>
        <v>2.9367463670720927E-2</v>
      </c>
      <c r="E51">
        <f t="shared" ref="E51:E64" si="8">(C51-B51)^2</f>
        <v>8.6244792245111345E-4</v>
      </c>
      <c r="J51" s="6" t="s">
        <v>102</v>
      </c>
      <c r="K51" s="6">
        <v>3.3425834241395601E-4</v>
      </c>
    </row>
    <row r="52" spans="1:11">
      <c r="A52">
        <v>10</v>
      </c>
      <c r="B52">
        <v>0</v>
      </c>
      <c r="C52">
        <f t="shared" si="6"/>
        <v>4.0550863359088474E-2</v>
      </c>
      <c r="D52">
        <f t="shared" si="7"/>
        <v>4.0550863359088474E-2</v>
      </c>
      <c r="E52">
        <f t="shared" si="8"/>
        <v>1.6443725191674641E-3</v>
      </c>
      <c r="J52" s="6" t="s">
        <v>103</v>
      </c>
      <c r="K52" s="6">
        <v>20930.281346824901</v>
      </c>
    </row>
    <row r="53" spans="1:11">
      <c r="A53">
        <v>15</v>
      </c>
      <c r="B53">
        <v>0</v>
      </c>
      <c r="C53">
        <f t="shared" si="6"/>
        <v>4.7576399675464953E-2</v>
      </c>
      <c r="D53">
        <f t="shared" si="7"/>
        <v>4.7576399675464953E-2</v>
      </c>
      <c r="E53">
        <f t="shared" si="8"/>
        <v>2.2635138060795815E-3</v>
      </c>
    </row>
    <row r="54" spans="1:11">
      <c r="A54">
        <v>20</v>
      </c>
      <c r="B54">
        <v>0</v>
      </c>
      <c r="C54">
        <f t="shared" si="6"/>
        <v>5.5748402941816093E-2</v>
      </c>
      <c r="D54">
        <f t="shared" si="7"/>
        <v>5.5748402941816093E-2</v>
      </c>
      <c r="E54">
        <f t="shared" si="8"/>
        <v>3.1078844305630891E-3</v>
      </c>
    </row>
    <row r="55" spans="1:11">
      <c r="A55">
        <v>25</v>
      </c>
      <c r="B55">
        <v>0</v>
      </c>
      <c r="C55">
        <f t="shared" si="6"/>
        <v>6.5227945495806711E-2</v>
      </c>
      <c r="D55">
        <f t="shared" si="7"/>
        <v>6.5227945495806711E-2</v>
      </c>
      <c r="E55">
        <f t="shared" si="8"/>
        <v>4.2546848736039313E-3</v>
      </c>
      <c r="H55" s="6" t="s">
        <v>124</v>
      </c>
      <c r="I55" s="6">
        <f>SUM(D51:D64)</f>
        <v>0.55777013730096436</v>
      </c>
    </row>
    <row r="56" spans="1:11">
      <c r="A56">
        <v>40</v>
      </c>
      <c r="B56">
        <v>0.01</v>
      </c>
      <c r="C56">
        <f t="shared" si="6"/>
        <v>0.10330525930888476</v>
      </c>
      <c r="D56">
        <f t="shared" si="7"/>
        <v>9.3305259308884766E-2</v>
      </c>
      <c r="E56">
        <f t="shared" si="8"/>
        <v>8.7058714146982276E-3</v>
      </c>
      <c r="J56" t="s">
        <v>105</v>
      </c>
      <c r="K56">
        <v>4</v>
      </c>
    </row>
    <row r="57" spans="1:11">
      <c r="A57">
        <v>70</v>
      </c>
      <c r="B57">
        <v>0.24</v>
      </c>
      <c r="C57">
        <f t="shared" si="6"/>
        <v>0.23898501862223637</v>
      </c>
      <c r="D57">
        <f t="shared" si="7"/>
        <v>1.0149813777636241E-3</v>
      </c>
      <c r="E57">
        <f t="shared" si="8"/>
        <v>1.0301871972069445E-6</v>
      </c>
      <c r="J57" t="s">
        <v>12</v>
      </c>
      <c r="K57">
        <v>100</v>
      </c>
    </row>
    <row r="58" spans="1:11">
      <c r="A58">
        <v>92</v>
      </c>
      <c r="B58">
        <v>0.43</v>
      </c>
      <c r="C58">
        <f t="shared" si="6"/>
        <v>0.39582688263487714</v>
      </c>
      <c r="D58">
        <f t="shared" si="7"/>
        <v>3.4173117365122851E-2</v>
      </c>
      <c r="E58">
        <f t="shared" si="8"/>
        <v>1.167801950450461E-3</v>
      </c>
      <c r="J58" t="s">
        <v>106</v>
      </c>
      <c r="K58">
        <v>14</v>
      </c>
    </row>
    <row r="59" spans="1:11">
      <c r="A59">
        <v>110</v>
      </c>
      <c r="B59">
        <v>0.56000000000000005</v>
      </c>
      <c r="C59">
        <f t="shared" si="6"/>
        <v>0.544576628679592</v>
      </c>
      <c r="D59">
        <f t="shared" si="7"/>
        <v>1.5423371320408052E-2</v>
      </c>
      <c r="E59">
        <f t="shared" si="8"/>
        <v>2.3788038288718563E-4</v>
      </c>
      <c r="J59" t="s">
        <v>107</v>
      </c>
      <c r="K59">
        <v>2</v>
      </c>
    </row>
    <row r="60" spans="1:11">
      <c r="A60">
        <v>130</v>
      </c>
      <c r="B60">
        <v>0.7</v>
      </c>
      <c r="C60">
        <f t="shared" si="6"/>
        <v>0.70000000343780666</v>
      </c>
      <c r="D60">
        <f t="shared" si="7"/>
        <v>3.4378067059748219E-9</v>
      </c>
      <c r="E60">
        <f t="shared" si="8"/>
        <v>1.1818514947645455E-17</v>
      </c>
      <c r="J60" t="s">
        <v>8</v>
      </c>
      <c r="K60">
        <v>8</v>
      </c>
    </row>
    <row r="61" spans="1:11">
      <c r="A61">
        <v>160</v>
      </c>
      <c r="B61">
        <v>0.85</v>
      </c>
      <c r="C61">
        <f t="shared" si="6"/>
        <v>0.86413566252818819</v>
      </c>
      <c r="D61">
        <f t="shared" si="7"/>
        <v>1.4135662528188209E-2</v>
      </c>
      <c r="E61">
        <f t="shared" si="8"/>
        <v>1.9981695511082426E-4</v>
      </c>
    </row>
    <row r="62" spans="1:11">
      <c r="A62">
        <v>180</v>
      </c>
      <c r="B62">
        <v>0.88</v>
      </c>
      <c r="C62">
        <f t="shared" si="6"/>
        <v>0.92543478745046781</v>
      </c>
      <c r="D62">
        <f t="shared" si="7"/>
        <v>4.5434787450467806E-2</v>
      </c>
      <c r="E62">
        <f t="shared" si="8"/>
        <v>2.064319910669187E-3</v>
      </c>
    </row>
    <row r="63" spans="1:11">
      <c r="A63">
        <v>190</v>
      </c>
      <c r="B63">
        <v>0.89</v>
      </c>
      <c r="C63">
        <f t="shared" si="6"/>
        <v>0.9454657094050033</v>
      </c>
      <c r="D63">
        <f t="shared" si="7"/>
        <v>5.5465709405003283E-2</v>
      </c>
      <c r="E63">
        <f t="shared" si="8"/>
        <v>3.0764449198002696E-3</v>
      </c>
    </row>
    <row r="64" spans="1:11">
      <c r="A64">
        <v>200</v>
      </c>
      <c r="B64">
        <v>0.9</v>
      </c>
      <c r="C64">
        <f t="shared" si="6"/>
        <v>0.9603461699644219</v>
      </c>
      <c r="D64">
        <f t="shared" si="7"/>
        <v>6.0346169964421881E-2</v>
      </c>
      <c r="E64">
        <f t="shared" si="8"/>
        <v>3.6416602293748933E-3</v>
      </c>
    </row>
    <row r="65" spans="1:11">
      <c r="D65">
        <f>SUM(D51:D64)</f>
        <v>0.55777013730096436</v>
      </c>
    </row>
    <row r="71" spans="1:11" ht="15.6">
      <c r="A71" s="20" t="s">
        <v>125</v>
      </c>
    </row>
    <row r="73" spans="1:11">
      <c r="A73" t="s">
        <v>29</v>
      </c>
      <c r="B73" t="s">
        <v>43</v>
      </c>
      <c r="C73" t="s">
        <v>99</v>
      </c>
      <c r="D73" t="s">
        <v>119</v>
      </c>
      <c r="E73" t="s">
        <v>120</v>
      </c>
    </row>
    <row r="74" spans="1:11">
      <c r="A74">
        <v>0</v>
      </c>
      <c r="B74">
        <v>0</v>
      </c>
      <c r="C74">
        <f t="shared" ref="C74:C87" si="9">(1/(1+EXP(($K$74*$K$75*$K$79/$K$83)-($K$74*$K$80*A74))))</f>
        <v>3.3816596749230879E-3</v>
      </c>
      <c r="D74">
        <v>0</v>
      </c>
      <c r="E74">
        <f t="shared" ref="E74:E87" si="10">(C74-B74)^2</f>
        <v>1.1435622157000924E-5</v>
      </c>
      <c r="J74" s="6" t="s">
        <v>102</v>
      </c>
      <c r="K74" s="6">
        <v>5.4698454469220598E-4</v>
      </c>
    </row>
    <row r="75" spans="1:11">
      <c r="A75">
        <v>10</v>
      </c>
      <c r="B75">
        <v>0</v>
      </c>
      <c r="C75">
        <f t="shared" si="9"/>
        <v>5.8292725936231115E-3</v>
      </c>
      <c r="D75">
        <v>0</v>
      </c>
      <c r="E75">
        <f t="shared" si="10"/>
        <v>3.3980418970765514E-5</v>
      </c>
      <c r="J75" s="6" t="s">
        <v>103</v>
      </c>
      <c r="K75" s="6">
        <v>20790.354413792898</v>
      </c>
    </row>
    <row r="76" spans="1:11">
      <c r="A76">
        <v>15</v>
      </c>
      <c r="B76">
        <v>0</v>
      </c>
      <c r="C76">
        <f t="shared" si="9"/>
        <v>7.648829219874362E-3</v>
      </c>
      <c r="D76">
        <v>0</v>
      </c>
      <c r="E76">
        <f t="shared" si="10"/>
        <v>5.8504588434803841E-5</v>
      </c>
      <c r="G76" s="6" t="s">
        <v>126</v>
      </c>
      <c r="H76" s="6">
        <f>(100/12)*D88</f>
        <v>1.3773535099452052</v>
      </c>
    </row>
    <row r="77" spans="1:11">
      <c r="A77">
        <v>20</v>
      </c>
      <c r="B77">
        <v>0</v>
      </c>
      <c r="C77">
        <f t="shared" si="9"/>
        <v>1.003061420696498E-2</v>
      </c>
      <c r="D77">
        <v>0</v>
      </c>
      <c r="E77">
        <f>(C77-B77)^2</f>
        <v>1.0061322136896769E-4</v>
      </c>
    </row>
    <row r="78" spans="1:11">
      <c r="A78">
        <v>25</v>
      </c>
      <c r="B78">
        <v>0</v>
      </c>
      <c r="C78">
        <f t="shared" si="9"/>
        <v>1.3144244401321092E-2</v>
      </c>
      <c r="D78">
        <v>0</v>
      </c>
      <c r="E78">
        <f t="shared" si="10"/>
        <v>1.7277116088166086E-4</v>
      </c>
    </row>
    <row r="79" spans="1:11">
      <c r="A79">
        <v>40</v>
      </c>
      <c r="B79">
        <v>0.01</v>
      </c>
      <c r="C79">
        <f t="shared" si="9"/>
        <v>2.9367391891855193E-2</v>
      </c>
      <c r="D79">
        <f>(B79-C79)^2/B79</f>
        <v>3.750958686926982E-2</v>
      </c>
      <c r="E79">
        <f t="shared" si="10"/>
        <v>3.7509586869269822E-4</v>
      </c>
      <c r="J79" t="s">
        <v>105</v>
      </c>
      <c r="K79">
        <v>4</v>
      </c>
    </row>
    <row r="80" spans="1:11">
      <c r="A80">
        <v>70</v>
      </c>
      <c r="B80">
        <v>0.24</v>
      </c>
      <c r="C80">
        <f t="shared" si="9"/>
        <v>0.13504032396574581</v>
      </c>
      <c r="D80">
        <f t="shared" ref="D80:D87" si="11">(B80-C80)^2/B80</f>
        <v>4.5902223305064965E-2</v>
      </c>
      <c r="E80">
        <f t="shared" si="10"/>
        <v>1.1016533593215591E-2</v>
      </c>
      <c r="J80" t="s">
        <v>12</v>
      </c>
      <c r="K80">
        <v>100</v>
      </c>
    </row>
    <row r="81" spans="1:11">
      <c r="A81">
        <v>92</v>
      </c>
      <c r="B81">
        <v>0.43</v>
      </c>
      <c r="C81">
        <f t="shared" si="9"/>
        <v>0.34214645361146184</v>
      </c>
      <c r="D81">
        <f t="shared" si="11"/>
        <v>1.7949408402425638E-2</v>
      </c>
      <c r="E81">
        <f t="shared" si="10"/>
        <v>7.7182456130430246E-3</v>
      </c>
      <c r="J81" t="s">
        <v>106</v>
      </c>
      <c r="K81">
        <v>14</v>
      </c>
    </row>
    <row r="82" spans="1:11">
      <c r="A82">
        <v>110</v>
      </c>
      <c r="B82">
        <v>0.56000000000000005</v>
      </c>
      <c r="C82">
        <f t="shared" si="9"/>
        <v>0.58196100353640168</v>
      </c>
      <c r="D82">
        <f t="shared" si="11"/>
        <v>8.6122442201043686E-4</v>
      </c>
      <c r="E82">
        <f t="shared" si="10"/>
        <v>4.8228567632584466E-4</v>
      </c>
      <c r="J82" t="s">
        <v>107</v>
      </c>
      <c r="K82">
        <v>2</v>
      </c>
    </row>
    <row r="83" spans="1:11">
      <c r="A83">
        <v>130</v>
      </c>
      <c r="B83">
        <v>0.7</v>
      </c>
      <c r="C83">
        <f t="shared" si="9"/>
        <v>0.80608945988653591</v>
      </c>
      <c r="D83">
        <f t="shared" si="11"/>
        <v>1.6078533570024173E-2</v>
      </c>
      <c r="E83">
        <f t="shared" si="10"/>
        <v>1.1254973499016921E-2</v>
      </c>
      <c r="J83" t="s">
        <v>8</v>
      </c>
      <c r="K83">
        <v>8</v>
      </c>
    </row>
    <row r="84" spans="1:11">
      <c r="A84">
        <v>160</v>
      </c>
      <c r="B84">
        <v>0.85</v>
      </c>
      <c r="C84">
        <f t="shared" si="9"/>
        <v>0.95545771065462404</v>
      </c>
      <c r="D84">
        <f t="shared" si="11"/>
        <v>1.3083916160605186E-2</v>
      </c>
      <c r="E84">
        <f t="shared" si="10"/>
        <v>1.1121328736514408E-2</v>
      </c>
    </row>
    <row r="85" spans="1:11">
      <c r="A85">
        <v>180</v>
      </c>
      <c r="B85">
        <v>0.88</v>
      </c>
      <c r="C85">
        <f t="shared" si="9"/>
        <v>0.98462806509532586</v>
      </c>
      <c r="D85">
        <f t="shared" si="11"/>
        <v>1.2439809097263345E-2</v>
      </c>
      <c r="E85">
        <f t="shared" si="10"/>
        <v>1.0947032005591743E-2</v>
      </c>
    </row>
    <row r="86" spans="1:11">
      <c r="A86">
        <v>190</v>
      </c>
      <c r="B86">
        <v>0.89</v>
      </c>
      <c r="C86">
        <f t="shared" si="9"/>
        <v>0.99104639475637979</v>
      </c>
      <c r="D86">
        <f t="shared" si="11"/>
        <v>1.1472330217148465E-2</v>
      </c>
      <c r="E86">
        <f t="shared" si="10"/>
        <v>1.0210373893262134E-2</v>
      </c>
    </row>
    <row r="87" spans="1:11">
      <c r="A87">
        <v>200</v>
      </c>
      <c r="B87">
        <v>0.9</v>
      </c>
      <c r="C87">
        <f t="shared" si="9"/>
        <v>0.99479899912262448</v>
      </c>
      <c r="D87">
        <f t="shared" si="11"/>
        <v>9.9853891496126147E-3</v>
      </c>
      <c r="E87">
        <f t="shared" si="10"/>
        <v>8.9868502346513533E-3</v>
      </c>
    </row>
    <row r="88" spans="1:11">
      <c r="D88">
        <f>SUM(D74:D87)</f>
        <v>0.16528242119342462</v>
      </c>
    </row>
    <row r="94" spans="1:11">
      <c r="A94" s="13" t="s">
        <v>127</v>
      </c>
    </row>
    <row r="96" spans="1:11">
      <c r="A96" t="s">
        <v>29</v>
      </c>
      <c r="B96" t="s">
        <v>43</v>
      </c>
      <c r="C96" t="s">
        <v>99</v>
      </c>
      <c r="D96" t="s">
        <v>119</v>
      </c>
      <c r="E96" t="s">
        <v>128</v>
      </c>
    </row>
    <row r="97" spans="1:11">
      <c r="A97">
        <v>0</v>
      </c>
      <c r="B97">
        <v>0</v>
      </c>
      <c r="C97">
        <f t="shared" ref="C97:C110" si="12">(1/(1+EXP(($K$97*$K$98*$K$102/$K$106)-($K$97*$K$103*A97))))</f>
        <v>3.4514337878783809E-2</v>
      </c>
      <c r="D97">
        <v>0</v>
      </c>
      <c r="E97">
        <f t="shared" ref="E97:E110" si="13">(C97-B97)^2</f>
        <v>1.1912395192108507E-3</v>
      </c>
      <c r="J97" s="6" t="s">
        <v>102</v>
      </c>
      <c r="K97" s="6">
        <v>3.1970458324209598E-4</v>
      </c>
    </row>
    <row r="98" spans="1:11">
      <c r="A98">
        <v>10</v>
      </c>
      <c r="B98">
        <v>0</v>
      </c>
      <c r="C98">
        <f t="shared" si="12"/>
        <v>4.6906719577945774E-2</v>
      </c>
      <c r="D98">
        <v>0</v>
      </c>
      <c r="E98">
        <f t="shared" si="13"/>
        <v>2.2002403415640414E-3</v>
      </c>
      <c r="J98" s="6" t="s">
        <v>103</v>
      </c>
      <c r="K98" s="6">
        <v>20839.591283756101</v>
      </c>
    </row>
    <row r="99" spans="1:11">
      <c r="A99">
        <v>15</v>
      </c>
      <c r="B99">
        <v>0</v>
      </c>
      <c r="C99">
        <f t="shared" si="12"/>
        <v>5.4593531865688417E-2</v>
      </c>
      <c r="D99">
        <v>0</v>
      </c>
      <c r="E99">
        <f t="shared" si="13"/>
        <v>2.9804537215699367E-3</v>
      </c>
      <c r="G99" s="6" t="s">
        <v>129</v>
      </c>
      <c r="H99" s="6">
        <f>(100/14)*D111</f>
        <v>0.10953181316119401</v>
      </c>
    </row>
    <row r="100" spans="1:11">
      <c r="A100">
        <v>20</v>
      </c>
      <c r="B100">
        <v>0</v>
      </c>
      <c r="C100">
        <f t="shared" si="12"/>
        <v>6.3456148289539063E-2</v>
      </c>
      <c r="D100">
        <v>0</v>
      </c>
      <c r="E100">
        <f t="shared" si="13"/>
        <v>4.0266827557439711E-3</v>
      </c>
    </row>
    <row r="101" spans="1:11">
      <c r="A101">
        <v>25</v>
      </c>
      <c r="B101">
        <v>0</v>
      </c>
      <c r="C101">
        <f t="shared" si="12"/>
        <v>7.3645430718331656E-2</v>
      </c>
      <c r="D101">
        <v>0</v>
      </c>
      <c r="E101">
        <f t="shared" si="13"/>
        <v>5.4236494656885875E-3</v>
      </c>
    </row>
    <row r="102" spans="1:11">
      <c r="A102">
        <v>40</v>
      </c>
      <c r="B102">
        <v>0.01</v>
      </c>
      <c r="C102">
        <f t="shared" si="12"/>
        <v>0.11380625755120928</v>
      </c>
      <c r="D102">
        <v>0</v>
      </c>
      <c r="E102">
        <f t="shared" si="13"/>
        <v>1.0775739106787995E-2</v>
      </c>
      <c r="J102" t="s">
        <v>105</v>
      </c>
      <c r="K102">
        <v>4</v>
      </c>
    </row>
    <row r="103" spans="1:11">
      <c r="A103">
        <v>70</v>
      </c>
      <c r="B103">
        <v>0.24</v>
      </c>
      <c r="C103">
        <f t="shared" si="12"/>
        <v>0.25099280044497729</v>
      </c>
      <c r="D103">
        <f t="shared" ref="D103:D110" si="14">((B103-C103)/B103)^2</f>
        <v>2.0979455142898121E-3</v>
      </c>
      <c r="E103">
        <f t="shared" si="13"/>
        <v>1.2084166162309318E-4</v>
      </c>
      <c r="J103" t="s">
        <v>12</v>
      </c>
      <c r="K103">
        <v>100</v>
      </c>
    </row>
    <row r="104" spans="1:11">
      <c r="A104">
        <v>92</v>
      </c>
      <c r="B104">
        <v>0.43</v>
      </c>
      <c r="C104">
        <f t="shared" si="12"/>
        <v>0.40372349774298688</v>
      </c>
      <c r="D104">
        <f t="shared" si="14"/>
        <v>3.7342053589119266E-3</v>
      </c>
      <c r="E104">
        <f t="shared" si="13"/>
        <v>6.904545708628152E-4</v>
      </c>
      <c r="J104" t="s">
        <v>106</v>
      </c>
      <c r="K104">
        <v>14</v>
      </c>
    </row>
    <row r="105" spans="1:11">
      <c r="A105">
        <v>110</v>
      </c>
      <c r="B105">
        <v>0.56000000000000005</v>
      </c>
      <c r="C105">
        <f t="shared" si="12"/>
        <v>0.54624098569842416</v>
      </c>
      <c r="D105">
        <f t="shared" si="14"/>
        <v>6.0366860507324554E-4</v>
      </c>
      <c r="E105">
        <f t="shared" si="13"/>
        <v>1.8931047455096985E-4</v>
      </c>
      <c r="J105" t="s">
        <v>107</v>
      </c>
      <c r="K105">
        <v>2</v>
      </c>
    </row>
    <row r="106" spans="1:11">
      <c r="A106">
        <v>130</v>
      </c>
      <c r="B106">
        <v>0.7</v>
      </c>
      <c r="C106">
        <f t="shared" si="12"/>
        <v>0.69527615230017958</v>
      </c>
      <c r="D106">
        <f t="shared" si="14"/>
        <v>4.5540279777751464E-5</v>
      </c>
      <c r="E106">
        <f t="shared" si="13"/>
        <v>2.2314737091098217E-5</v>
      </c>
      <c r="J106" t="s">
        <v>8</v>
      </c>
      <c r="K106">
        <v>8</v>
      </c>
    </row>
    <row r="107" spans="1:11">
      <c r="A107">
        <v>160</v>
      </c>
      <c r="B107">
        <v>0.85</v>
      </c>
      <c r="C107">
        <f t="shared" si="12"/>
        <v>0.85619216440264945</v>
      </c>
      <c r="D107">
        <f t="shared" si="14"/>
        <v>5.3069757770850188E-5</v>
      </c>
      <c r="E107">
        <f t="shared" si="13"/>
        <v>3.8342899989439256E-5</v>
      </c>
    </row>
    <row r="108" spans="1:11">
      <c r="A108">
        <v>180</v>
      </c>
      <c r="B108">
        <v>0.88</v>
      </c>
      <c r="C108">
        <f t="shared" si="12"/>
        <v>0.9185963043153238</v>
      </c>
      <c r="D108">
        <f t="shared" si="14"/>
        <v>1.923650189567513E-3</v>
      </c>
      <c r="E108">
        <f t="shared" si="13"/>
        <v>1.4896747068010819E-3</v>
      </c>
    </row>
    <row r="109" spans="1:11">
      <c r="A109">
        <v>190</v>
      </c>
      <c r="B109">
        <v>0.89</v>
      </c>
      <c r="C109">
        <f t="shared" si="12"/>
        <v>0.93952422082720466</v>
      </c>
      <c r="D109">
        <f t="shared" si="14"/>
        <v>3.0963873861150491E-3</v>
      </c>
      <c r="E109">
        <f t="shared" si="13"/>
        <v>2.4526484485417302E-3</v>
      </c>
    </row>
    <row r="110" spans="1:11">
      <c r="A110">
        <v>200</v>
      </c>
      <c r="B110">
        <v>0.9</v>
      </c>
      <c r="C110">
        <f t="shared" si="12"/>
        <v>0.95533343716379293</v>
      </c>
      <c r="D110">
        <f t="shared" si="14"/>
        <v>3.7799867510610102E-3</v>
      </c>
      <c r="E110">
        <f t="shared" si="13"/>
        <v>3.0617892683594181E-3</v>
      </c>
    </row>
    <row r="111" spans="1:11">
      <c r="D111">
        <f>SUM(D103:D110)</f>
        <v>1.533445384256716E-2</v>
      </c>
    </row>
    <row r="117" spans="1:11">
      <c r="A117" t="s">
        <v>130</v>
      </c>
    </row>
    <row r="118" spans="1:11" ht="15.6">
      <c r="A118" s="20" t="s">
        <v>109</v>
      </c>
    </row>
    <row r="119" spans="1:11">
      <c r="A119" t="s">
        <v>29</v>
      </c>
      <c r="B119" t="s">
        <v>43</v>
      </c>
      <c r="C119" t="s">
        <v>99</v>
      </c>
      <c r="D119" t="s">
        <v>100</v>
      </c>
    </row>
    <row r="120" spans="1:11">
      <c r="A120">
        <v>0</v>
      </c>
      <c r="B120">
        <v>0</v>
      </c>
      <c r="C120">
        <f t="shared" ref="C120:C137" si="15">(1/(1+EXP(($K$120*$K$121*$K$125/$K$128)-($K$120*$K$126*A120))))</f>
        <v>2.394116998983219E-3</v>
      </c>
      <c r="D120">
        <f t="shared" ref="D120:D137" si="16">(B120-C120)^2</f>
        <v>5.7317962048204151E-6</v>
      </c>
      <c r="J120" s="6" t="s">
        <v>102</v>
      </c>
      <c r="K120" s="6">
        <v>2.9954878544799398E-4</v>
      </c>
    </row>
    <row r="121" spans="1:11">
      <c r="A121">
        <v>20</v>
      </c>
      <c r="B121">
        <v>0</v>
      </c>
      <c r="C121">
        <f t="shared" si="15"/>
        <v>4.3498861036521041E-3</v>
      </c>
      <c r="D121">
        <f t="shared" si="16"/>
        <v>1.8921509114745683E-5</v>
      </c>
      <c r="J121" s="6" t="s">
        <v>103</v>
      </c>
      <c r="K121" s="6">
        <v>20138.101394013502</v>
      </c>
    </row>
    <row r="122" spans="1:11">
      <c r="A122">
        <v>30</v>
      </c>
      <c r="B122">
        <v>0</v>
      </c>
      <c r="C122">
        <f t="shared" si="15"/>
        <v>5.8601804861440204E-3</v>
      </c>
      <c r="D122">
        <f t="shared" si="16"/>
        <v>3.4341715330183165E-5</v>
      </c>
    </row>
    <row r="123" spans="1:11">
      <c r="A123">
        <v>40</v>
      </c>
      <c r="B123">
        <v>0</v>
      </c>
      <c r="C123">
        <f t="shared" si="15"/>
        <v>7.8906981198650621E-3</v>
      </c>
      <c r="D123">
        <f t="shared" si="16"/>
        <v>6.2263116818842031E-5</v>
      </c>
      <c r="G123" s="6" t="s">
        <v>100</v>
      </c>
      <c r="H123" s="6">
        <f>D138</f>
        <v>1.8423981948949238E-2</v>
      </c>
    </row>
    <row r="124" spans="1:11">
      <c r="A124">
        <v>50</v>
      </c>
      <c r="B124">
        <v>0</v>
      </c>
      <c r="C124">
        <f t="shared" si="15"/>
        <v>1.0617264079976275E-2</v>
      </c>
      <c r="D124">
        <f t="shared" si="16"/>
        <v>1.1272629654395446E-4</v>
      </c>
    </row>
    <row r="125" spans="1:11">
      <c r="A125">
        <v>60</v>
      </c>
      <c r="B125">
        <v>0</v>
      </c>
      <c r="C125">
        <f t="shared" si="15"/>
        <v>1.4272418925466579E-2</v>
      </c>
      <c r="D125">
        <f t="shared" si="16"/>
        <v>2.0370194198401657E-4</v>
      </c>
      <c r="J125" t="s">
        <v>105</v>
      </c>
      <c r="K125">
        <v>8</v>
      </c>
    </row>
    <row r="126" spans="1:11">
      <c r="A126">
        <v>70</v>
      </c>
      <c r="B126">
        <v>0</v>
      </c>
      <c r="C126">
        <f t="shared" si="15"/>
        <v>1.9161545949089875E-2</v>
      </c>
      <c r="D126">
        <f t="shared" si="16"/>
        <v>3.671648431590826E-4</v>
      </c>
      <c r="J126" t="s">
        <v>12</v>
      </c>
      <c r="K126">
        <v>100</v>
      </c>
    </row>
    <row r="127" spans="1:11">
      <c r="A127">
        <v>80</v>
      </c>
      <c r="B127">
        <v>0</v>
      </c>
      <c r="C127">
        <f t="shared" si="15"/>
        <v>2.568184614832213E-2</v>
      </c>
      <c r="D127">
        <f t="shared" si="16"/>
        <v>6.595572215860882E-4</v>
      </c>
      <c r="J127" t="s">
        <v>106</v>
      </c>
      <c r="K127">
        <v>18</v>
      </c>
    </row>
    <row r="128" spans="1:11">
      <c r="A128">
        <v>115</v>
      </c>
      <c r="B128">
        <v>0.01</v>
      </c>
      <c r="C128">
        <f t="shared" si="15"/>
        <v>6.9945112157554959E-2</v>
      </c>
      <c r="D128">
        <f t="shared" si="16"/>
        <v>3.5934164715818429E-3</v>
      </c>
      <c r="J128" t="s">
        <v>8</v>
      </c>
      <c r="K128">
        <v>8</v>
      </c>
    </row>
    <row r="129" spans="1:11">
      <c r="A129">
        <v>140</v>
      </c>
      <c r="B129">
        <v>0.08</v>
      </c>
      <c r="C129">
        <f t="shared" si="15"/>
        <v>0.13720975231956933</v>
      </c>
      <c r="D129">
        <f t="shared" si="16"/>
        <v>3.2729557604664686E-3</v>
      </c>
      <c r="J129" t="s">
        <v>107</v>
      </c>
      <c r="K129">
        <v>2</v>
      </c>
    </row>
    <row r="130" spans="1:11">
      <c r="A130">
        <v>170</v>
      </c>
      <c r="B130">
        <v>0.3</v>
      </c>
      <c r="C130">
        <f t="shared" si="15"/>
        <v>0.28089742149999986</v>
      </c>
      <c r="D130">
        <f t="shared" si="16"/>
        <v>3.6490850534866737E-4</v>
      </c>
    </row>
    <row r="131" spans="1:11">
      <c r="A131">
        <v>195</v>
      </c>
      <c r="B131">
        <v>0.49</v>
      </c>
      <c r="C131">
        <f t="shared" si="15"/>
        <v>0.452359335139425</v>
      </c>
      <c r="D131">
        <f t="shared" si="16"/>
        <v>1.4168196511461248E-3</v>
      </c>
    </row>
    <row r="132" spans="1:11">
      <c r="A132">
        <v>210</v>
      </c>
      <c r="B132">
        <v>0.6</v>
      </c>
      <c r="C132">
        <f t="shared" si="15"/>
        <v>0.56418901032334146</v>
      </c>
      <c r="D132">
        <f t="shared" si="16"/>
        <v>1.2824269816217432E-3</v>
      </c>
    </row>
    <row r="133" spans="1:11">
      <c r="A133">
        <v>230</v>
      </c>
      <c r="B133">
        <v>0.71</v>
      </c>
      <c r="C133">
        <f t="shared" si="15"/>
        <v>0.70209168959491186</v>
      </c>
      <c r="D133">
        <f t="shared" si="16"/>
        <v>6.2541373463224765E-5</v>
      </c>
    </row>
    <row r="134" spans="1:11">
      <c r="A134">
        <v>250</v>
      </c>
      <c r="B134">
        <v>0.8</v>
      </c>
      <c r="C134">
        <f t="shared" si="15"/>
        <v>0.81097774033012415</v>
      </c>
      <c r="D134">
        <f t="shared" si="16"/>
        <v>1.2051078275563336E-4</v>
      </c>
    </row>
    <row r="135" spans="1:11">
      <c r="A135">
        <v>270</v>
      </c>
      <c r="B135">
        <v>0.85</v>
      </c>
      <c r="C135">
        <f t="shared" si="15"/>
        <v>0.88649950744476846</v>
      </c>
      <c r="D135">
        <f t="shared" si="16"/>
        <v>1.3322140437107101E-3</v>
      </c>
    </row>
    <row r="136" spans="1:11">
      <c r="A136">
        <v>285</v>
      </c>
      <c r="B136">
        <v>0.87</v>
      </c>
      <c r="C136">
        <f t="shared" si="15"/>
        <v>0.92447739412062824</v>
      </c>
      <c r="D136">
        <f t="shared" si="16"/>
        <v>2.9677864701742607E-3</v>
      </c>
    </row>
    <row r="137" spans="1:11">
      <c r="A137">
        <v>300</v>
      </c>
      <c r="B137">
        <v>0.9</v>
      </c>
      <c r="C137">
        <f t="shared" si="15"/>
        <v>0.9504578385182999</v>
      </c>
      <c r="D137">
        <f t="shared" si="16"/>
        <v>2.5459934679388269E-3</v>
      </c>
    </row>
    <row r="138" spans="1:11">
      <c r="D138">
        <f>SUM(D120:D137)</f>
        <v>1.8423981948949238E-2</v>
      </c>
    </row>
    <row r="144" spans="1:11" ht="15.6">
      <c r="A144" s="20" t="s">
        <v>122</v>
      </c>
    </row>
    <row r="145" spans="1:11">
      <c r="A145" t="s">
        <v>29</v>
      </c>
      <c r="B145" t="s">
        <v>43</v>
      </c>
      <c r="C145" t="s">
        <v>99</v>
      </c>
      <c r="D145" t="s">
        <v>131</v>
      </c>
    </row>
    <row r="146" spans="1:11">
      <c r="A146">
        <v>0</v>
      </c>
      <c r="B146">
        <v>0</v>
      </c>
      <c r="C146">
        <f t="shared" ref="C146:C163" si="17">(1/(1+EXP(($K$146*$K$147*$K$151/$K$154)-($K$146*$K$152*A146))))</f>
        <v>3.0370845204072149E-3</v>
      </c>
      <c r="D146">
        <f t="shared" ref="D146:D163" si="18">ABS(B146-C146)</f>
        <v>3.0370845204072149E-3</v>
      </c>
      <c r="J146" s="6" t="s">
        <v>102</v>
      </c>
      <c r="K146" s="6">
        <v>2.9083478022667901E-4</v>
      </c>
    </row>
    <row r="147" spans="1:11">
      <c r="A147">
        <v>20</v>
      </c>
      <c r="B147">
        <v>0</v>
      </c>
      <c r="C147">
        <f t="shared" si="17"/>
        <v>5.4204243946526292E-3</v>
      </c>
      <c r="D147">
        <f t="shared" si="18"/>
        <v>5.4204243946526292E-3</v>
      </c>
      <c r="J147" s="6" t="s">
        <v>103</v>
      </c>
      <c r="K147" s="6">
        <v>19921.329741716701</v>
      </c>
    </row>
    <row r="148" spans="1:11">
      <c r="A148">
        <v>30</v>
      </c>
      <c r="B148">
        <v>0</v>
      </c>
      <c r="C148">
        <f t="shared" si="17"/>
        <v>7.236813147552857E-3</v>
      </c>
      <c r="D148">
        <f t="shared" si="18"/>
        <v>7.236813147552857E-3</v>
      </c>
    </row>
    <row r="149" spans="1:11">
      <c r="A149">
        <v>40</v>
      </c>
      <c r="B149">
        <v>0</v>
      </c>
      <c r="C149">
        <f t="shared" si="17"/>
        <v>9.6559659315433952E-3</v>
      </c>
      <c r="D149">
        <f t="shared" si="18"/>
        <v>9.6559659315433952E-3</v>
      </c>
      <c r="F149" s="6" t="s">
        <v>132</v>
      </c>
      <c r="G149" s="6">
        <f>D164</f>
        <v>0.44692538540132998</v>
      </c>
    </row>
    <row r="150" spans="1:11">
      <c r="A150">
        <v>50</v>
      </c>
      <c r="B150">
        <v>0</v>
      </c>
      <c r="C150">
        <f t="shared" si="17"/>
        <v>1.2873317090055627E-2</v>
      </c>
      <c r="D150">
        <f t="shared" si="18"/>
        <v>1.2873317090055627E-2</v>
      </c>
    </row>
    <row r="151" spans="1:11">
      <c r="A151">
        <v>60</v>
      </c>
      <c r="B151">
        <v>0</v>
      </c>
      <c r="C151">
        <f t="shared" si="17"/>
        <v>1.7144126123566975E-2</v>
      </c>
      <c r="D151">
        <f t="shared" si="18"/>
        <v>1.7144126123566975E-2</v>
      </c>
      <c r="J151" t="s">
        <v>105</v>
      </c>
      <c r="K151">
        <v>8</v>
      </c>
    </row>
    <row r="152" spans="1:11">
      <c r="A152">
        <v>70</v>
      </c>
      <c r="B152">
        <v>0</v>
      </c>
      <c r="C152">
        <f t="shared" si="17"/>
        <v>2.2799080020292913E-2</v>
      </c>
      <c r="D152">
        <f t="shared" si="18"/>
        <v>2.2799080020292913E-2</v>
      </c>
      <c r="J152" t="s">
        <v>12</v>
      </c>
      <c r="K152">
        <v>100</v>
      </c>
    </row>
    <row r="153" spans="1:11">
      <c r="A153">
        <v>80</v>
      </c>
      <c r="B153">
        <v>0</v>
      </c>
      <c r="C153">
        <f t="shared" si="17"/>
        <v>3.0261877228866672E-2</v>
      </c>
      <c r="D153">
        <f t="shared" si="18"/>
        <v>3.0261877228866672E-2</v>
      </c>
      <c r="J153" t="s">
        <v>106</v>
      </c>
      <c r="K153">
        <v>18</v>
      </c>
    </row>
    <row r="154" spans="1:11">
      <c r="A154">
        <v>115</v>
      </c>
      <c r="B154">
        <v>0.01</v>
      </c>
      <c r="C154">
        <f t="shared" si="17"/>
        <v>7.949593088862468E-2</v>
      </c>
      <c r="D154">
        <f t="shared" si="18"/>
        <v>6.9495930888624685E-2</v>
      </c>
      <c r="J154" t="s">
        <v>8</v>
      </c>
      <c r="K154">
        <v>8</v>
      </c>
    </row>
    <row r="155" spans="1:11">
      <c r="A155">
        <v>140</v>
      </c>
      <c r="B155">
        <v>0.08</v>
      </c>
      <c r="C155">
        <f t="shared" si="17"/>
        <v>0.15159718528028285</v>
      </c>
      <c r="D155">
        <f t="shared" si="18"/>
        <v>7.1597185280282846E-2</v>
      </c>
      <c r="J155" t="s">
        <v>107</v>
      </c>
      <c r="K155">
        <v>2</v>
      </c>
    </row>
    <row r="156" spans="1:11">
      <c r="A156">
        <v>170</v>
      </c>
      <c r="B156">
        <v>0.3</v>
      </c>
      <c r="C156">
        <f t="shared" si="17"/>
        <v>0.29951167649755622</v>
      </c>
      <c r="D156">
        <f t="shared" si="18"/>
        <v>4.8832350244376599E-4</v>
      </c>
    </row>
    <row r="157" spans="1:11">
      <c r="A157">
        <v>195</v>
      </c>
      <c r="B157">
        <v>0.49</v>
      </c>
      <c r="C157">
        <f t="shared" si="17"/>
        <v>0.46940393905584399</v>
      </c>
      <c r="D157">
        <f t="shared" si="18"/>
        <v>2.0596060944156003E-2</v>
      </c>
    </row>
    <row r="158" spans="1:11">
      <c r="A158">
        <v>210</v>
      </c>
      <c r="B158">
        <v>0.6</v>
      </c>
      <c r="C158">
        <f t="shared" si="17"/>
        <v>0.57779174843802428</v>
      </c>
      <c r="D158">
        <f t="shared" si="18"/>
        <v>2.22082515619757E-2</v>
      </c>
    </row>
    <row r="159" spans="1:11">
      <c r="A159">
        <v>230</v>
      </c>
      <c r="B159">
        <v>0.71</v>
      </c>
      <c r="C159">
        <f t="shared" si="17"/>
        <v>0.71000007019200395</v>
      </c>
      <c r="D159">
        <f t="shared" si="18"/>
        <v>7.0192003986946361E-8</v>
      </c>
    </row>
    <row r="160" spans="1:11">
      <c r="A160">
        <v>250</v>
      </c>
      <c r="B160">
        <v>0.8</v>
      </c>
      <c r="C160">
        <f t="shared" si="17"/>
        <v>0.81412718457401911</v>
      </c>
      <c r="D160">
        <f t="shared" si="18"/>
        <v>1.4127184574019069E-2</v>
      </c>
    </row>
    <row r="161" spans="1:11">
      <c r="A161">
        <v>270</v>
      </c>
      <c r="B161">
        <v>0.85</v>
      </c>
      <c r="C161">
        <f t="shared" si="17"/>
        <v>0.8868261174340264</v>
      </c>
      <c r="D161">
        <f t="shared" si="18"/>
        <v>3.6826117434026417E-2</v>
      </c>
    </row>
    <row r="162" spans="1:11">
      <c r="A162">
        <v>285</v>
      </c>
      <c r="B162">
        <v>0.87</v>
      </c>
      <c r="C162">
        <f t="shared" si="17"/>
        <v>0.92378884496201374</v>
      </c>
      <c r="D162">
        <f t="shared" si="18"/>
        <v>5.3788844962013749E-2</v>
      </c>
    </row>
    <row r="163" spans="1:11">
      <c r="A163">
        <v>300</v>
      </c>
      <c r="B163">
        <v>0.9</v>
      </c>
      <c r="C163">
        <f t="shared" si="17"/>
        <v>0.94936872760484547</v>
      </c>
      <c r="D163">
        <f t="shared" si="18"/>
        <v>4.9368727604845453E-2</v>
      </c>
    </row>
    <row r="164" spans="1:11">
      <c r="D164">
        <f>SUM(D146:D163)</f>
        <v>0.44692538540132998</v>
      </c>
    </row>
    <row r="169" spans="1:11" ht="15.6">
      <c r="A169" s="20" t="s">
        <v>133</v>
      </c>
    </row>
    <row r="171" spans="1:11">
      <c r="A171" t="s">
        <v>29</v>
      </c>
      <c r="B171" t="s">
        <v>43</v>
      </c>
      <c r="C171" t="s">
        <v>99</v>
      </c>
      <c r="D171" t="s">
        <v>120</v>
      </c>
      <c r="E171" t="s">
        <v>119</v>
      </c>
    </row>
    <row r="172" spans="1:11">
      <c r="A172">
        <v>0</v>
      </c>
      <c r="B172">
        <v>0</v>
      </c>
      <c r="C172">
        <f t="shared" ref="C172:C189" si="19">(1/(1+EXP(($K$172*$K$173*$K$177/$K$180)-($K$172*$K$178*A172))))</f>
        <v>2.2291372559575507E-4</v>
      </c>
      <c r="D172">
        <f t="shared" ref="D172:D189" si="20">(C172-B172)^2</f>
        <v>4.9690529058979589E-8</v>
      </c>
      <c r="E172">
        <v>0</v>
      </c>
      <c r="J172" s="6" t="s">
        <v>102</v>
      </c>
      <c r="K172" s="6">
        <v>4.1880230868574398E-4</v>
      </c>
    </row>
    <row r="173" spans="1:11">
      <c r="A173">
        <v>20</v>
      </c>
      <c r="B173">
        <v>0</v>
      </c>
      <c r="C173">
        <f t="shared" si="19"/>
        <v>5.1496414404604064E-4</v>
      </c>
      <c r="D173">
        <f t="shared" si="20"/>
        <v>2.6518806965307129E-7</v>
      </c>
      <c r="E173">
        <v>0</v>
      </c>
      <c r="J173" s="6" t="s">
        <v>103</v>
      </c>
      <c r="K173" s="6">
        <v>20077.498688846201</v>
      </c>
    </row>
    <row r="174" spans="1:11">
      <c r="A174">
        <v>30</v>
      </c>
      <c r="B174">
        <v>0</v>
      </c>
      <c r="C174">
        <f t="shared" si="19"/>
        <v>7.8260787022029995E-4</v>
      </c>
      <c r="D174">
        <f t="shared" si="20"/>
        <v>6.1247507853075389E-7</v>
      </c>
      <c r="E174">
        <v>0</v>
      </c>
      <c r="F174" s="6" t="s">
        <v>134</v>
      </c>
      <c r="G174" s="6">
        <f>(9)*E190</f>
        <v>0.93244368051983406</v>
      </c>
    </row>
    <row r="175" spans="1:11">
      <c r="A175">
        <v>40</v>
      </c>
      <c r="B175">
        <v>0</v>
      </c>
      <c r="C175">
        <f t="shared" si="19"/>
        <v>1.1891892985732534E-3</v>
      </c>
      <c r="D175">
        <f t="shared" si="20"/>
        <v>1.4141711878411464E-6</v>
      </c>
      <c r="E175">
        <v>0</v>
      </c>
    </row>
    <row r="176" spans="1:11">
      <c r="A176">
        <v>50</v>
      </c>
      <c r="B176">
        <v>0</v>
      </c>
      <c r="C176">
        <f t="shared" si="19"/>
        <v>1.8066165173429378E-3</v>
      </c>
      <c r="D176">
        <f t="shared" si="20"/>
        <v>3.2638632407363256E-6</v>
      </c>
      <c r="E176">
        <v>0</v>
      </c>
    </row>
    <row r="177" spans="1:11">
      <c r="A177">
        <v>60</v>
      </c>
      <c r="B177">
        <v>0</v>
      </c>
      <c r="C177">
        <f t="shared" si="19"/>
        <v>2.7437314176964986E-3</v>
      </c>
      <c r="D177">
        <f t="shared" si="20"/>
        <v>7.5280620924548382E-6</v>
      </c>
      <c r="E177">
        <v>0</v>
      </c>
      <c r="J177" t="s">
        <v>105</v>
      </c>
      <c r="K177">
        <v>8</v>
      </c>
    </row>
    <row r="178" spans="1:11">
      <c r="A178">
        <v>70</v>
      </c>
      <c r="B178">
        <v>0</v>
      </c>
      <c r="C178">
        <f t="shared" si="19"/>
        <v>4.1649115019216955E-3</v>
      </c>
      <c r="D178">
        <f t="shared" si="20"/>
        <v>1.7346487818839634E-5</v>
      </c>
      <c r="E178">
        <v>0</v>
      </c>
      <c r="J178" t="s">
        <v>12</v>
      </c>
      <c r="K178">
        <v>100</v>
      </c>
    </row>
    <row r="179" spans="1:11">
      <c r="A179">
        <v>80</v>
      </c>
      <c r="B179">
        <v>0</v>
      </c>
      <c r="C179">
        <f t="shared" si="19"/>
        <v>6.3175618020059948E-3</v>
      </c>
      <c r="D179">
        <f t="shared" si="20"/>
        <v>3.9911587122165235E-5</v>
      </c>
      <c r="E179">
        <v>0</v>
      </c>
      <c r="J179" t="s">
        <v>106</v>
      </c>
      <c r="K179">
        <v>18</v>
      </c>
    </row>
    <row r="180" spans="1:11">
      <c r="A180">
        <v>115</v>
      </c>
      <c r="B180">
        <v>0.01</v>
      </c>
      <c r="C180">
        <f t="shared" si="19"/>
        <v>2.6797691072120905E-2</v>
      </c>
      <c r="D180">
        <f t="shared" si="20"/>
        <v>2.821624253544103E-4</v>
      </c>
      <c r="E180">
        <f t="shared" ref="E180:E189" si="21">(B180-C180)^2/B180</f>
        <v>2.8216242535441031E-2</v>
      </c>
      <c r="J180" t="s">
        <v>8</v>
      </c>
      <c r="K180">
        <v>8</v>
      </c>
    </row>
    <row r="181" spans="1:11">
      <c r="A181">
        <v>140</v>
      </c>
      <c r="B181">
        <v>0.08</v>
      </c>
      <c r="C181">
        <f t="shared" si="19"/>
        <v>7.2744861825918911E-2</v>
      </c>
      <c r="D181">
        <f t="shared" si="20"/>
        <v>5.263702992500871E-5</v>
      </c>
      <c r="E181">
        <f t="shared" si="21"/>
        <v>6.5796287406260886E-4</v>
      </c>
      <c r="J181" t="s">
        <v>107</v>
      </c>
      <c r="K181">
        <v>2</v>
      </c>
    </row>
    <row r="182" spans="1:11">
      <c r="A182">
        <v>170</v>
      </c>
      <c r="B182">
        <v>0.3</v>
      </c>
      <c r="C182">
        <f t="shared" si="19"/>
        <v>0.21604522789675853</v>
      </c>
      <c r="D182">
        <f t="shared" si="20"/>
        <v>7.0484037589072096E-3</v>
      </c>
      <c r="E182">
        <f t="shared" si="21"/>
        <v>2.3494679196357365E-2</v>
      </c>
    </row>
    <row r="183" spans="1:11">
      <c r="A183">
        <v>195</v>
      </c>
      <c r="B183">
        <v>0.49</v>
      </c>
      <c r="C183">
        <f t="shared" si="19"/>
        <v>0.43982857994729418</v>
      </c>
      <c r="D183">
        <f t="shared" si="20"/>
        <v>2.5171713901050502E-3</v>
      </c>
      <c r="E183">
        <f t="shared" si="21"/>
        <v>5.1370844696021429E-3</v>
      </c>
    </row>
    <row r="184" spans="1:11">
      <c r="A184">
        <v>210</v>
      </c>
      <c r="B184">
        <v>0.6</v>
      </c>
      <c r="C184">
        <f t="shared" si="19"/>
        <v>0.59540268723064005</v>
      </c>
      <c r="D184">
        <f t="shared" si="20"/>
        <v>2.1135284699319861E-5</v>
      </c>
      <c r="E184">
        <f t="shared" si="21"/>
        <v>3.5225474498866436E-5</v>
      </c>
    </row>
    <row r="185" spans="1:11">
      <c r="A185">
        <v>230</v>
      </c>
      <c r="B185">
        <v>0.71</v>
      </c>
      <c r="C185">
        <f t="shared" si="19"/>
        <v>0.77275798095945958</v>
      </c>
      <c r="D185">
        <f t="shared" si="20"/>
        <v>3.9385641741078951E-3</v>
      </c>
      <c r="E185">
        <f t="shared" si="21"/>
        <v>5.5472734846590075E-3</v>
      </c>
    </row>
    <row r="186" spans="1:11">
      <c r="A186">
        <v>250</v>
      </c>
      <c r="B186">
        <v>0.8</v>
      </c>
      <c r="C186">
        <f t="shared" si="19"/>
        <v>0.8871099818479613</v>
      </c>
      <c r="D186">
        <f t="shared" si="20"/>
        <v>7.5881489375521404E-3</v>
      </c>
      <c r="E186">
        <f t="shared" si="21"/>
        <v>9.4851861719401753E-3</v>
      </c>
    </row>
    <row r="187" spans="1:11">
      <c r="A187">
        <v>270</v>
      </c>
      <c r="B187">
        <v>0.85</v>
      </c>
      <c r="C187">
        <f t="shared" si="19"/>
        <v>0.94780487389698209</v>
      </c>
      <c r="D187">
        <f t="shared" si="20"/>
        <v>9.5657933580045734E-3</v>
      </c>
      <c r="E187">
        <f t="shared" si="21"/>
        <v>1.1253874538828911E-2</v>
      </c>
    </row>
    <row r="188" spans="1:11">
      <c r="A188">
        <v>285</v>
      </c>
      <c r="B188">
        <v>0.87</v>
      </c>
      <c r="C188">
        <f t="shared" si="19"/>
        <v>0.97145638192379891</v>
      </c>
      <c r="D188">
        <f t="shared" si="20"/>
        <v>1.0293397433067751E-2</v>
      </c>
      <c r="E188">
        <f t="shared" si="21"/>
        <v>1.1831491302376726E-2</v>
      </c>
    </row>
    <row r="189" spans="1:11">
      <c r="A189">
        <v>300</v>
      </c>
      <c r="B189">
        <v>0.9</v>
      </c>
      <c r="C189">
        <f t="shared" si="19"/>
        <v>0.98456506376153963</v>
      </c>
      <c r="D189">
        <f t="shared" si="20"/>
        <v>7.1512500089932589E-3</v>
      </c>
      <c r="E189">
        <f t="shared" si="21"/>
        <v>7.9458333433258428E-3</v>
      </c>
    </row>
    <row r="190" spans="1:11">
      <c r="E190">
        <f>SUM(E180:E189)</f>
        <v>0.10360485339109267</v>
      </c>
    </row>
    <row r="197" spans="1:11">
      <c r="A197" t="s">
        <v>118</v>
      </c>
    </row>
    <row r="199" spans="1:11">
      <c r="A199" t="s">
        <v>29</v>
      </c>
      <c r="B199" t="s">
        <v>43</v>
      </c>
      <c r="C199" t="s">
        <v>99</v>
      </c>
      <c r="D199" t="s">
        <v>119</v>
      </c>
      <c r="E199" t="s">
        <v>120</v>
      </c>
    </row>
    <row r="200" spans="1:11">
      <c r="A200">
        <v>0</v>
      </c>
      <c r="B200">
        <v>0</v>
      </c>
      <c r="C200">
        <f t="shared" ref="C200:C217" si="22">(1/(1+EXP(($K$200*$K$201*$K$205/$K$208)-($K$200*$K$206*A200))))</f>
        <v>1.9262763015524024E-5</v>
      </c>
      <c r="D200">
        <v>0</v>
      </c>
      <c r="E200">
        <f>(C200-B200)^2</f>
        <v>3.7105403899224015E-10</v>
      </c>
      <c r="J200" s="6" t="s">
        <v>102</v>
      </c>
      <c r="K200" s="6">
        <v>5.6113087226047204E-4</v>
      </c>
    </row>
    <row r="201" spans="1:11">
      <c r="A201">
        <v>20</v>
      </c>
      <c r="B201">
        <v>0</v>
      </c>
      <c r="C201">
        <f t="shared" si="22"/>
        <v>5.9168877850596488E-5</v>
      </c>
      <c r="D201">
        <v>0</v>
      </c>
      <c r="E201">
        <f t="shared" ref="E200:E217" si="23">(C201-B201)^2</f>
        <v>3.5009561060988079E-9</v>
      </c>
      <c r="J201" s="6" t="s">
        <v>103</v>
      </c>
      <c r="K201" s="6">
        <v>19348.993215160601</v>
      </c>
    </row>
    <row r="202" spans="1:11">
      <c r="A202">
        <v>30</v>
      </c>
      <c r="B202">
        <v>0</v>
      </c>
      <c r="C202">
        <f t="shared" si="22"/>
        <v>1.0369791731331584E-4</v>
      </c>
      <c r="D202">
        <v>0</v>
      </c>
      <c r="E202">
        <f t="shared" si="23"/>
        <v>1.0753258055119288E-8</v>
      </c>
    </row>
    <row r="203" spans="1:11">
      <c r="A203">
        <v>40</v>
      </c>
      <c r="B203">
        <v>0</v>
      </c>
      <c r="C203">
        <f t="shared" si="22"/>
        <v>1.8173232413957029E-4</v>
      </c>
      <c r="D203">
        <v>0</v>
      </c>
      <c r="E203">
        <f t="shared" si="23"/>
        <v>3.3026637637169843E-8</v>
      </c>
      <c r="F203" s="6" t="s">
        <v>121</v>
      </c>
      <c r="G203" s="6">
        <f>(100)*((1/16)*(F210)^0.5)</f>
        <v>0.39144553505213991</v>
      </c>
    </row>
    <row r="204" spans="1:11">
      <c r="A204">
        <v>50</v>
      </c>
      <c r="B204">
        <v>0</v>
      </c>
      <c r="C204">
        <f t="shared" si="22"/>
        <v>3.1847021626979532E-4</v>
      </c>
      <c r="D204">
        <v>0</v>
      </c>
      <c r="E204">
        <f t="shared" si="23"/>
        <v>1.0142327865093021E-7</v>
      </c>
    </row>
    <row r="205" spans="1:11">
      <c r="A205">
        <v>60</v>
      </c>
      <c r="B205">
        <v>0</v>
      </c>
      <c r="C205">
        <f t="shared" si="22"/>
        <v>5.5803415011578808E-4</v>
      </c>
      <c r="D205">
        <v>0</v>
      </c>
      <c r="E205">
        <f t="shared" si="23"/>
        <v>3.1140211269544992E-7</v>
      </c>
      <c r="J205" t="s">
        <v>105</v>
      </c>
      <c r="K205">
        <v>8</v>
      </c>
    </row>
    <row r="206" spans="1:11">
      <c r="A206">
        <v>70</v>
      </c>
      <c r="B206">
        <v>0</v>
      </c>
      <c r="C206">
        <f t="shared" si="22"/>
        <v>9.7762984379705072E-4</v>
      </c>
      <c r="D206">
        <v>0</v>
      </c>
      <c r="E206">
        <f t="shared" si="23"/>
        <v>9.5576011148264579E-7</v>
      </c>
      <c r="J206" t="s">
        <v>12</v>
      </c>
      <c r="K206">
        <v>100</v>
      </c>
    </row>
    <row r="207" spans="1:11">
      <c r="A207">
        <v>80</v>
      </c>
      <c r="B207">
        <v>0</v>
      </c>
      <c r="C207">
        <f t="shared" si="22"/>
        <v>1.7121864217367253E-3</v>
      </c>
      <c r="D207">
        <v>0</v>
      </c>
      <c r="E207">
        <f t="shared" si="23"/>
        <v>2.9315823427796114E-6</v>
      </c>
      <c r="J207" t="s">
        <v>106</v>
      </c>
      <c r="K207">
        <v>18</v>
      </c>
    </row>
    <row r="208" spans="1:11">
      <c r="A208">
        <v>115</v>
      </c>
      <c r="B208">
        <v>0.01</v>
      </c>
      <c r="C208">
        <f t="shared" si="22"/>
        <v>1.2076875117394562E-2</v>
      </c>
      <c r="D208">
        <f t="shared" ref="D208:D217" si="24">((B208-C208)/(B208))^2</f>
        <v>4.3134102532526739E-2</v>
      </c>
      <c r="E208">
        <f t="shared" si="23"/>
        <v>4.3134102532526741E-6</v>
      </c>
      <c r="J208" t="s">
        <v>8</v>
      </c>
      <c r="K208">
        <v>8</v>
      </c>
    </row>
    <row r="209" spans="1:11">
      <c r="A209">
        <v>140</v>
      </c>
      <c r="B209">
        <v>0.08</v>
      </c>
      <c r="C209">
        <f t="shared" si="22"/>
        <v>4.7358820596726324E-2</v>
      </c>
      <c r="D209">
        <f t="shared" si="24"/>
        <v>0.166476030130734</v>
      </c>
      <c r="E209">
        <f t="shared" si="23"/>
        <v>1.0654465928366978E-3</v>
      </c>
      <c r="J209" t="s">
        <v>107</v>
      </c>
      <c r="K209">
        <v>2</v>
      </c>
    </row>
    <row r="210" spans="1:11">
      <c r="A210">
        <v>170</v>
      </c>
      <c r="B210">
        <v>0.3</v>
      </c>
      <c r="C210">
        <f t="shared" si="22"/>
        <v>0.21113580821509684</v>
      </c>
      <c r="D210">
        <f t="shared" si="24"/>
        <v>8.7742717573156104E-2</v>
      </c>
      <c r="E210">
        <f t="shared" si="23"/>
        <v>7.8968445815840484E-3</v>
      </c>
      <c r="F210">
        <f>E218/B218^2</f>
        <v>3.9226779369537562E-3</v>
      </c>
    </row>
    <row r="211" spans="1:11">
      <c r="A211">
        <v>195</v>
      </c>
      <c r="B211">
        <v>0.49</v>
      </c>
      <c r="C211">
        <f t="shared" si="22"/>
        <v>0.52117097653137245</v>
      </c>
      <c r="D211">
        <f t="shared" si="24"/>
        <v>4.0467712533085089E-3</v>
      </c>
      <c r="E211">
        <f t="shared" si="23"/>
        <v>9.7162977791937291E-4</v>
      </c>
    </row>
    <row r="212" spans="1:11">
      <c r="A212">
        <v>210</v>
      </c>
      <c r="B212">
        <v>0.6</v>
      </c>
      <c r="C212">
        <f t="shared" si="22"/>
        <v>0.7163506271980935</v>
      </c>
      <c r="D212">
        <f t="shared" si="24"/>
        <v>3.7604079026082621E-2</v>
      </c>
      <c r="E212">
        <f t="shared" si="23"/>
        <v>1.3537468449389741E-2</v>
      </c>
    </row>
    <row r="213" spans="1:11">
      <c r="A213">
        <v>230</v>
      </c>
      <c r="B213">
        <v>0.71</v>
      </c>
      <c r="C213">
        <f t="shared" si="22"/>
        <v>0.88581544875703011</v>
      </c>
      <c r="D213">
        <f t="shared" si="24"/>
        <v>6.1319325573568534E-2</v>
      </c>
      <c r="E213">
        <f t="shared" si="23"/>
        <v>3.0911072021635892E-2</v>
      </c>
    </row>
    <row r="214" spans="1:11">
      <c r="A214">
        <v>250</v>
      </c>
      <c r="B214">
        <v>0.8</v>
      </c>
      <c r="C214">
        <f t="shared" si="22"/>
        <v>0.95972648850929454</v>
      </c>
      <c r="D214">
        <f t="shared" si="24"/>
        <v>3.9863361142984041E-2</v>
      </c>
      <c r="E214">
        <f t="shared" si="23"/>
        <v>2.5512551131509787E-2</v>
      </c>
    </row>
    <row r="215" spans="1:11">
      <c r="A215">
        <v>270</v>
      </c>
      <c r="B215">
        <v>0.85</v>
      </c>
      <c r="C215">
        <f t="shared" si="22"/>
        <v>0.98652318612986023</v>
      </c>
      <c r="D215">
        <f t="shared" si="24"/>
        <v>2.5797343046433868E-2</v>
      </c>
      <c r="E215">
        <f t="shared" si="23"/>
        <v>1.8638580351048466E-2</v>
      </c>
    </row>
    <row r="216" spans="1:11">
      <c r="A216">
        <v>285</v>
      </c>
      <c r="B216">
        <v>0.87</v>
      </c>
      <c r="C216">
        <f t="shared" si="22"/>
        <v>0.99414689343750406</v>
      </c>
      <c r="D216">
        <f t="shared" si="24"/>
        <v>2.0362598956510759E-2</v>
      </c>
      <c r="E216">
        <f t="shared" si="23"/>
        <v>1.5412451150182992E-2</v>
      </c>
    </row>
    <row r="217" spans="1:11">
      <c r="A217">
        <v>300</v>
      </c>
      <c r="B217">
        <v>0.9</v>
      </c>
      <c r="C217">
        <f t="shared" si="22"/>
        <v>0.99746900539910432</v>
      </c>
      <c r="D217">
        <f t="shared" si="24"/>
        <v>1.1728650633939042E-2</v>
      </c>
      <c r="E217">
        <f t="shared" si="23"/>
        <v>9.5002070134906236E-3</v>
      </c>
    </row>
    <row r="218" spans="1:11">
      <c r="B218">
        <f>SUM(B200:B217)</f>
        <v>5.61</v>
      </c>
      <c r="D218">
        <f>SUM(D200:D217)</f>
        <v>0.49807497986924426</v>
      </c>
      <c r="E218">
        <f>SUM(E200:E217)</f>
        <v>0.12345491229960233</v>
      </c>
    </row>
    <row r="224" spans="1:11">
      <c r="A224" s="6" t="s">
        <v>135</v>
      </c>
      <c r="B224" s="6"/>
    </row>
    <row r="226" spans="1:11" ht="15.6">
      <c r="A226" s="20" t="s">
        <v>127</v>
      </c>
    </row>
    <row r="228" spans="1:11">
      <c r="B228" t="s">
        <v>53</v>
      </c>
    </row>
    <row r="229" spans="1:11">
      <c r="A229" t="s">
        <v>29</v>
      </c>
      <c r="B229" t="s">
        <v>43</v>
      </c>
      <c r="C229" t="s">
        <v>99</v>
      </c>
      <c r="D229" t="s">
        <v>120</v>
      </c>
      <c r="E229" t="s">
        <v>119</v>
      </c>
    </row>
    <row r="230" spans="1:11">
      <c r="A230">
        <v>0</v>
      </c>
      <c r="B230">
        <v>0</v>
      </c>
      <c r="C230">
        <f t="shared" ref="C230:C247" si="25">(1/(1+EXP(($K$230*$K$231/$K$234)-($K$230*$K$235*A230))))</f>
        <v>0.5</v>
      </c>
      <c r="D230">
        <f t="shared" ref="D230:D247" si="26">(C230-B230)^2</f>
        <v>0.25</v>
      </c>
      <c r="E230">
        <v>0</v>
      </c>
      <c r="J230" t="s">
        <v>102</v>
      </c>
      <c r="K230">
        <v>0</v>
      </c>
    </row>
    <row r="231" spans="1:11">
      <c r="A231">
        <v>20</v>
      </c>
      <c r="B231">
        <v>0</v>
      </c>
      <c r="C231">
        <f t="shared" si="25"/>
        <v>0.5</v>
      </c>
      <c r="D231">
        <f t="shared" si="26"/>
        <v>0.25</v>
      </c>
      <c r="E231">
        <v>0</v>
      </c>
      <c r="J231" t="s">
        <v>103</v>
      </c>
      <c r="K231">
        <v>40582.4656438479</v>
      </c>
    </row>
    <row r="232" spans="1:11">
      <c r="A232">
        <v>30</v>
      </c>
      <c r="B232">
        <v>0</v>
      </c>
      <c r="C232">
        <f t="shared" si="25"/>
        <v>0.5</v>
      </c>
      <c r="D232">
        <f t="shared" si="26"/>
        <v>0.25</v>
      </c>
      <c r="E232">
        <v>0</v>
      </c>
      <c r="G232" t="s">
        <v>129</v>
      </c>
      <c r="H232">
        <f>(100/18)*E248</f>
        <v>154.83529873130732</v>
      </c>
      <c r="J232" t="s">
        <v>136</v>
      </c>
      <c r="K232" t="s">
        <v>136</v>
      </c>
    </row>
    <row r="233" spans="1:11">
      <c r="A233">
        <v>40</v>
      </c>
      <c r="B233">
        <v>0</v>
      </c>
      <c r="C233">
        <f t="shared" si="25"/>
        <v>0.5</v>
      </c>
      <c r="D233">
        <f t="shared" si="26"/>
        <v>0.25</v>
      </c>
      <c r="E233">
        <v>0</v>
      </c>
    </row>
    <row r="234" spans="1:11">
      <c r="A234">
        <v>50</v>
      </c>
      <c r="B234">
        <v>0</v>
      </c>
      <c r="C234">
        <f t="shared" si="25"/>
        <v>0.5</v>
      </c>
      <c r="D234">
        <f t="shared" si="26"/>
        <v>0.25</v>
      </c>
      <c r="E234">
        <v>0</v>
      </c>
      <c r="J234" t="s">
        <v>105</v>
      </c>
      <c r="K234">
        <v>4</v>
      </c>
    </row>
    <row r="235" spans="1:11">
      <c r="A235">
        <v>60</v>
      </c>
      <c r="B235">
        <v>0</v>
      </c>
      <c r="C235">
        <f t="shared" si="25"/>
        <v>0.5</v>
      </c>
      <c r="D235">
        <f t="shared" si="26"/>
        <v>0.25</v>
      </c>
      <c r="E235">
        <v>0</v>
      </c>
      <c r="J235" t="s">
        <v>12</v>
      </c>
      <c r="K235">
        <v>100</v>
      </c>
    </row>
    <row r="236" spans="1:11">
      <c r="A236">
        <v>90</v>
      </c>
      <c r="B236">
        <v>0</v>
      </c>
      <c r="C236">
        <f t="shared" si="25"/>
        <v>0.5</v>
      </c>
      <c r="D236">
        <f t="shared" si="26"/>
        <v>0.25</v>
      </c>
      <c r="E236">
        <v>0</v>
      </c>
      <c r="J236" t="s">
        <v>8</v>
      </c>
      <c r="K236">
        <v>4</v>
      </c>
    </row>
    <row r="237" spans="1:11">
      <c r="A237">
        <v>150</v>
      </c>
      <c r="B237">
        <v>0.02</v>
      </c>
      <c r="C237">
        <f t="shared" si="25"/>
        <v>0.5</v>
      </c>
      <c r="D237">
        <f t="shared" si="26"/>
        <v>0.23039999999999999</v>
      </c>
      <c r="E237">
        <f t="shared" ref="E237:E247" si="27">(ABS(B237-C237))/B237</f>
        <v>24</v>
      </c>
      <c r="J237" t="s">
        <v>107</v>
      </c>
      <c r="K237">
        <v>2</v>
      </c>
    </row>
    <row r="238" spans="1:11">
      <c r="A238">
        <v>210</v>
      </c>
      <c r="B238">
        <v>0.28999999999999998</v>
      </c>
      <c r="C238">
        <f t="shared" si="25"/>
        <v>0.5</v>
      </c>
      <c r="D238">
        <f t="shared" si="26"/>
        <v>4.4100000000000007E-2</v>
      </c>
      <c r="E238">
        <f t="shared" si="27"/>
        <v>0.72413793103448287</v>
      </c>
      <c r="J238" t="s">
        <v>106</v>
      </c>
      <c r="K238">
        <v>18</v>
      </c>
    </row>
    <row r="239" spans="1:11">
      <c r="A239">
        <v>235</v>
      </c>
      <c r="B239">
        <v>0.45</v>
      </c>
      <c r="C239">
        <f t="shared" si="25"/>
        <v>0.5</v>
      </c>
      <c r="D239">
        <f t="shared" si="26"/>
        <v>2.4999999999999988E-3</v>
      </c>
      <c r="E239">
        <f t="shared" si="27"/>
        <v>0.11111111111111108</v>
      </c>
    </row>
    <row r="240" spans="1:11">
      <c r="A240">
        <v>260</v>
      </c>
      <c r="B240">
        <v>0.63</v>
      </c>
      <c r="C240">
        <f t="shared" si="25"/>
        <v>0.5</v>
      </c>
      <c r="D240">
        <f t="shared" si="26"/>
        <v>1.6900000000000002E-2</v>
      </c>
      <c r="E240">
        <f t="shared" si="27"/>
        <v>0.20634920634920637</v>
      </c>
    </row>
    <row r="241" spans="1:5">
      <c r="A241">
        <v>280</v>
      </c>
      <c r="B241">
        <v>0.74</v>
      </c>
      <c r="C241">
        <f t="shared" si="25"/>
        <v>0.5</v>
      </c>
      <c r="D241">
        <f t="shared" si="26"/>
        <v>5.7599999999999998E-2</v>
      </c>
      <c r="E241">
        <f t="shared" si="27"/>
        <v>0.32432432432432434</v>
      </c>
    </row>
    <row r="242" spans="1:5">
      <c r="A242">
        <v>290</v>
      </c>
      <c r="B242">
        <v>0.79</v>
      </c>
      <c r="C242">
        <f t="shared" si="25"/>
        <v>0.5</v>
      </c>
      <c r="D242">
        <f t="shared" si="26"/>
        <v>8.4100000000000022E-2</v>
      </c>
      <c r="E242">
        <f t="shared" si="27"/>
        <v>0.36708860759493672</v>
      </c>
    </row>
    <row r="243" spans="1:5">
      <c r="A243">
        <v>300</v>
      </c>
      <c r="B243">
        <v>0.83</v>
      </c>
      <c r="C243">
        <f t="shared" si="25"/>
        <v>0.5</v>
      </c>
      <c r="D243">
        <f t="shared" si="26"/>
        <v>0.10889999999999997</v>
      </c>
      <c r="E243">
        <f t="shared" si="27"/>
        <v>0.39759036144578308</v>
      </c>
    </row>
    <row r="244" spans="1:5">
      <c r="A244">
        <v>315</v>
      </c>
      <c r="B244">
        <v>0.87</v>
      </c>
      <c r="C244">
        <f t="shared" si="25"/>
        <v>0.5</v>
      </c>
      <c r="D244">
        <f t="shared" si="26"/>
        <v>0.13689999999999999</v>
      </c>
      <c r="E244">
        <f t="shared" si="27"/>
        <v>0.42528735632183906</v>
      </c>
    </row>
    <row r="245" spans="1:5">
      <c r="A245">
        <v>320</v>
      </c>
      <c r="B245">
        <v>0.88</v>
      </c>
      <c r="C245">
        <f t="shared" si="25"/>
        <v>0.5</v>
      </c>
      <c r="D245">
        <f t="shared" si="26"/>
        <v>0.1444</v>
      </c>
      <c r="E245">
        <f t="shared" si="27"/>
        <v>0.43181818181818182</v>
      </c>
    </row>
    <row r="246" spans="1:5">
      <c r="A246">
        <v>330</v>
      </c>
      <c r="B246">
        <v>0.89</v>
      </c>
      <c r="C246">
        <f t="shared" si="25"/>
        <v>0.5</v>
      </c>
      <c r="D246">
        <f t="shared" si="26"/>
        <v>0.15210000000000001</v>
      </c>
      <c r="E246">
        <f t="shared" si="27"/>
        <v>0.43820224719101125</v>
      </c>
    </row>
    <row r="247" spans="1:5">
      <c r="A247">
        <v>340</v>
      </c>
      <c r="B247">
        <v>0.9</v>
      </c>
      <c r="C247">
        <f t="shared" si="25"/>
        <v>0.5</v>
      </c>
      <c r="D247">
        <f t="shared" si="26"/>
        <v>0.16000000000000003</v>
      </c>
      <c r="E247">
        <f t="shared" si="27"/>
        <v>0.44444444444444448</v>
      </c>
    </row>
    <row r="248" spans="1:5">
      <c r="E248">
        <f>SUM(E230:E247)</f>
        <v>27.870353771635319</v>
      </c>
    </row>
    <row r="255" spans="1:5" ht="15.6">
      <c r="A255" s="20" t="s">
        <v>109</v>
      </c>
    </row>
    <row r="256" spans="1:5">
      <c r="B256" t="s">
        <v>53</v>
      </c>
    </row>
    <row r="257" spans="1:11">
      <c r="A257" t="s">
        <v>29</v>
      </c>
      <c r="B257" t="s">
        <v>43</v>
      </c>
      <c r="C257" t="s">
        <v>99</v>
      </c>
      <c r="D257" t="s">
        <v>100</v>
      </c>
      <c r="E257" t="s">
        <v>101</v>
      </c>
    </row>
    <row r="258" spans="1:11">
      <c r="A258">
        <v>0</v>
      </c>
      <c r="B258">
        <v>0</v>
      </c>
      <c r="C258">
        <f t="shared" ref="C258:C275" si="28">(1/(1+EXP(($K$258*$K$259*$K$262/$K$264)-($K$258*$K$263*A258))))</f>
        <v>1.2351264037362608E-3</v>
      </c>
      <c r="D258">
        <f t="shared" ref="D258:D275" si="29">(B258-C258)^2</f>
        <v>1.5255372332064686E-6</v>
      </c>
      <c r="E258">
        <f t="shared" ref="E258:E275" si="30">(B258-C$100)^2</f>
        <v>4.0266827557439711E-3</v>
      </c>
      <c r="J258" s="6" t="s">
        <v>102</v>
      </c>
      <c r="K258" s="6">
        <v>2.75167566841323E-4</v>
      </c>
    </row>
    <row r="259" spans="1:11">
      <c r="A259">
        <v>20</v>
      </c>
      <c r="B259">
        <v>0</v>
      </c>
      <c r="C259">
        <f t="shared" si="28"/>
        <v>2.1395648826758825E-3</v>
      </c>
      <c r="D259">
        <f t="shared" si="29"/>
        <v>4.5777378871798633E-6</v>
      </c>
      <c r="E259">
        <f t="shared" si="30"/>
        <v>4.0266827557439711E-3</v>
      </c>
      <c r="J259" s="6" t="s">
        <v>103</v>
      </c>
      <c r="K259" s="6">
        <v>24331.886748107099</v>
      </c>
    </row>
    <row r="260" spans="1:11">
      <c r="A260">
        <v>30</v>
      </c>
      <c r="B260">
        <v>0</v>
      </c>
      <c r="C260">
        <f t="shared" si="28"/>
        <v>2.8153668390644448E-3</v>
      </c>
      <c r="D260">
        <f t="shared" si="29"/>
        <v>7.9262904385037238E-6</v>
      </c>
      <c r="E260">
        <f t="shared" si="30"/>
        <v>4.0266827557439711E-3</v>
      </c>
      <c r="G260" s="6" t="s">
        <v>100</v>
      </c>
      <c r="H260" s="6">
        <f>D276</f>
        <v>5.4661194545585464E-3</v>
      </c>
    </row>
    <row r="261" spans="1:11">
      <c r="A261">
        <v>40</v>
      </c>
      <c r="B261">
        <v>0</v>
      </c>
      <c r="C261">
        <f t="shared" si="28"/>
        <v>3.7038349729728872E-3</v>
      </c>
      <c r="D261">
        <f t="shared" si="29"/>
        <v>1.3718393507017068E-5</v>
      </c>
      <c r="E261">
        <f t="shared" si="30"/>
        <v>4.0266827557439711E-3</v>
      </c>
    </row>
    <row r="262" spans="1:11">
      <c r="A262">
        <v>50</v>
      </c>
      <c r="B262">
        <v>0</v>
      </c>
      <c r="C262">
        <f t="shared" si="28"/>
        <v>4.8713145169198436E-3</v>
      </c>
      <c r="D262">
        <f t="shared" si="29"/>
        <v>2.3729705122754008E-5</v>
      </c>
      <c r="E262">
        <f t="shared" si="30"/>
        <v>4.0266827557439711E-3</v>
      </c>
      <c r="J262" t="s">
        <v>105</v>
      </c>
      <c r="K262">
        <v>4</v>
      </c>
    </row>
    <row r="263" spans="1:11">
      <c r="A263">
        <v>60</v>
      </c>
      <c r="B263">
        <v>0</v>
      </c>
      <c r="C263">
        <f t="shared" si="28"/>
        <v>6.4044277227446669E-3</v>
      </c>
      <c r="D263">
        <f t="shared" si="29"/>
        <v>4.101669445586044E-5</v>
      </c>
      <c r="E263">
        <f t="shared" si="30"/>
        <v>4.0266827557439711E-3</v>
      </c>
      <c r="J263" t="s">
        <v>12</v>
      </c>
      <c r="K263">
        <v>100</v>
      </c>
    </row>
    <row r="264" spans="1:11">
      <c r="A264">
        <v>90</v>
      </c>
      <c r="B264">
        <v>0</v>
      </c>
      <c r="C264">
        <f t="shared" si="28"/>
        <v>1.4502322347658837E-2</v>
      </c>
      <c r="D264">
        <f t="shared" si="29"/>
        <v>2.1031735347540494E-4</v>
      </c>
      <c r="E264">
        <f t="shared" si="30"/>
        <v>4.0266827557439711E-3</v>
      </c>
      <c r="J264" t="s">
        <v>8</v>
      </c>
      <c r="K264">
        <v>4</v>
      </c>
    </row>
    <row r="265" spans="1:11">
      <c r="A265">
        <v>150</v>
      </c>
      <c r="B265">
        <v>0.02</v>
      </c>
      <c r="C265">
        <f t="shared" si="28"/>
        <v>7.1237574050346961E-2</v>
      </c>
      <c r="D265">
        <f t="shared" si="29"/>
        <v>2.6252889945647877E-3</v>
      </c>
      <c r="E265">
        <f t="shared" si="30"/>
        <v>1.8884368241624085E-3</v>
      </c>
      <c r="J265" t="s">
        <v>107</v>
      </c>
      <c r="K265">
        <v>2</v>
      </c>
    </row>
    <row r="266" spans="1:11">
      <c r="A266">
        <v>210</v>
      </c>
      <c r="B266">
        <v>0.28999999999999998</v>
      </c>
      <c r="C266">
        <f t="shared" si="28"/>
        <v>0.28560482124008996</v>
      </c>
      <c r="D266">
        <f t="shared" si="29"/>
        <v>1.9317596331564212E-5</v>
      </c>
      <c r="E266">
        <f t="shared" si="30"/>
        <v>5.1322116747811314E-2</v>
      </c>
      <c r="J266" t="s">
        <v>106</v>
      </c>
      <c r="K266">
        <v>18</v>
      </c>
    </row>
    <row r="267" spans="1:11">
      <c r="A267">
        <v>235</v>
      </c>
      <c r="B267">
        <v>0.45</v>
      </c>
      <c r="C267">
        <f t="shared" si="28"/>
        <v>0.4430215211167548</v>
      </c>
      <c r="D267">
        <f t="shared" si="29"/>
        <v>4.8699167523899303E-5</v>
      </c>
      <c r="E267">
        <f t="shared" si="30"/>
        <v>0.14941614929515884</v>
      </c>
    </row>
    <row r="268" spans="1:11">
      <c r="A268">
        <v>260</v>
      </c>
      <c r="B268">
        <v>0.63</v>
      </c>
      <c r="C268">
        <f t="shared" si="28"/>
        <v>0.61277945209080964</v>
      </c>
      <c r="D268">
        <f t="shared" si="29"/>
        <v>2.9654727029272064E-4</v>
      </c>
      <c r="E268">
        <f t="shared" si="30"/>
        <v>0.32097193591092477</v>
      </c>
    </row>
    <row r="269" spans="1:11">
      <c r="A269">
        <v>280</v>
      </c>
      <c r="B269">
        <v>0.74</v>
      </c>
      <c r="C269">
        <f t="shared" si="28"/>
        <v>0.73289210142138628</v>
      </c>
      <c r="D269">
        <f t="shared" si="29"/>
        <v>5.0522222203858857E-5</v>
      </c>
      <c r="E269">
        <f t="shared" si="30"/>
        <v>0.45771158328722616</v>
      </c>
    </row>
    <row r="270" spans="1:11">
      <c r="A270">
        <v>290</v>
      </c>
      <c r="B270">
        <v>0.79</v>
      </c>
      <c r="C270">
        <f t="shared" si="28"/>
        <v>0.78321707159404008</v>
      </c>
      <c r="D270">
        <f t="shared" si="29"/>
        <v>4.6008117760378438E-5</v>
      </c>
      <c r="E270">
        <f t="shared" si="30"/>
        <v>0.52786596845827227</v>
      </c>
    </row>
    <row r="271" spans="1:11">
      <c r="A271">
        <v>300</v>
      </c>
      <c r="B271">
        <v>0.83</v>
      </c>
      <c r="C271">
        <f t="shared" si="28"/>
        <v>0.82630756404787031</v>
      </c>
      <c r="D271">
        <f t="shared" si="29"/>
        <v>1.3634083260579572E-5</v>
      </c>
      <c r="E271">
        <f t="shared" si="30"/>
        <v>0.58758947659510907</v>
      </c>
    </row>
    <row r="272" spans="1:11">
      <c r="A272">
        <v>315</v>
      </c>
      <c r="B272">
        <v>0.87</v>
      </c>
      <c r="C272">
        <f t="shared" si="28"/>
        <v>0.87787212439806472</v>
      </c>
      <c r="D272">
        <f t="shared" si="29"/>
        <v>6.1970342538605964E-5</v>
      </c>
      <c r="E272">
        <f t="shared" si="30"/>
        <v>0.65051298473194596</v>
      </c>
    </row>
    <row r="273" spans="1:11">
      <c r="A273">
        <v>320</v>
      </c>
      <c r="B273">
        <v>0.88</v>
      </c>
      <c r="C273">
        <f t="shared" si="28"/>
        <v>0.89187288256227204</v>
      </c>
      <c r="D273">
        <f t="shared" si="29"/>
        <v>1.4096534033750338E-4</v>
      </c>
      <c r="E273">
        <f t="shared" si="30"/>
        <v>0.6667438617661553</v>
      </c>
    </row>
    <row r="274" spans="1:11">
      <c r="A274">
        <v>330</v>
      </c>
      <c r="B274">
        <v>0.89</v>
      </c>
      <c r="C274">
        <f t="shared" si="28"/>
        <v>0.91569048136108833</v>
      </c>
      <c r="D274">
        <f t="shared" si="29"/>
        <v>6.6000083256442603E-4</v>
      </c>
      <c r="E274">
        <f t="shared" si="30"/>
        <v>0.6831747388003645</v>
      </c>
    </row>
    <row r="275" spans="1:11">
      <c r="A275">
        <v>340</v>
      </c>
      <c r="B275">
        <v>0.9</v>
      </c>
      <c r="C275">
        <f t="shared" si="28"/>
        <v>0.93464612207823983</v>
      </c>
      <c r="D275">
        <f t="shared" si="29"/>
        <v>1.2003537750602956E-3</v>
      </c>
      <c r="E275">
        <f t="shared" si="30"/>
        <v>0.69980561583457368</v>
      </c>
    </row>
    <row r="276" spans="1:11">
      <c r="D276">
        <f>SUM(D258:D275)</f>
        <v>5.4661194545585464E-3</v>
      </c>
    </row>
    <row r="279" spans="1:11" ht="15.6">
      <c r="A279" s="20" t="s">
        <v>122</v>
      </c>
    </row>
    <row r="280" spans="1:11" ht="15.6">
      <c r="A280" s="20"/>
    </row>
    <row r="281" spans="1:11">
      <c r="A281" t="s">
        <v>109</v>
      </c>
      <c r="B281" t="s">
        <v>53</v>
      </c>
    </row>
    <row r="282" spans="1:11">
      <c r="A282" t="s">
        <v>29</v>
      </c>
      <c r="B282" t="s">
        <v>43</v>
      </c>
      <c r="C282" t="s">
        <v>99</v>
      </c>
      <c r="D282" t="s">
        <v>120</v>
      </c>
      <c r="E282" t="s">
        <v>137</v>
      </c>
    </row>
    <row r="283" spans="1:11">
      <c r="A283">
        <v>0</v>
      </c>
      <c r="B283">
        <v>0</v>
      </c>
      <c r="C283">
        <f t="shared" ref="C283:C300" si="31">(1/(1+EXP(($K$283*$K$284*$K$287/$K$289)-($K$283*$K$288*A283))))</f>
        <v>1.2213002928651261E-3</v>
      </c>
      <c r="D283">
        <f t="shared" ref="D283:D300" si="32">(C283-B283)^2</f>
        <v>1.4915744053524426E-6</v>
      </c>
      <c r="E283">
        <f t="shared" ref="E283:E300" si="33">ABS(B283-C283)</f>
        <v>1.2213002928651261E-3</v>
      </c>
      <c r="J283" s="6" t="s">
        <v>102</v>
      </c>
      <c r="K283" s="6">
        <v>2.7684865105980102E-4</v>
      </c>
    </row>
    <row r="284" spans="1:11">
      <c r="A284">
        <v>20</v>
      </c>
      <c r="B284">
        <v>0</v>
      </c>
      <c r="C284">
        <f t="shared" si="31"/>
        <v>2.1227458263763112E-3</v>
      </c>
      <c r="D284">
        <f t="shared" si="32"/>
        <v>4.5060498433980481E-6</v>
      </c>
      <c r="E284">
        <f t="shared" si="33"/>
        <v>2.1227458263763112E-3</v>
      </c>
      <c r="J284" s="6" t="s">
        <v>103</v>
      </c>
      <c r="K284" s="6">
        <v>24224.850298630801</v>
      </c>
    </row>
    <row r="285" spans="1:11">
      <c r="A285">
        <v>30</v>
      </c>
      <c r="B285">
        <v>0</v>
      </c>
      <c r="C285">
        <f t="shared" si="31"/>
        <v>2.7979366830739516E-3</v>
      </c>
      <c r="D285">
        <f t="shared" si="32"/>
        <v>7.8284496824908665E-6</v>
      </c>
      <c r="E285">
        <f t="shared" si="33"/>
        <v>2.7979366830739516E-3</v>
      </c>
      <c r="G285" s="6" t="s">
        <v>132</v>
      </c>
      <c r="H285" s="6">
        <f>E301</f>
        <v>0.19500687128035235</v>
      </c>
    </row>
    <row r="286" spans="1:11">
      <c r="A286">
        <v>40</v>
      </c>
      <c r="B286">
        <v>0</v>
      </c>
      <c r="C286">
        <f t="shared" si="31"/>
        <v>3.6870948593223682E-3</v>
      </c>
      <c r="D286">
        <f t="shared" si="32"/>
        <v>1.3594668501641434E-5</v>
      </c>
      <c r="E286">
        <f t="shared" si="33"/>
        <v>3.6870948593223682E-3</v>
      </c>
    </row>
    <row r="287" spans="1:11">
      <c r="A287">
        <v>50</v>
      </c>
      <c r="B287">
        <v>0</v>
      </c>
      <c r="C287">
        <f t="shared" si="31"/>
        <v>4.8574428090190592E-3</v>
      </c>
      <c r="D287">
        <f t="shared" si="32"/>
        <v>2.359475064289097E-5</v>
      </c>
      <c r="E287">
        <f t="shared" si="33"/>
        <v>4.8574428090190592E-3</v>
      </c>
      <c r="J287" t="s">
        <v>105</v>
      </c>
      <c r="K287">
        <v>4</v>
      </c>
    </row>
    <row r="288" spans="1:11">
      <c r="A288">
        <v>60</v>
      </c>
      <c r="B288">
        <v>0</v>
      </c>
      <c r="C288">
        <f t="shared" si="31"/>
        <v>6.3968943570444211E-3</v>
      </c>
      <c r="D288">
        <f t="shared" si="32"/>
        <v>4.0920257415186756E-5</v>
      </c>
      <c r="E288">
        <f t="shared" si="33"/>
        <v>6.3968943570444211E-3</v>
      </c>
      <c r="J288" t="s">
        <v>12</v>
      </c>
      <c r="K288">
        <v>100</v>
      </c>
    </row>
    <row r="289" spans="1:11">
      <c r="A289">
        <v>90</v>
      </c>
      <c r="B289">
        <v>0</v>
      </c>
      <c r="C289">
        <f t="shared" si="31"/>
        <v>1.455757440182447E-2</v>
      </c>
      <c r="D289">
        <f t="shared" si="32"/>
        <v>2.1192297246465508E-4</v>
      </c>
      <c r="E289">
        <f t="shared" si="33"/>
        <v>1.455757440182447E-2</v>
      </c>
      <c r="J289" t="s">
        <v>8</v>
      </c>
      <c r="K289">
        <v>4</v>
      </c>
    </row>
    <row r="290" spans="1:11">
      <c r="A290">
        <v>150</v>
      </c>
      <c r="B290">
        <v>0.02</v>
      </c>
      <c r="C290">
        <f t="shared" si="31"/>
        <v>7.2165762648338128E-2</v>
      </c>
      <c r="D290">
        <f t="shared" si="32"/>
        <v>2.7212667926827488E-3</v>
      </c>
      <c r="E290">
        <f t="shared" si="33"/>
        <v>5.2165762648338124E-2</v>
      </c>
      <c r="J290" t="s">
        <v>107</v>
      </c>
      <c r="K290">
        <v>2</v>
      </c>
    </row>
    <row r="291" spans="1:11">
      <c r="A291">
        <v>210</v>
      </c>
      <c r="B291">
        <v>0.28999999999999998</v>
      </c>
      <c r="C291">
        <f t="shared" si="31"/>
        <v>0.2905332806905791</v>
      </c>
      <c r="D291">
        <f t="shared" si="32"/>
        <v>2.8438829494454182E-7</v>
      </c>
      <c r="E291">
        <f t="shared" si="33"/>
        <v>5.3328069057911875E-4</v>
      </c>
      <c r="J291" t="s">
        <v>106</v>
      </c>
      <c r="K291">
        <v>18</v>
      </c>
    </row>
    <row r="292" spans="1:11">
      <c r="A292">
        <v>235</v>
      </c>
      <c r="B292">
        <v>0.45</v>
      </c>
      <c r="C292">
        <f t="shared" si="31"/>
        <v>0.44999922484643645</v>
      </c>
      <c r="D292">
        <f t="shared" si="32"/>
        <v>6.0086304709848363E-13</v>
      </c>
      <c r="E292">
        <f t="shared" si="33"/>
        <v>7.751535635591722E-7</v>
      </c>
    </row>
    <row r="293" spans="1:11">
      <c r="A293">
        <v>260</v>
      </c>
      <c r="B293">
        <v>0.63</v>
      </c>
      <c r="C293">
        <f t="shared" si="31"/>
        <v>0.62044743772706057</v>
      </c>
      <c r="D293">
        <f t="shared" si="32"/>
        <v>9.1251445978385838E-5</v>
      </c>
      <c r="E293">
        <f t="shared" si="33"/>
        <v>9.5525622729394355E-3</v>
      </c>
    </row>
    <row r="294" spans="1:11">
      <c r="A294">
        <v>280</v>
      </c>
      <c r="B294">
        <v>0.74</v>
      </c>
      <c r="C294">
        <f t="shared" si="31"/>
        <v>0.73984153637138905</v>
      </c>
      <c r="D294">
        <f t="shared" si="32"/>
        <v>2.5110721592545498E-8</v>
      </c>
      <c r="E294">
        <f t="shared" si="33"/>
        <v>1.5846362861093866E-4</v>
      </c>
    </row>
    <row r="295" spans="1:11">
      <c r="A295">
        <v>290</v>
      </c>
      <c r="B295">
        <v>0.79</v>
      </c>
      <c r="C295">
        <f t="shared" si="31"/>
        <v>0.7895132238889756</v>
      </c>
      <c r="D295">
        <f t="shared" si="32"/>
        <v>2.3695098226407205E-7</v>
      </c>
      <c r="E295">
        <f t="shared" si="33"/>
        <v>4.8677611102443397E-4</v>
      </c>
    </row>
    <row r="296" spans="1:11">
      <c r="A296">
        <v>300</v>
      </c>
      <c r="B296">
        <v>0.83</v>
      </c>
      <c r="C296">
        <f t="shared" si="31"/>
        <v>0.83185653300761153</v>
      </c>
      <c r="D296">
        <f t="shared" si="32"/>
        <v>3.4467148083512678E-6</v>
      </c>
      <c r="E296">
        <f t="shared" si="33"/>
        <v>1.8565330076115716E-3</v>
      </c>
    </row>
    <row r="297" spans="1:11">
      <c r="A297">
        <v>315</v>
      </c>
      <c r="B297">
        <v>0.87</v>
      </c>
      <c r="C297">
        <f t="shared" si="31"/>
        <v>0.88227115466850947</v>
      </c>
      <c r="D297">
        <f t="shared" si="32"/>
        <v>1.5058123689848192E-4</v>
      </c>
      <c r="E297">
        <f t="shared" si="33"/>
        <v>1.2271154668509476E-2</v>
      </c>
    </row>
    <row r="298" spans="1:11">
      <c r="A298">
        <v>320</v>
      </c>
      <c r="B298">
        <v>0.88</v>
      </c>
      <c r="C298">
        <f t="shared" si="31"/>
        <v>0.89590586448861997</v>
      </c>
      <c r="D298">
        <f t="shared" si="32"/>
        <v>2.5299652513034179E-4</v>
      </c>
      <c r="E298">
        <f t="shared" si="33"/>
        <v>1.590586448861997E-2</v>
      </c>
    </row>
    <row r="299" spans="1:11">
      <c r="A299">
        <v>330</v>
      </c>
      <c r="B299">
        <v>0.89</v>
      </c>
      <c r="C299">
        <f t="shared" si="31"/>
        <v>0.91904103543780824</v>
      </c>
      <c r="D299">
        <f t="shared" si="32"/>
        <v>8.4338173930003323E-4</v>
      </c>
      <c r="E299">
        <f t="shared" si="33"/>
        <v>2.9041035437808227E-2</v>
      </c>
    </row>
    <row r="300" spans="1:11">
      <c r="A300">
        <v>340</v>
      </c>
      <c r="B300">
        <v>0.9</v>
      </c>
      <c r="C300">
        <f t="shared" si="31"/>
        <v>0.93739367394322182</v>
      </c>
      <c r="D300">
        <f t="shared" si="32"/>
        <v>1.3982868509719846E-3</v>
      </c>
      <c r="E300">
        <f t="shared" si="33"/>
        <v>3.7393673943221795E-2</v>
      </c>
    </row>
    <row r="301" spans="1:11">
      <c r="E301">
        <f>SUM(E283:E300)</f>
        <v>0.19500687128035235</v>
      </c>
    </row>
    <row r="306" spans="1:11" ht="15.6">
      <c r="A306" s="20" t="s">
        <v>118</v>
      </c>
    </row>
    <row r="308" spans="1:11">
      <c r="A308" t="s">
        <v>109</v>
      </c>
      <c r="B308" t="s">
        <v>53</v>
      </c>
    </row>
    <row r="309" spans="1:11">
      <c r="A309" t="s">
        <v>29</v>
      </c>
      <c r="B309" t="s">
        <v>43</v>
      </c>
      <c r="C309" t="s">
        <v>99</v>
      </c>
      <c r="D309" t="s">
        <v>120</v>
      </c>
      <c r="E309" t="s">
        <v>119</v>
      </c>
    </row>
    <row r="310" spans="1:11">
      <c r="A310">
        <v>0</v>
      </c>
      <c r="B310">
        <v>0</v>
      </c>
      <c r="C310">
        <f t="shared" ref="C310:C327" si="34">(1/(1+EXP(($K$310*$K$311*$K$314/$K$316)-($K$310*$K$310*A310))))</f>
        <v>2.5935613355050929E-2</v>
      </c>
      <c r="D310">
        <f t="shared" ref="D310:D327" si="35">(B310-C310)^2</f>
        <v>6.7265604010269611E-4</v>
      </c>
      <c r="E310">
        <v>0</v>
      </c>
      <c r="J310" s="6" t="s">
        <v>102</v>
      </c>
      <c r="K310" s="6">
        <v>2.02407953082112E-4</v>
      </c>
    </row>
    <row r="311" spans="1:11">
      <c r="A311">
        <v>20</v>
      </c>
      <c r="B311">
        <v>0</v>
      </c>
      <c r="C311">
        <f t="shared" si="34"/>
        <v>2.5935634055010568E-2</v>
      </c>
      <c r="D311">
        <f t="shared" si="35"/>
        <v>6.7265711383542395E-4</v>
      </c>
      <c r="E311">
        <v>0</v>
      </c>
      <c r="J311" s="6" t="s">
        <v>103</v>
      </c>
      <c r="K311" s="6">
        <v>17913.625894654699</v>
      </c>
    </row>
    <row r="312" spans="1:11">
      <c r="A312">
        <v>30</v>
      </c>
      <c r="B312">
        <v>0</v>
      </c>
      <c r="C312">
        <f t="shared" si="34"/>
        <v>2.5935644404996409E-2</v>
      </c>
      <c r="D312">
        <f t="shared" si="35"/>
        <v>6.7265765070242153E-4</v>
      </c>
      <c r="E312">
        <v>0</v>
      </c>
    </row>
    <row r="313" spans="1:11">
      <c r="A313">
        <v>40</v>
      </c>
      <c r="B313">
        <v>0</v>
      </c>
      <c r="C313">
        <f t="shared" si="34"/>
        <v>2.5935654754986281E-2</v>
      </c>
      <c r="D313">
        <f t="shared" si="35"/>
        <v>6.7265818756984249E-4</v>
      </c>
      <c r="E313">
        <v>0</v>
      </c>
      <c r="G313" s="6" t="s">
        <v>121</v>
      </c>
      <c r="H313" s="6">
        <f>(100)*(1/16)^0.5*(F322)^0.5</f>
        <v>7.9037989075304305</v>
      </c>
    </row>
    <row r="314" spans="1:11">
      <c r="A314">
        <v>50</v>
      </c>
      <c r="B314">
        <v>0</v>
      </c>
      <c r="C314">
        <f t="shared" si="34"/>
        <v>2.5935665104980167E-2</v>
      </c>
      <c r="D314">
        <f t="shared" si="35"/>
        <v>6.7265872443768586E-4</v>
      </c>
      <c r="E314">
        <v>0</v>
      </c>
      <c r="J314" t="s">
        <v>105</v>
      </c>
      <c r="K314">
        <v>4</v>
      </c>
    </row>
    <row r="315" spans="1:11">
      <c r="A315">
        <v>60</v>
      </c>
      <c r="B315">
        <v>0</v>
      </c>
      <c r="C315">
        <f t="shared" si="34"/>
        <v>2.5935675454978071E-2</v>
      </c>
      <c r="D315">
        <f t="shared" si="35"/>
        <v>6.7265926130595196E-4</v>
      </c>
      <c r="E315">
        <v>0</v>
      </c>
      <c r="J315" t="s">
        <v>12</v>
      </c>
      <c r="K315">
        <v>100</v>
      </c>
    </row>
    <row r="316" spans="1:11">
      <c r="A316">
        <v>90</v>
      </c>
      <c r="B316">
        <v>0</v>
      </c>
      <c r="C316">
        <f t="shared" si="34"/>
        <v>2.5935706504995926E-2</v>
      </c>
      <c r="D316">
        <f t="shared" si="35"/>
        <v>6.7266087191328804E-4</v>
      </c>
      <c r="E316">
        <v>0</v>
      </c>
      <c r="J316" t="s">
        <v>8</v>
      </c>
      <c r="K316">
        <v>4</v>
      </c>
    </row>
    <row r="317" spans="1:11">
      <c r="A317">
        <v>150</v>
      </c>
      <c r="B317">
        <v>0.02</v>
      </c>
      <c r="C317">
        <f t="shared" si="34"/>
        <v>2.5935768605140165E-2</v>
      </c>
      <c r="D317">
        <f t="shared" si="35"/>
        <v>3.5233348933767615E-5</v>
      </c>
      <c r="E317">
        <f t="shared" ref="E317:E327" si="36">((B317-C317)/B317)^2</f>
        <v>8.8083372334419041E-2</v>
      </c>
      <c r="J317" t="s">
        <v>107</v>
      </c>
      <c r="K317">
        <v>2</v>
      </c>
    </row>
    <row r="318" spans="1:11">
      <c r="A318">
        <v>210</v>
      </c>
      <c r="B318">
        <v>0.28999999999999998</v>
      </c>
      <c r="C318">
        <f t="shared" si="34"/>
        <v>2.5935830705429135E-2</v>
      </c>
      <c r="D318">
        <f t="shared" si="35"/>
        <v>6.9729885505231765E-2</v>
      </c>
      <c r="E318">
        <f t="shared" si="36"/>
        <v>0.82913062431904605</v>
      </c>
      <c r="J318" t="s">
        <v>106</v>
      </c>
      <c r="K318">
        <v>18</v>
      </c>
    </row>
    <row r="319" spans="1:11">
      <c r="A319">
        <v>235</v>
      </c>
      <c r="B319">
        <v>0.45</v>
      </c>
      <c r="C319">
        <f t="shared" si="34"/>
        <v>2.5935856580592258E-2</v>
      </c>
      <c r="D319">
        <f t="shared" si="35"/>
        <v>0.179830397734036</v>
      </c>
      <c r="E319">
        <f t="shared" si="36"/>
        <v>0.88805134683474563</v>
      </c>
    </row>
    <row r="320" spans="1:11">
      <c r="A320">
        <v>260</v>
      </c>
      <c r="B320">
        <v>0.63</v>
      </c>
      <c r="C320">
        <f t="shared" si="34"/>
        <v>2.5935882455780504E-2</v>
      </c>
      <c r="D320">
        <f t="shared" si="35"/>
        <v>0.36489345810447665</v>
      </c>
      <c r="E320">
        <f t="shared" si="36"/>
        <v>0.91935867499238255</v>
      </c>
    </row>
    <row r="321" spans="1:6">
      <c r="A321">
        <v>280</v>
      </c>
      <c r="B321">
        <v>0.74</v>
      </c>
      <c r="C321">
        <f t="shared" si="34"/>
        <v>2.5935903155949194E-2</v>
      </c>
      <c r="D321">
        <f t="shared" si="35"/>
        <v>0.50988753440170997</v>
      </c>
      <c r="E321">
        <f t="shared" si="36"/>
        <v>0.93113136304183697</v>
      </c>
    </row>
    <row r="322" spans="1:6">
      <c r="A322">
        <v>290</v>
      </c>
      <c r="B322">
        <v>0.79</v>
      </c>
      <c r="C322">
        <f t="shared" si="34"/>
        <v>2.5935913506039569E-2</v>
      </c>
      <c r="D322">
        <f t="shared" si="35"/>
        <v>0.58379392826985033</v>
      </c>
      <c r="E322">
        <f t="shared" si="36"/>
        <v>0.93541728612377872</v>
      </c>
      <c r="F322">
        <f>D328/B328^2</f>
        <v>9.9952059473086774E-2</v>
      </c>
    </row>
    <row r="323" spans="1:6">
      <c r="A323">
        <v>300</v>
      </c>
      <c r="B323">
        <v>0.83</v>
      </c>
      <c r="C323">
        <f t="shared" si="34"/>
        <v>2.5935923856133972E-2</v>
      </c>
      <c r="D323">
        <f t="shared" si="35"/>
        <v>0.64651903854508874</v>
      </c>
      <c r="E323">
        <f t="shared" si="36"/>
        <v>0.9384802417551007</v>
      </c>
    </row>
    <row r="324" spans="1:6">
      <c r="A324">
        <v>315</v>
      </c>
      <c r="B324">
        <v>0.87</v>
      </c>
      <c r="C324">
        <f t="shared" si="34"/>
        <v>2.5935939381283107E-2</v>
      </c>
      <c r="D324">
        <f t="shared" si="35"/>
        <v>0.7124441384281569</v>
      </c>
      <c r="E324">
        <f t="shared" si="36"/>
        <v>0.9412658718828868</v>
      </c>
    </row>
    <row r="325" spans="1:6">
      <c r="A325">
        <v>320</v>
      </c>
      <c r="B325">
        <v>0.88</v>
      </c>
      <c r="C325">
        <f t="shared" si="34"/>
        <v>2.5935944556334828E-2</v>
      </c>
      <c r="D325">
        <f t="shared" si="35"/>
        <v>0.72942541080087997</v>
      </c>
      <c r="E325">
        <f t="shared" si="36"/>
        <v>0.94192330940196278</v>
      </c>
    </row>
    <row r="326" spans="1:6">
      <c r="A326">
        <v>330</v>
      </c>
      <c r="B326">
        <v>0.89</v>
      </c>
      <c r="C326">
        <f t="shared" si="34"/>
        <v>2.593595490644128E-2</v>
      </c>
      <c r="D326">
        <f t="shared" si="35"/>
        <v>0.7466066740234435</v>
      </c>
      <c r="E326">
        <f t="shared" si="36"/>
        <v>0.94256618359227795</v>
      </c>
    </row>
    <row r="327" spans="1:6">
      <c r="A327">
        <v>340</v>
      </c>
      <c r="B327">
        <v>0.9</v>
      </c>
      <c r="C327">
        <f t="shared" si="34"/>
        <v>2.5935965256551757E-2</v>
      </c>
      <c r="D327">
        <f t="shared" si="35"/>
        <v>0.76398793683199595</v>
      </c>
      <c r="E327">
        <f t="shared" si="36"/>
        <v>0.94319498374320487</v>
      </c>
    </row>
    <row r="328" spans="1:6">
      <c r="B328">
        <f>SUM(B310:B327)</f>
        <v>7.29</v>
      </c>
      <c r="D328">
        <f>SUM(D310:D327)</f>
        <v>5.3118622438436711</v>
      </c>
      <c r="E328">
        <f>SUM(E317:E327)</f>
        <v>9.2986032580216431</v>
      </c>
    </row>
    <row r="335" spans="1:6" ht="15.6">
      <c r="A335" t="s">
        <v>138</v>
      </c>
    </row>
    <row r="336" spans="1:6">
      <c r="A336" t="s">
        <v>109</v>
      </c>
      <c r="B336" t="s">
        <v>53</v>
      </c>
    </row>
    <row r="337" spans="1:11">
      <c r="A337" t="s">
        <v>29</v>
      </c>
      <c r="B337" t="s">
        <v>43</v>
      </c>
      <c r="C337" t="s">
        <v>99</v>
      </c>
      <c r="D337" t="s">
        <v>139</v>
      </c>
      <c r="E337" t="s">
        <v>119</v>
      </c>
    </row>
    <row r="338" spans="1:11">
      <c r="A338">
        <v>0</v>
      </c>
      <c r="B338">
        <v>0</v>
      </c>
      <c r="C338">
        <f t="shared" ref="C338:C355" si="37">(1/(1+EXP(($K$338*$K$339*$K$342/$K$344)-($K$338*$K$343*A338))))</f>
        <v>2.4956473532390932E-4</v>
      </c>
      <c r="D338">
        <f t="shared" ref="D338:D355" si="38">(B338-C338)^2</f>
        <v>6.2282557117292911E-8</v>
      </c>
      <c r="E338">
        <v>0</v>
      </c>
      <c r="J338" s="6" t="s">
        <v>102</v>
      </c>
      <c r="K338" s="6">
        <v>3.3770990282681998E-4</v>
      </c>
    </row>
    <row r="339" spans="1:11">
      <c r="A339">
        <v>20</v>
      </c>
      <c r="B339">
        <v>0</v>
      </c>
      <c r="C339">
        <f t="shared" si="37"/>
        <v>4.9024113482583494E-4</v>
      </c>
      <c r="D339">
        <f t="shared" si="38"/>
        <v>2.4033637027532246E-7</v>
      </c>
      <c r="E339">
        <v>0</v>
      </c>
      <c r="J339" s="6" t="s">
        <v>103</v>
      </c>
      <c r="K339" s="6">
        <v>24564.108280185199</v>
      </c>
    </row>
    <row r="340" spans="1:11">
      <c r="A340">
        <v>30</v>
      </c>
      <c r="B340">
        <v>0</v>
      </c>
      <c r="C340">
        <f t="shared" si="37"/>
        <v>6.8705225899015133E-4</v>
      </c>
      <c r="D340">
        <f t="shared" si="38"/>
        <v>4.7204080658346996E-7</v>
      </c>
      <c r="E340">
        <v>0</v>
      </c>
    </row>
    <row r="341" spans="1:11">
      <c r="A341">
        <v>40</v>
      </c>
      <c r="B341">
        <v>0</v>
      </c>
      <c r="C341">
        <f t="shared" si="37"/>
        <v>9.6279863341427801E-4</v>
      </c>
      <c r="D341">
        <f t="shared" si="38"/>
        <v>9.2698120850440134E-7</v>
      </c>
      <c r="E341">
        <v>0</v>
      </c>
      <c r="G341" s="6" t="s">
        <v>134</v>
      </c>
      <c r="H341" s="6">
        <f>(100/16)*E356</f>
        <v>0.29115934138876753</v>
      </c>
    </row>
    <row r="342" spans="1:11">
      <c r="A342">
        <v>50</v>
      </c>
      <c r="B342">
        <v>0</v>
      </c>
      <c r="C342">
        <f t="shared" si="37"/>
        <v>1.3490655888476171E-3</v>
      </c>
      <c r="D342">
        <f t="shared" si="38"/>
        <v>1.8199779630127679E-6</v>
      </c>
      <c r="E342">
        <v>0</v>
      </c>
      <c r="J342" t="s">
        <v>105</v>
      </c>
      <c r="K342">
        <v>4</v>
      </c>
    </row>
    <row r="343" spans="1:11">
      <c r="A343">
        <v>60</v>
      </c>
      <c r="B343">
        <v>0</v>
      </c>
      <c r="C343">
        <f t="shared" si="37"/>
        <v>1.8900065237298859E-3</v>
      </c>
      <c r="D343">
        <f t="shared" si="38"/>
        <v>3.5721246597415276E-6</v>
      </c>
      <c r="E343">
        <v>0</v>
      </c>
      <c r="J343" t="s">
        <v>12</v>
      </c>
      <c r="K343">
        <v>100</v>
      </c>
    </row>
    <row r="344" spans="1:11">
      <c r="A344">
        <v>90</v>
      </c>
      <c r="B344">
        <v>0</v>
      </c>
      <c r="C344">
        <f t="shared" si="37"/>
        <v>5.1882684516491896E-3</v>
      </c>
      <c r="D344">
        <f t="shared" si="38"/>
        <v>2.6918129526378279E-5</v>
      </c>
      <c r="E344">
        <v>0</v>
      </c>
      <c r="J344" t="s">
        <v>8</v>
      </c>
      <c r="K344">
        <v>4</v>
      </c>
    </row>
    <row r="345" spans="1:11">
      <c r="A345">
        <v>150</v>
      </c>
      <c r="B345">
        <v>0.02</v>
      </c>
      <c r="C345">
        <f t="shared" si="37"/>
        <v>3.8056124461264801E-2</v>
      </c>
      <c r="D345">
        <f t="shared" si="38"/>
        <v>3.2602363056068509E-4</v>
      </c>
      <c r="E345">
        <f t="shared" ref="E345:E355" si="39">(B345-C345)^2/B345</f>
        <v>1.6301181528034253E-2</v>
      </c>
      <c r="J345" t="s">
        <v>107</v>
      </c>
      <c r="K345">
        <v>2</v>
      </c>
    </row>
    <row r="346" spans="1:11">
      <c r="A346">
        <v>210</v>
      </c>
      <c r="B346">
        <v>0.28999999999999998</v>
      </c>
      <c r="C346">
        <f t="shared" si="37"/>
        <v>0.2308292616823677</v>
      </c>
      <c r="D346">
        <f t="shared" si="38"/>
        <v>3.5011762730537172E-3</v>
      </c>
      <c r="E346">
        <f t="shared" si="39"/>
        <v>1.2073021631219715E-2</v>
      </c>
      <c r="J346" t="s">
        <v>106</v>
      </c>
      <c r="K346">
        <v>18</v>
      </c>
    </row>
    <row r="347" spans="1:11">
      <c r="A347">
        <v>235</v>
      </c>
      <c r="B347">
        <v>0.45</v>
      </c>
      <c r="C347">
        <f t="shared" si="37"/>
        <v>0.41111452398394494</v>
      </c>
      <c r="D347">
        <f t="shared" si="38"/>
        <v>1.5120802449951946E-3</v>
      </c>
      <c r="E347">
        <f t="shared" si="39"/>
        <v>3.3601783222115432E-3</v>
      </c>
    </row>
    <row r="348" spans="1:11">
      <c r="A348">
        <v>260</v>
      </c>
      <c r="B348">
        <v>0.63</v>
      </c>
      <c r="C348">
        <f t="shared" si="37"/>
        <v>0.61890777219166793</v>
      </c>
      <c r="D348">
        <f t="shared" si="38"/>
        <v>1.2303751775193545E-4</v>
      </c>
      <c r="E348">
        <f t="shared" si="39"/>
        <v>1.9529764722529437E-4</v>
      </c>
    </row>
    <row r="349" spans="1:11">
      <c r="A349">
        <v>280</v>
      </c>
      <c r="B349">
        <v>0.74</v>
      </c>
      <c r="C349">
        <f t="shared" si="37"/>
        <v>0.76139351877686934</v>
      </c>
      <c r="D349">
        <f t="shared" si="38"/>
        <v>4.5768264565626131E-4</v>
      </c>
      <c r="E349">
        <f t="shared" si="39"/>
        <v>6.1849006169765043E-4</v>
      </c>
    </row>
    <row r="350" spans="1:11">
      <c r="A350">
        <v>290</v>
      </c>
      <c r="B350">
        <v>0.79</v>
      </c>
      <c r="C350">
        <f t="shared" si="37"/>
        <v>0.8172826483700385</v>
      </c>
      <c r="D350">
        <f t="shared" si="38"/>
        <v>7.4434290208316245E-4</v>
      </c>
      <c r="E350">
        <f t="shared" si="39"/>
        <v>9.4220620516856E-4</v>
      </c>
    </row>
    <row r="351" spans="1:11">
      <c r="A351">
        <v>300</v>
      </c>
      <c r="B351">
        <v>0.83</v>
      </c>
      <c r="C351">
        <f t="shared" si="37"/>
        <v>0.86244582128040359</v>
      </c>
      <c r="D351">
        <f t="shared" si="38"/>
        <v>1.052731318559893E-3</v>
      </c>
      <c r="E351">
        <f t="shared" si="39"/>
        <v>1.2683509862167386E-3</v>
      </c>
    </row>
    <row r="352" spans="1:11">
      <c r="A352">
        <v>315</v>
      </c>
      <c r="B352">
        <v>0.87</v>
      </c>
      <c r="C352">
        <f t="shared" si="37"/>
        <v>0.91232178670502773</v>
      </c>
      <c r="D352">
        <f t="shared" si="38"/>
        <v>1.7911336299058619E-3</v>
      </c>
      <c r="E352">
        <f t="shared" si="39"/>
        <v>2.058774287248117E-3</v>
      </c>
    </row>
    <row r="353" spans="1:11">
      <c r="A353">
        <v>320</v>
      </c>
      <c r="B353">
        <v>0.88</v>
      </c>
      <c r="C353">
        <f t="shared" si="37"/>
        <v>0.92492147457824458</v>
      </c>
      <c r="D353">
        <f t="shared" si="38"/>
        <v>2.017938878283874E-3</v>
      </c>
      <c r="E353">
        <f t="shared" si="39"/>
        <v>2.2931123616862204E-3</v>
      </c>
    </row>
    <row r="354" spans="1:11">
      <c r="A354">
        <v>330</v>
      </c>
      <c r="B354">
        <v>0.89</v>
      </c>
      <c r="C354">
        <f t="shared" si="37"/>
        <v>0.94526097559758004</v>
      </c>
      <c r="D354">
        <f t="shared" si="38"/>
        <v>3.0537754239963358E-3</v>
      </c>
      <c r="E354">
        <f t="shared" si="39"/>
        <v>3.4312083415689166E-3</v>
      </c>
    </row>
    <row r="355" spans="1:11">
      <c r="A355">
        <v>340</v>
      </c>
      <c r="B355">
        <v>0.9</v>
      </c>
      <c r="C355">
        <f t="shared" si="37"/>
        <v>0.96032666015065993</v>
      </c>
      <c r="D355">
        <f t="shared" si="38"/>
        <v>3.6393059249332179E-3</v>
      </c>
      <c r="E355">
        <f t="shared" si="39"/>
        <v>4.0436732499257973E-3</v>
      </c>
    </row>
    <row r="356" spans="1:11">
      <c r="D356">
        <f>SUM(D338:D355)</f>
        <v>1.8253240262871753E-2</v>
      </c>
      <c r="E356" s="6">
        <f>SUM(E338:E355)</f>
        <v>4.6585494622202808E-2</v>
      </c>
    </row>
    <row r="361" spans="1:11">
      <c r="A361" t="s">
        <v>140</v>
      </c>
    </row>
    <row r="362" spans="1:11" ht="15.6">
      <c r="A362" s="20" t="s">
        <v>109</v>
      </c>
    </row>
    <row r="364" spans="1:11">
      <c r="B364" t="s">
        <v>55</v>
      </c>
    </row>
    <row r="365" spans="1:11">
      <c r="A365" t="s">
        <v>29</v>
      </c>
      <c r="B365" t="s">
        <v>43</v>
      </c>
      <c r="C365" t="s">
        <v>99</v>
      </c>
      <c r="D365" t="s">
        <v>120</v>
      </c>
    </row>
    <row r="366" spans="1:11">
      <c r="A366">
        <v>0</v>
      </c>
      <c r="B366">
        <v>0</v>
      </c>
      <c r="C366">
        <f t="shared" ref="C366:C374" si="40">(1/(1+EXP(($K$366*$K$367*$K$371/$K$373)-($K$366*$K$372*A366))))</f>
        <v>3.87663994064655E-2</v>
      </c>
      <c r="D366">
        <f t="shared" ref="D366:D374" si="41">(B366-C366)^2</f>
        <v>1.5028337229416088E-3</v>
      </c>
      <c r="J366" s="6" t="s">
        <v>102</v>
      </c>
      <c r="K366" s="6">
        <v>7.2424419092467004E-4</v>
      </c>
    </row>
    <row r="367" spans="1:11">
      <c r="A367">
        <v>10</v>
      </c>
      <c r="B367">
        <v>0</v>
      </c>
      <c r="C367">
        <f t="shared" si="40"/>
        <v>7.6815731962162376E-2</v>
      </c>
      <c r="D367">
        <f t="shared" si="41"/>
        <v>5.9006566768827744E-3</v>
      </c>
      <c r="J367" s="6" t="s">
        <v>103</v>
      </c>
      <c r="K367" s="6">
        <v>13299.369012461601</v>
      </c>
    </row>
    <row r="368" spans="1:11">
      <c r="A368">
        <v>20</v>
      </c>
      <c r="B368">
        <v>0.08</v>
      </c>
      <c r="C368">
        <f t="shared" si="40"/>
        <v>0.14651812042536899</v>
      </c>
      <c r="D368">
        <f t="shared" si="41"/>
        <v>4.4246603449238911E-3</v>
      </c>
    </row>
    <row r="369" spans="1:11">
      <c r="A369">
        <v>30</v>
      </c>
      <c r="B369">
        <v>0.32</v>
      </c>
      <c r="C369">
        <f t="shared" si="40"/>
        <v>0.26154940404596033</v>
      </c>
      <c r="D369">
        <f t="shared" si="41"/>
        <v>3.416472167382399E-3</v>
      </c>
      <c r="F369" s="6" t="s">
        <v>100</v>
      </c>
      <c r="G369" s="6">
        <f>D375</f>
        <v>4.430003062616289E-2</v>
      </c>
    </row>
    <row r="370" spans="1:11">
      <c r="A370">
        <v>48</v>
      </c>
      <c r="B370">
        <v>0.62</v>
      </c>
      <c r="C370">
        <f t="shared" si="40"/>
        <v>0.56603905426503343</v>
      </c>
      <c r="D370">
        <f t="shared" si="41"/>
        <v>2.9117836646120067E-3</v>
      </c>
    </row>
    <row r="371" spans="1:11">
      <c r="A371">
        <v>60</v>
      </c>
      <c r="B371">
        <v>0.74</v>
      </c>
      <c r="C371">
        <f t="shared" si="40"/>
        <v>0.75672392149309564</v>
      </c>
      <c r="D371">
        <f t="shared" si="41"/>
        <v>2.7968955010722666E-4</v>
      </c>
      <c r="J371" t="s">
        <v>105</v>
      </c>
      <c r="K371">
        <v>4</v>
      </c>
    </row>
    <row r="372" spans="1:11">
      <c r="A372">
        <v>85</v>
      </c>
      <c r="B372">
        <v>0.86</v>
      </c>
      <c r="C372">
        <f t="shared" si="40"/>
        <v>0.95004620012968866</v>
      </c>
      <c r="D372">
        <f t="shared" si="41"/>
        <v>8.1083181577959445E-3</v>
      </c>
      <c r="J372" t="s">
        <v>12</v>
      </c>
      <c r="K372">
        <v>100</v>
      </c>
    </row>
    <row r="373" spans="1:11">
      <c r="A373">
        <v>100</v>
      </c>
      <c r="B373">
        <v>0.89</v>
      </c>
      <c r="C373">
        <f t="shared" si="40"/>
        <v>0.98256656753302418</v>
      </c>
      <c r="D373">
        <f t="shared" si="41"/>
        <v>8.5685694248459239E-3</v>
      </c>
      <c r="J373" t="s">
        <v>8</v>
      </c>
      <c r="K373">
        <v>12</v>
      </c>
    </row>
    <row r="374" spans="1:11">
      <c r="A374">
        <v>120</v>
      </c>
      <c r="B374">
        <v>0.9</v>
      </c>
      <c r="C374">
        <f t="shared" si="40"/>
        <v>0.99584908406798223</v>
      </c>
      <c r="D374">
        <f t="shared" si="41"/>
        <v>9.18704691667112E-3</v>
      </c>
      <c r="J374" t="s">
        <v>106</v>
      </c>
      <c r="K374">
        <v>9</v>
      </c>
    </row>
    <row r="375" spans="1:11">
      <c r="D375">
        <f>SUM(D366:D374)</f>
        <v>4.430003062616289E-2</v>
      </c>
      <c r="J375" t="s">
        <v>107</v>
      </c>
      <c r="K375">
        <v>2</v>
      </c>
    </row>
    <row r="379" spans="1:11">
      <c r="A379" t="s">
        <v>122</v>
      </c>
    </row>
    <row r="380" spans="1:11">
      <c r="B380" t="s">
        <v>55</v>
      </c>
    </row>
    <row r="381" spans="1:11">
      <c r="A381" t="s">
        <v>29</v>
      </c>
      <c r="B381" t="s">
        <v>43</v>
      </c>
      <c r="C381" t="s">
        <v>99</v>
      </c>
      <c r="D381" t="s">
        <v>120</v>
      </c>
      <c r="E381" t="s">
        <v>137</v>
      </c>
    </row>
    <row r="382" spans="1:11">
      <c r="A382">
        <v>0</v>
      </c>
      <c r="B382">
        <v>0</v>
      </c>
      <c r="C382">
        <f t="shared" ref="C382:C390" si="42">(1/(1+EXP(($K$382*$K$383*$K$387/$K$389)-($K$382*$K$388*A382))))</f>
        <v>3.3870700619460126E-2</v>
      </c>
      <c r="D382">
        <f t="shared" ref="D382:D390" si="43">(B382-C382)^2</f>
        <v>1.1472243604530965E-3</v>
      </c>
      <c r="E382">
        <f t="shared" ref="E382:E390" si="44">ABS(B382-C382)</f>
        <v>3.3870700619460126E-2</v>
      </c>
      <c r="J382" s="6" t="s">
        <v>102</v>
      </c>
      <c r="K382" s="6">
        <v>7.3278599575506804E-4</v>
      </c>
    </row>
    <row r="383" spans="1:11">
      <c r="A383">
        <v>10</v>
      </c>
      <c r="B383">
        <v>0</v>
      </c>
      <c r="C383">
        <f t="shared" si="42"/>
        <v>6.799136754849168E-2</v>
      </c>
      <c r="D383">
        <f t="shared" si="43"/>
        <v>4.6228260611140878E-3</v>
      </c>
      <c r="E383">
        <f t="shared" si="44"/>
        <v>6.799136754849168E-2</v>
      </c>
      <c r="J383" s="6" t="s">
        <v>103</v>
      </c>
      <c r="K383" s="6">
        <v>13717.8412638641</v>
      </c>
    </row>
    <row r="384" spans="1:11">
      <c r="A384">
        <v>20</v>
      </c>
      <c r="B384">
        <v>0.08</v>
      </c>
      <c r="C384">
        <f t="shared" si="42"/>
        <v>0.13179555438310744</v>
      </c>
      <c r="D384">
        <f t="shared" si="43"/>
        <v>2.6827794538534407E-3</v>
      </c>
      <c r="E384">
        <f t="shared" si="44"/>
        <v>5.1795554383107442E-2</v>
      </c>
      <c r="G384" s="6" t="s">
        <v>132</v>
      </c>
      <c r="H384" s="6">
        <f>(E391)</f>
        <v>0.58608507958132505</v>
      </c>
    </row>
    <row r="385" spans="1:11">
      <c r="A385">
        <v>30</v>
      </c>
      <c r="B385">
        <v>0.32</v>
      </c>
      <c r="C385">
        <f t="shared" si="42"/>
        <v>0.24005293169784808</v>
      </c>
      <c r="D385">
        <f t="shared" si="43"/>
        <v>6.3915337301089451E-3</v>
      </c>
      <c r="E385">
        <f t="shared" si="44"/>
        <v>7.9947068302151925E-2</v>
      </c>
      <c r="J385" t="s">
        <v>104</v>
      </c>
      <c r="K385">
        <f>1-(D391/E391)</f>
        <v>0.92139361818260379</v>
      </c>
    </row>
    <row r="386" spans="1:11">
      <c r="A386">
        <v>48</v>
      </c>
      <c r="B386">
        <v>0.62</v>
      </c>
      <c r="C386">
        <f t="shared" si="42"/>
        <v>0.54156025180875</v>
      </c>
      <c r="D386">
        <f t="shared" si="43"/>
        <v>6.1527940963067062E-3</v>
      </c>
      <c r="E386">
        <f t="shared" si="44"/>
        <v>7.8439748191249992E-2</v>
      </c>
    </row>
    <row r="387" spans="1:11">
      <c r="A387">
        <v>60</v>
      </c>
      <c r="B387">
        <v>0.74</v>
      </c>
      <c r="C387">
        <f t="shared" si="42"/>
        <v>0.74000001846350827</v>
      </c>
      <c r="D387">
        <f t="shared" si="43"/>
        <v>3.4090113792560142E-16</v>
      </c>
      <c r="E387">
        <f t="shared" si="44"/>
        <v>1.846350827783283E-8</v>
      </c>
      <c r="J387" t="s">
        <v>105</v>
      </c>
      <c r="K387">
        <v>4</v>
      </c>
    </row>
    <row r="388" spans="1:11">
      <c r="A388">
        <v>85</v>
      </c>
      <c r="B388">
        <v>0.86</v>
      </c>
      <c r="C388">
        <f t="shared" si="42"/>
        <v>0.94674477573056537</v>
      </c>
      <c r="D388">
        <f t="shared" si="43"/>
        <v>7.5246561165460846E-3</v>
      </c>
      <c r="E388">
        <f t="shared" si="44"/>
        <v>8.6744775730565382E-2</v>
      </c>
      <c r="J388" t="s">
        <v>12</v>
      </c>
      <c r="K388">
        <v>100</v>
      </c>
    </row>
    <row r="389" spans="1:11">
      <c r="A389">
        <v>100</v>
      </c>
      <c r="B389">
        <v>0.89</v>
      </c>
      <c r="C389">
        <f t="shared" si="42"/>
        <v>0.98160504578460195</v>
      </c>
      <c r="D389">
        <f t="shared" si="43"/>
        <v>8.3914844131990161E-3</v>
      </c>
      <c r="E389">
        <f t="shared" si="44"/>
        <v>9.1605045784601935E-2</v>
      </c>
      <c r="J389" t="s">
        <v>8</v>
      </c>
      <c r="K389">
        <v>12</v>
      </c>
    </row>
    <row r="390" spans="1:11">
      <c r="A390">
        <v>120</v>
      </c>
      <c r="B390">
        <v>0.9</v>
      </c>
      <c r="C390">
        <f t="shared" si="42"/>
        <v>0.99569080055818826</v>
      </c>
      <c r="D390">
        <f t="shared" si="43"/>
        <v>9.1567293114669587E-3</v>
      </c>
      <c r="E390">
        <f t="shared" si="44"/>
        <v>9.5690800558188238E-2</v>
      </c>
      <c r="J390" t="s">
        <v>106</v>
      </c>
      <c r="K390">
        <v>9</v>
      </c>
    </row>
    <row r="391" spans="1:11">
      <c r="D391">
        <f>SUM(D382:D390)</f>
        <v>4.6070027543048675E-2</v>
      </c>
      <c r="E391" s="6">
        <f>SUM(E382:E390)</f>
        <v>0.58608507958132505</v>
      </c>
      <c r="J391" t="s">
        <v>107</v>
      </c>
      <c r="K391">
        <v>2</v>
      </c>
    </row>
    <row r="399" spans="1:11">
      <c r="A399" t="s">
        <v>118</v>
      </c>
    </row>
    <row r="400" spans="1:11">
      <c r="B400" t="s">
        <v>55</v>
      </c>
    </row>
    <row r="401" spans="1:11">
      <c r="A401" t="s">
        <v>29</v>
      </c>
      <c r="B401" t="s">
        <v>43</v>
      </c>
      <c r="C401" t="s">
        <v>99</v>
      </c>
      <c r="D401" t="s">
        <v>120</v>
      </c>
      <c r="E401" t="s">
        <v>119</v>
      </c>
    </row>
    <row r="402" spans="1:11">
      <c r="A402">
        <v>0</v>
      </c>
      <c r="B402">
        <v>0</v>
      </c>
      <c r="C402">
        <f t="shared" ref="C402:C410" si="45">(1/(1+EXP(($K$402*$K$403*$K$407/$K$409)-($K$402*$K$408*A402))))</f>
        <v>1.2017201919654025E-2</v>
      </c>
      <c r="D402">
        <f t="shared" ref="D402:D410" si="46">(B402-C402)^2</f>
        <v>1.4441314197773637E-4</v>
      </c>
      <c r="E402">
        <v>0</v>
      </c>
      <c r="J402" s="6" t="s">
        <v>102</v>
      </c>
      <c r="K402" s="6">
        <v>1.0457646928030699E-3</v>
      </c>
    </row>
    <row r="403" spans="1:11">
      <c r="A403">
        <v>10</v>
      </c>
      <c r="B403">
        <v>0</v>
      </c>
      <c r="C403">
        <f t="shared" si="45"/>
        <v>3.3453872397853961E-2</v>
      </c>
      <c r="D403">
        <f t="shared" si="46"/>
        <v>1.119161578411895E-3</v>
      </c>
      <c r="E403">
        <v>0</v>
      </c>
      <c r="J403" s="6" t="s">
        <v>103</v>
      </c>
      <c r="K403" s="6">
        <v>12649.0964950419</v>
      </c>
    </row>
    <row r="404" spans="1:11">
      <c r="A404">
        <v>20</v>
      </c>
      <c r="B404">
        <v>0.08</v>
      </c>
      <c r="C404">
        <f t="shared" si="45"/>
        <v>8.9659725170581087E-2</v>
      </c>
      <c r="D404">
        <f t="shared" si="46"/>
        <v>9.3310290371157768E-5</v>
      </c>
      <c r="E404">
        <f t="shared" ref="E404:E410" si="47">((B404-C404)/(B404))^2</f>
        <v>1.4579732870493401E-2</v>
      </c>
      <c r="G404" s="6" t="s">
        <v>121</v>
      </c>
      <c r="H404" s="6">
        <f>(100)*(1/7)^0.5*(F409)^0.5</f>
        <v>2.2073329532332115</v>
      </c>
    </row>
    <row r="405" spans="1:11">
      <c r="A405">
        <v>30</v>
      </c>
      <c r="B405">
        <v>0.32</v>
      </c>
      <c r="C405">
        <f t="shared" si="45"/>
        <v>0.21890958995555992</v>
      </c>
      <c r="D405">
        <f t="shared" si="46"/>
        <v>1.0219271002953032E-2</v>
      </c>
      <c r="E405">
        <f t="shared" si="47"/>
        <v>9.9797568388213187E-2</v>
      </c>
      <c r="J405" t="s">
        <v>104</v>
      </c>
      <c r="K405">
        <f>1-(D411/E411)</f>
        <v>0.65931924428875577</v>
      </c>
    </row>
    <row r="406" spans="1:11">
      <c r="A406">
        <v>48</v>
      </c>
      <c r="B406">
        <v>0.62</v>
      </c>
      <c r="C406">
        <f t="shared" si="45"/>
        <v>0.64801935018446821</v>
      </c>
      <c r="D406">
        <f t="shared" si="46"/>
        <v>7.8508398475985906E-4</v>
      </c>
      <c r="E406">
        <f t="shared" si="47"/>
        <v>2.042362083142193E-3</v>
      </c>
    </row>
    <row r="407" spans="1:11">
      <c r="A407">
        <v>60</v>
      </c>
      <c r="B407">
        <v>0.74</v>
      </c>
      <c r="C407">
        <f t="shared" si="45"/>
        <v>0.8659090973500686</v>
      </c>
      <c r="D407">
        <f t="shared" si="46"/>
        <v>1.5853100795509053E-2</v>
      </c>
      <c r="E407">
        <f t="shared" si="47"/>
        <v>2.8950147544757221E-2</v>
      </c>
      <c r="J407" t="s">
        <v>105</v>
      </c>
      <c r="K407">
        <v>4</v>
      </c>
    </row>
    <row r="408" spans="1:11">
      <c r="A408">
        <v>85</v>
      </c>
      <c r="B408">
        <v>0.86</v>
      </c>
      <c r="C408">
        <f t="shared" si="45"/>
        <v>0.98878997763624243</v>
      </c>
      <c r="D408">
        <f t="shared" si="46"/>
        <v>1.658685833954383E-2</v>
      </c>
      <c r="E408">
        <f t="shared" si="47"/>
        <v>2.2426796024261529E-2</v>
      </c>
      <c r="J408" t="s">
        <v>12</v>
      </c>
      <c r="K408">
        <v>100</v>
      </c>
    </row>
    <row r="409" spans="1:11">
      <c r="A409">
        <v>100</v>
      </c>
      <c r="B409">
        <v>0.89</v>
      </c>
      <c r="C409">
        <f t="shared" si="45"/>
        <v>0.99764374031854419</v>
      </c>
      <c r="D409">
        <f t="shared" si="46"/>
        <v>1.1587174829766173E-2</v>
      </c>
      <c r="E409">
        <f t="shared" si="47"/>
        <v>1.4628424226443849E-2</v>
      </c>
      <c r="F409">
        <f>D411/B411^2</f>
        <v>3.4106231365004752E-3</v>
      </c>
      <c r="J409" t="s">
        <v>8</v>
      </c>
      <c r="K409">
        <v>12</v>
      </c>
    </row>
    <row r="410" spans="1:11">
      <c r="A410">
        <v>120</v>
      </c>
      <c r="B410">
        <v>0.9</v>
      </c>
      <c r="C410">
        <f t="shared" si="45"/>
        <v>0.99970840414770545</v>
      </c>
      <c r="D410">
        <f t="shared" si="46"/>
        <v>9.9417658576821614E-3</v>
      </c>
      <c r="E410">
        <f t="shared" si="47"/>
        <v>1.227378500948415E-2</v>
      </c>
      <c r="J410" t="s">
        <v>106</v>
      </c>
      <c r="K410">
        <v>9</v>
      </c>
    </row>
    <row r="411" spans="1:11">
      <c r="B411">
        <f>SUM(B402:B410)</f>
        <v>4.41</v>
      </c>
      <c r="D411">
        <f>SUM(D402:D410)</f>
        <v>6.6330139820974895E-2</v>
      </c>
      <c r="E411">
        <f>SUM(E402:E410)</f>
        <v>0.19469881614679552</v>
      </c>
      <c r="J411" t="s">
        <v>107</v>
      </c>
      <c r="K411">
        <v>2</v>
      </c>
    </row>
    <row r="417" spans="1:11">
      <c r="A417" t="s">
        <v>133</v>
      </c>
    </row>
    <row r="418" spans="1:11">
      <c r="B418" t="s">
        <v>55</v>
      </c>
    </row>
    <row r="419" spans="1:11">
      <c r="A419" t="s">
        <v>29</v>
      </c>
      <c r="B419" t="s">
        <v>43</v>
      </c>
      <c r="C419" t="s">
        <v>99</v>
      </c>
      <c r="D419" t="s">
        <v>120</v>
      </c>
      <c r="E419" t="s">
        <v>119</v>
      </c>
    </row>
    <row r="420" spans="1:11">
      <c r="A420">
        <v>0</v>
      </c>
      <c r="B420">
        <v>0</v>
      </c>
      <c r="C420">
        <f t="shared" ref="C420:C428" si="48">(1/(1+EXP(($K$420*$K$421*$K$425/$K$427)-($K$420*$K$426*A420))))</f>
        <v>2.2711837719510117E-2</v>
      </c>
      <c r="D420">
        <f t="shared" ref="D420:D428" si="49">(B420-C420)^2</f>
        <v>5.1582757259736249E-4</v>
      </c>
      <c r="E420">
        <v>0</v>
      </c>
      <c r="J420" s="6" t="s">
        <v>102</v>
      </c>
      <c r="K420" s="6">
        <v>8.5752236324859396E-4</v>
      </c>
    </row>
    <row r="421" spans="1:11">
      <c r="A421">
        <v>10</v>
      </c>
      <c r="B421">
        <v>0</v>
      </c>
      <c r="C421">
        <f t="shared" si="48"/>
        <v>5.1937817027347136E-2</v>
      </c>
      <c r="D421">
        <f t="shared" si="49"/>
        <v>2.69753683756619E-3</v>
      </c>
      <c r="E421">
        <v>0</v>
      </c>
      <c r="J421" s="6" t="s">
        <v>103</v>
      </c>
      <c r="K421" s="6">
        <v>13160.806441271299</v>
      </c>
    </row>
    <row r="422" spans="1:11">
      <c r="A422">
        <v>20</v>
      </c>
      <c r="B422">
        <v>0.08</v>
      </c>
      <c r="C422">
        <f t="shared" si="48"/>
        <v>0.11437100229094706</v>
      </c>
      <c r="D422">
        <f t="shared" si="49"/>
        <v>1.1813657984842878E-3</v>
      </c>
      <c r="E422">
        <f t="shared" ref="E422:E428" si="50">(B422-C422)^2/B422</f>
        <v>1.4767072481053597E-2</v>
      </c>
    </row>
    <row r="423" spans="1:11">
      <c r="A423">
        <v>30</v>
      </c>
      <c r="B423">
        <v>0.32</v>
      </c>
      <c r="C423">
        <f t="shared" si="48"/>
        <v>0.23337910983483653</v>
      </c>
      <c r="D423">
        <f t="shared" si="49"/>
        <v>7.5031786130053141E-3</v>
      </c>
      <c r="E423">
        <f t="shared" si="50"/>
        <v>2.3447433165641605E-2</v>
      </c>
      <c r="G423" s="6" t="s">
        <v>134</v>
      </c>
      <c r="H423" s="6">
        <f>(100/7)*E429</f>
        <v>1.1656911494735382</v>
      </c>
    </row>
    <row r="424" spans="1:11">
      <c r="A424">
        <v>48</v>
      </c>
      <c r="B424">
        <v>0.62</v>
      </c>
      <c r="C424">
        <f t="shared" si="48"/>
        <v>0.58763861919821037</v>
      </c>
      <c r="D424">
        <f t="shared" si="49"/>
        <v>1.0472589673984384E-3</v>
      </c>
      <c r="E424">
        <f t="shared" si="50"/>
        <v>1.6891273667716748E-3</v>
      </c>
    </row>
    <row r="425" spans="1:11">
      <c r="A425">
        <v>60</v>
      </c>
      <c r="B425">
        <v>0.74</v>
      </c>
      <c r="C425">
        <f t="shared" si="48"/>
        <v>0.79951067789385633</v>
      </c>
      <c r="D425">
        <f t="shared" si="49"/>
        <v>3.5415207833863209E-3</v>
      </c>
      <c r="E425">
        <f t="shared" si="50"/>
        <v>4.7858388964680011E-3</v>
      </c>
      <c r="J425" t="s">
        <v>105</v>
      </c>
      <c r="K425">
        <v>4</v>
      </c>
    </row>
    <row r="426" spans="1:11">
      <c r="A426">
        <v>85</v>
      </c>
      <c r="B426">
        <v>0.86</v>
      </c>
      <c r="C426">
        <f t="shared" si="48"/>
        <v>0.97144755763103596</v>
      </c>
      <c r="D426">
        <f t="shared" si="49"/>
        <v>1.2420558101923085E-2</v>
      </c>
      <c r="E426">
        <f t="shared" si="50"/>
        <v>1.4442509420840795E-2</v>
      </c>
      <c r="J426" t="s">
        <v>12</v>
      </c>
      <c r="K426">
        <v>100</v>
      </c>
    </row>
    <row r="427" spans="1:11">
      <c r="A427">
        <v>100</v>
      </c>
      <c r="B427">
        <v>0.89</v>
      </c>
      <c r="C427">
        <f t="shared" si="48"/>
        <v>0.99194463009968425</v>
      </c>
      <c r="D427">
        <f t="shared" si="49"/>
        <v>1.0392707606161447E-2</v>
      </c>
      <c r="E427">
        <f t="shared" si="50"/>
        <v>1.1677199557484771E-2</v>
      </c>
      <c r="J427" t="s">
        <v>8</v>
      </c>
      <c r="K427">
        <v>12</v>
      </c>
    </row>
    <row r="428" spans="1:11">
      <c r="A428">
        <v>120</v>
      </c>
      <c r="B428">
        <v>0.9</v>
      </c>
      <c r="C428">
        <f t="shared" si="48"/>
        <v>0.9985407510494948</v>
      </c>
      <c r="D428">
        <f t="shared" si="49"/>
        <v>9.7102796173985061E-3</v>
      </c>
      <c r="E428">
        <f t="shared" si="50"/>
        <v>1.0789199574887229E-2</v>
      </c>
      <c r="J428" t="s">
        <v>106</v>
      </c>
      <c r="K428">
        <v>9</v>
      </c>
    </row>
    <row r="429" spans="1:11">
      <c r="D429">
        <f>SUM(D420:D428)</f>
        <v>4.9010233897920946E-2</v>
      </c>
      <c r="E429">
        <f>SUM(E420:E428)</f>
        <v>8.1598380463147671E-2</v>
      </c>
      <c r="J429" t="s">
        <v>107</v>
      </c>
      <c r="K429">
        <v>2</v>
      </c>
    </row>
    <row r="435" spans="1:11" ht="16.8">
      <c r="A435" s="10" t="s">
        <v>141</v>
      </c>
    </row>
    <row r="436" spans="1:11">
      <c r="B436" t="s">
        <v>64</v>
      </c>
    </row>
    <row r="437" spans="1:11">
      <c r="A437" t="s">
        <v>29</v>
      </c>
      <c r="B437" t="s">
        <v>43</v>
      </c>
      <c r="C437" t="s">
        <v>99</v>
      </c>
      <c r="D437" t="s">
        <v>120</v>
      </c>
      <c r="E437" t="s">
        <v>119</v>
      </c>
    </row>
    <row r="438" spans="1:11">
      <c r="A438">
        <v>0</v>
      </c>
      <c r="B438">
        <v>0</v>
      </c>
      <c r="C438">
        <f t="shared" ref="C438:C449" si="51">(1/(1+EXP(($K$438*$K$439*$K$443/$K$445)-($K$438*$K$444*A438))))</f>
        <v>1.3377809736799518E-4</v>
      </c>
      <c r="D438">
        <f t="shared" ref="D438:D449" si="52">(B438-C438)^2</f>
        <v>1.78965793354008E-8</v>
      </c>
      <c r="E438">
        <v>0</v>
      </c>
      <c r="J438" s="6" t="s">
        <v>102</v>
      </c>
      <c r="K438" s="6">
        <v>1.0933472036508301E-3</v>
      </c>
    </row>
    <row r="439" spans="1:11">
      <c r="A439">
        <v>10</v>
      </c>
      <c r="B439">
        <v>0</v>
      </c>
      <c r="C439">
        <f t="shared" si="51"/>
        <v>2.310787868244676E-4</v>
      </c>
      <c r="D439">
        <f t="shared" si="52"/>
        <v>5.3397405720267742E-8</v>
      </c>
      <c r="E439">
        <v>0</v>
      </c>
      <c r="J439" s="6" t="s">
        <v>103</v>
      </c>
      <c r="K439" s="6">
        <v>16315.392409003</v>
      </c>
    </row>
    <row r="440" spans="1:11">
      <c r="A440">
        <v>20</v>
      </c>
      <c r="B440">
        <v>0</v>
      </c>
      <c r="C440">
        <f t="shared" si="51"/>
        <v>3.9912083980040873E-4</v>
      </c>
      <c r="D440">
        <f t="shared" si="52"/>
        <v>1.5929744476298353E-7</v>
      </c>
      <c r="E440">
        <v>0</v>
      </c>
    </row>
    <row r="441" spans="1:11">
      <c r="A441">
        <v>35</v>
      </c>
      <c r="B441">
        <v>0</v>
      </c>
      <c r="C441">
        <f t="shared" si="51"/>
        <v>9.0575392804911968E-4</v>
      </c>
      <c r="D441">
        <f t="shared" si="52"/>
        <v>8.2039017817640982E-7</v>
      </c>
      <c r="E441">
        <v>0</v>
      </c>
      <c r="G441" s="6" t="s">
        <v>121</v>
      </c>
      <c r="H441" s="6">
        <f>((100)*(0.1)^0.5*(F447)^0.5)</f>
        <v>1.7744145491238552</v>
      </c>
    </row>
    <row r="442" spans="1:11">
      <c r="A442">
        <v>55</v>
      </c>
      <c r="B442">
        <v>0</v>
      </c>
      <c r="C442">
        <f t="shared" si="51"/>
        <v>2.6981435582028382E-3</v>
      </c>
      <c r="D442">
        <f t="shared" si="52"/>
        <v>7.2799786606714725E-6</v>
      </c>
      <c r="E442">
        <v>0</v>
      </c>
    </row>
    <row r="443" spans="1:11">
      <c r="A443">
        <v>80</v>
      </c>
      <c r="B443">
        <v>0</v>
      </c>
      <c r="C443">
        <f t="shared" si="51"/>
        <v>1.0500197293396697E-2</v>
      </c>
      <c r="D443">
        <f t="shared" si="52"/>
        <v>1.1025414320025532E-4</v>
      </c>
      <c r="E443">
        <v>0</v>
      </c>
      <c r="J443" t="s">
        <v>105</v>
      </c>
      <c r="K443">
        <v>4</v>
      </c>
    </row>
    <row r="444" spans="1:11">
      <c r="A444">
        <v>100</v>
      </c>
      <c r="B444">
        <v>0.03</v>
      </c>
      <c r="C444">
        <f t="shared" si="51"/>
        <v>3.0695631652556274E-2</v>
      </c>
      <c r="D444">
        <f t="shared" si="52"/>
        <v>4.8390339603817416E-7</v>
      </c>
      <c r="E444">
        <f t="shared" ref="E444:E449" si="53">((B444-C444)/B444)^2</f>
        <v>5.3767044004241567E-4</v>
      </c>
      <c r="J444" t="s">
        <v>12</v>
      </c>
      <c r="K444">
        <v>50</v>
      </c>
    </row>
    <row r="445" spans="1:11">
      <c r="A445">
        <v>160</v>
      </c>
      <c r="B445">
        <v>0.53</v>
      </c>
      <c r="C445">
        <f t="shared" si="51"/>
        <v>0.45700228914962909</v>
      </c>
      <c r="D445">
        <f t="shared" si="52"/>
        <v>5.3286657893943622E-3</v>
      </c>
      <c r="E445">
        <f t="shared" si="53"/>
        <v>1.8969974330346608E-2</v>
      </c>
      <c r="J445" t="s">
        <v>8</v>
      </c>
      <c r="K445">
        <v>8</v>
      </c>
    </row>
    <row r="446" spans="1:11">
      <c r="A446">
        <v>180</v>
      </c>
      <c r="B446">
        <v>0.66</v>
      </c>
      <c r="C446">
        <f t="shared" si="51"/>
        <v>0.71523166343061306</v>
      </c>
      <c r="D446">
        <f t="shared" si="52"/>
        <v>3.0505366453125169E-3</v>
      </c>
      <c r="E446">
        <f t="shared" si="53"/>
        <v>7.0030685154098176E-3</v>
      </c>
      <c r="J446" t="s">
        <v>106</v>
      </c>
      <c r="K446">
        <v>12</v>
      </c>
    </row>
    <row r="447" spans="1:11">
      <c r="A447">
        <v>210</v>
      </c>
      <c r="B447">
        <v>0.8</v>
      </c>
      <c r="C447">
        <f t="shared" si="51"/>
        <v>0.92830579682323533</v>
      </c>
      <c r="D447">
        <f t="shared" si="52"/>
        <v>1.6462377498445334E-2</v>
      </c>
      <c r="E447">
        <f t="shared" si="53"/>
        <v>2.5722464841320833E-2</v>
      </c>
      <c r="F447">
        <f>D450/B450^2</f>
        <v>3.1485469921424146E-3</v>
      </c>
      <c r="J447" t="s">
        <v>107</v>
      </c>
      <c r="K447">
        <v>2</v>
      </c>
    </row>
    <row r="448" spans="1:11">
      <c r="A448">
        <v>240</v>
      </c>
      <c r="B448">
        <v>0.88</v>
      </c>
      <c r="C448">
        <f t="shared" si="51"/>
        <v>0.98524011143954449</v>
      </c>
      <c r="D448">
        <f t="shared" si="52"/>
        <v>1.1075481055807742E-2</v>
      </c>
      <c r="E448">
        <f t="shared" si="53"/>
        <v>1.4302015826198014E-2</v>
      </c>
    </row>
    <row r="449" spans="1:11">
      <c r="A449">
        <v>270</v>
      </c>
      <c r="B449">
        <v>0.9</v>
      </c>
      <c r="C449">
        <f t="shared" si="51"/>
        <v>0.99710246428753269</v>
      </c>
      <c r="D449">
        <f t="shared" si="52"/>
        <v>9.428888570711556E-3</v>
      </c>
      <c r="E449">
        <f t="shared" si="53"/>
        <v>1.1640603173717972E-2</v>
      </c>
    </row>
    <row r="450" spans="1:11">
      <c r="B450">
        <f>SUM(B438:B449)</f>
        <v>3.8000000000000003</v>
      </c>
      <c r="D450" s="6">
        <f>SUM(D438:D449)</f>
        <v>4.5465018566536473E-2</v>
      </c>
      <c r="E450">
        <f>SUM(E438:E449)</f>
        <v>7.8175797127035665E-2</v>
      </c>
    </row>
    <row r="459" spans="1:11" ht="15.6">
      <c r="A459" s="20" t="s">
        <v>142</v>
      </c>
    </row>
    <row r="461" spans="1:11">
      <c r="B461" t="s">
        <v>64</v>
      </c>
    </row>
    <row r="462" spans="1:11">
      <c r="A462" t="s">
        <v>29</v>
      </c>
      <c r="B462" t="s">
        <v>43</v>
      </c>
      <c r="C462" t="s">
        <v>99</v>
      </c>
      <c r="D462" t="s">
        <v>120</v>
      </c>
    </row>
    <row r="463" spans="1:11">
      <c r="A463">
        <v>0</v>
      </c>
      <c r="B463">
        <v>0</v>
      </c>
      <c r="C463">
        <f t="shared" ref="C463:C474" si="54">(1/(1+EXP(($K$463*$K$464*$K$468/$K$470)-($K$463*$K$469*A463))))</f>
        <v>3.2215883713492756E-3</v>
      </c>
      <c r="D463">
        <f t="shared" ref="D463:D474" si="55">(B463-C463)^2</f>
        <v>1.0378631634412879E-5</v>
      </c>
      <c r="J463" s="6" t="s">
        <v>102</v>
      </c>
      <c r="K463" s="6">
        <v>7.0185452856105703E-4</v>
      </c>
    </row>
    <row r="464" spans="1:11">
      <c r="A464">
        <v>10</v>
      </c>
      <c r="B464">
        <v>0</v>
      </c>
      <c r="C464">
        <f t="shared" si="54"/>
        <v>4.569703838593845E-3</v>
      </c>
      <c r="D464">
        <f t="shared" si="55"/>
        <v>2.0882193172459322E-5</v>
      </c>
      <c r="J464" s="6" t="s">
        <v>103</v>
      </c>
      <c r="K464" s="6">
        <v>16341.431837506199</v>
      </c>
    </row>
    <row r="465" spans="1:11">
      <c r="A465">
        <v>20</v>
      </c>
      <c r="B465">
        <v>0</v>
      </c>
      <c r="C465">
        <f t="shared" si="54"/>
        <v>6.4782892697294973E-3</v>
      </c>
      <c r="D465">
        <f t="shared" si="55"/>
        <v>4.1968231862292341E-5</v>
      </c>
    </row>
    <row r="466" spans="1:11">
      <c r="A466">
        <v>35</v>
      </c>
      <c r="B466">
        <v>0</v>
      </c>
      <c r="C466">
        <f t="shared" si="54"/>
        <v>1.0917523704241346E-2</v>
      </c>
      <c r="D466">
        <f t="shared" si="55"/>
        <v>1.1919232383267168E-4</v>
      </c>
      <c r="F466" s="6" t="s">
        <v>100</v>
      </c>
      <c r="G466" s="6">
        <f>(D475)</f>
        <v>2.2160782806903971E-2</v>
      </c>
    </row>
    <row r="467" spans="1:11">
      <c r="A467">
        <v>55</v>
      </c>
      <c r="B467">
        <v>0</v>
      </c>
      <c r="C467">
        <f t="shared" si="54"/>
        <v>2.1784015631631546E-2</v>
      </c>
      <c r="D467">
        <f t="shared" si="55"/>
        <v>4.7454333703916753E-4</v>
      </c>
    </row>
    <row r="468" spans="1:11">
      <c r="A468">
        <v>80</v>
      </c>
      <c r="B468">
        <v>0</v>
      </c>
      <c r="C468">
        <f t="shared" si="54"/>
        <v>5.0823503164667862E-2</v>
      </c>
      <c r="D468">
        <f t="shared" si="55"/>
        <v>2.5830284739290043E-3</v>
      </c>
      <c r="J468" t="s">
        <v>105</v>
      </c>
      <c r="K468">
        <v>4</v>
      </c>
    </row>
    <row r="469" spans="1:11">
      <c r="A469">
        <v>100</v>
      </c>
      <c r="B469">
        <v>0.03</v>
      </c>
      <c r="C469">
        <f t="shared" si="54"/>
        <v>9.749427931046567E-2</v>
      </c>
      <c r="D469">
        <f t="shared" si="55"/>
        <v>4.5554777396391542E-3</v>
      </c>
      <c r="J469" t="s">
        <v>12</v>
      </c>
      <c r="K469">
        <v>50</v>
      </c>
    </row>
    <row r="470" spans="1:11">
      <c r="A470">
        <v>160</v>
      </c>
      <c r="B470">
        <v>0.53</v>
      </c>
      <c r="C470">
        <f t="shared" si="54"/>
        <v>0.47008134967415466</v>
      </c>
      <c r="D470">
        <f t="shared" si="55"/>
        <v>3.5902446568709294E-3</v>
      </c>
      <c r="J470" t="s">
        <v>8</v>
      </c>
      <c r="K470">
        <v>8</v>
      </c>
    </row>
    <row r="471" spans="1:11">
      <c r="A471">
        <v>180</v>
      </c>
      <c r="B471">
        <v>0.66</v>
      </c>
      <c r="C471">
        <f t="shared" si="54"/>
        <v>0.64153593641871842</v>
      </c>
      <c r="D471">
        <f t="shared" si="55"/>
        <v>3.4092164393360983E-4</v>
      </c>
      <c r="J471" t="s">
        <v>106</v>
      </c>
      <c r="K471">
        <v>12</v>
      </c>
    </row>
    <row r="472" spans="1:11">
      <c r="A472">
        <v>210</v>
      </c>
      <c r="B472">
        <v>0.8</v>
      </c>
      <c r="C472">
        <f t="shared" si="54"/>
        <v>0.83682866721584614</v>
      </c>
      <c r="D472">
        <f t="shared" si="55"/>
        <v>1.3563507288955373E-3</v>
      </c>
      <c r="J472" t="s">
        <v>107</v>
      </c>
      <c r="K472">
        <v>2</v>
      </c>
    </row>
    <row r="473" spans="1:11">
      <c r="A473">
        <v>240</v>
      </c>
      <c r="B473">
        <v>0.88</v>
      </c>
      <c r="C473">
        <f t="shared" si="54"/>
        <v>0.93629099331066112</v>
      </c>
      <c r="D473">
        <f t="shared" si="55"/>
        <v>3.1686759279008947E-3</v>
      </c>
    </row>
    <row r="474" spans="1:11">
      <c r="A474">
        <v>270</v>
      </c>
      <c r="B474">
        <v>0.9</v>
      </c>
      <c r="C474">
        <f t="shared" si="54"/>
        <v>0.97680572191050508</v>
      </c>
      <c r="D474">
        <f t="shared" si="55"/>
        <v>5.8991189181938361E-3</v>
      </c>
    </row>
    <row r="475" spans="1:11">
      <c r="D475">
        <f>SUM(D463:D474)</f>
        <v>2.2160782806903971E-2</v>
      </c>
    </row>
    <row r="490" spans="1:11" ht="15.6">
      <c r="A490" t="s">
        <v>143</v>
      </c>
    </row>
    <row r="491" spans="1:11">
      <c r="B491" t="s">
        <v>64</v>
      </c>
    </row>
    <row r="492" spans="1:11">
      <c r="A492" t="s">
        <v>29</v>
      </c>
      <c r="B492" t="s">
        <v>43</v>
      </c>
      <c r="C492" t="s">
        <v>99</v>
      </c>
      <c r="D492" t="s">
        <v>120</v>
      </c>
      <c r="E492" t="s">
        <v>137</v>
      </c>
    </row>
    <row r="493" spans="1:11">
      <c r="A493">
        <v>0</v>
      </c>
      <c r="B493">
        <v>0</v>
      </c>
      <c r="C493">
        <f t="shared" ref="C493:C504" si="56">(1/(1+EXP(($K$493*$K$494*$K$498/$K$500)-($K$493*$K$499*A493))))</f>
        <v>6.8074925340376631E-4</v>
      </c>
      <c r="D493">
        <f t="shared" ref="D493:D504" si="57">(B493-C493)^2</f>
        <v>4.6341954600978524E-7</v>
      </c>
      <c r="E493">
        <f t="shared" ref="E493:E504" si="58">ABS(B493-C493)</f>
        <v>6.8074925340376631E-4</v>
      </c>
      <c r="J493" s="6" t="s">
        <v>102</v>
      </c>
      <c r="K493" s="6">
        <v>8.8388109897684602E-4</v>
      </c>
    </row>
    <row r="494" spans="1:11">
      <c r="A494">
        <v>10</v>
      </c>
      <c r="B494">
        <v>0</v>
      </c>
      <c r="C494">
        <f t="shared" si="56"/>
        <v>1.0586569417678987E-3</v>
      </c>
      <c r="D494">
        <f t="shared" si="57"/>
        <v>1.1207545203533602E-6</v>
      </c>
      <c r="E494">
        <f t="shared" si="58"/>
        <v>1.0586569417678987E-3</v>
      </c>
      <c r="J494" s="6" t="s">
        <v>103</v>
      </c>
      <c r="K494" s="6">
        <v>16499.132180808501</v>
      </c>
    </row>
    <row r="495" spans="1:11">
      <c r="A495">
        <v>20</v>
      </c>
      <c r="B495">
        <v>0</v>
      </c>
      <c r="C495">
        <f t="shared" si="56"/>
        <v>1.6460088368014623E-3</v>
      </c>
      <c r="D495">
        <f t="shared" si="57"/>
        <v>2.7093450908285032E-6</v>
      </c>
      <c r="E495">
        <f t="shared" si="58"/>
        <v>1.6460088368014623E-3</v>
      </c>
    </row>
    <row r="496" spans="1:11">
      <c r="A496">
        <v>35</v>
      </c>
      <c r="B496">
        <v>0</v>
      </c>
      <c r="C496">
        <f t="shared" si="56"/>
        <v>3.1890323492063718E-3</v>
      </c>
      <c r="D496">
        <f t="shared" si="57"/>
        <v>1.016992732428471E-5</v>
      </c>
      <c r="E496">
        <f t="shared" si="58"/>
        <v>3.1890323492063718E-3</v>
      </c>
      <c r="G496" s="6" t="s">
        <v>132</v>
      </c>
      <c r="H496" s="6">
        <f>(E505)</f>
        <v>0.40059544827195553</v>
      </c>
    </row>
    <row r="497" spans="1:11">
      <c r="A497">
        <v>55</v>
      </c>
      <c r="B497">
        <v>0</v>
      </c>
      <c r="C497">
        <f t="shared" si="56"/>
        <v>7.6835336729250813E-3</v>
      </c>
      <c r="D497">
        <f t="shared" si="57"/>
        <v>5.9036689702973588E-5</v>
      </c>
      <c r="E497">
        <f t="shared" si="58"/>
        <v>7.6835336729250813E-3</v>
      </c>
    </row>
    <row r="498" spans="1:11">
      <c r="A498">
        <v>80</v>
      </c>
      <c r="B498">
        <v>0</v>
      </c>
      <c r="C498">
        <f t="shared" si="56"/>
        <v>2.2840577478810738E-2</v>
      </c>
      <c r="D498">
        <f t="shared" si="57"/>
        <v>5.2169197956555629E-4</v>
      </c>
      <c r="E498">
        <f t="shared" si="58"/>
        <v>2.2840577478810738E-2</v>
      </c>
      <c r="J498" t="s">
        <v>105</v>
      </c>
      <c r="K498">
        <v>4</v>
      </c>
    </row>
    <row r="499" spans="1:11">
      <c r="A499">
        <v>100</v>
      </c>
      <c r="B499">
        <v>0.03</v>
      </c>
      <c r="C499">
        <f t="shared" si="56"/>
        <v>5.3543528174823871E-2</v>
      </c>
      <c r="D499">
        <f t="shared" si="57"/>
        <v>5.5429771891872548E-4</v>
      </c>
      <c r="E499">
        <f t="shared" si="58"/>
        <v>2.3543528174823872E-2</v>
      </c>
      <c r="J499" t="s">
        <v>12</v>
      </c>
      <c r="K499">
        <v>50</v>
      </c>
    </row>
    <row r="500" spans="1:11">
      <c r="A500">
        <v>160</v>
      </c>
      <c r="B500">
        <v>0.53</v>
      </c>
      <c r="C500">
        <f t="shared" si="56"/>
        <v>0.44507584269091743</v>
      </c>
      <c r="D500">
        <f t="shared" si="57"/>
        <v>7.2121124946578066E-3</v>
      </c>
      <c r="E500">
        <f t="shared" si="58"/>
        <v>8.4924157309082593E-2</v>
      </c>
      <c r="J500" t="s">
        <v>8</v>
      </c>
      <c r="K500">
        <v>8</v>
      </c>
    </row>
    <row r="501" spans="1:11">
      <c r="A501">
        <v>180</v>
      </c>
      <c r="B501">
        <v>0.66</v>
      </c>
      <c r="C501">
        <f t="shared" si="56"/>
        <v>0.6600000294665731</v>
      </c>
      <c r="D501">
        <f t="shared" si="57"/>
        <v>8.6827892851663875E-16</v>
      </c>
      <c r="E501">
        <f t="shared" si="58"/>
        <v>2.9466573070457969E-8</v>
      </c>
      <c r="J501" t="s">
        <v>106</v>
      </c>
      <c r="K501">
        <v>12</v>
      </c>
    </row>
    <row r="502" spans="1:11">
      <c r="A502">
        <v>210</v>
      </c>
      <c r="B502">
        <v>0.8</v>
      </c>
      <c r="C502">
        <f t="shared" si="56"/>
        <v>0.87964958292299567</v>
      </c>
      <c r="D502">
        <f t="shared" si="57"/>
        <v>6.3440560598071556E-3</v>
      </c>
      <c r="E502">
        <f t="shared" si="58"/>
        <v>7.9649582922995621E-2</v>
      </c>
      <c r="J502" t="s">
        <v>107</v>
      </c>
      <c r="K502">
        <v>2</v>
      </c>
    </row>
    <row r="503" spans="1:11">
      <c r="A503">
        <v>240</v>
      </c>
      <c r="B503">
        <v>0.88</v>
      </c>
      <c r="C503">
        <f t="shared" si="56"/>
        <v>0.96493771979736742</v>
      </c>
      <c r="D503">
        <f t="shared" si="57"/>
        <v>7.2144162443761005E-3</v>
      </c>
      <c r="E503">
        <f t="shared" si="58"/>
        <v>8.4937719797367417E-2</v>
      </c>
    </row>
    <row r="504" spans="1:11">
      <c r="A504">
        <v>270</v>
      </c>
      <c r="B504">
        <v>0.9</v>
      </c>
      <c r="C504">
        <f t="shared" si="56"/>
        <v>0.99044187206819767</v>
      </c>
      <c r="D504">
        <f t="shared" si="57"/>
        <v>8.1797322232002295E-3</v>
      </c>
      <c r="E504">
        <f t="shared" si="58"/>
        <v>9.0441872068197648E-2</v>
      </c>
    </row>
    <row r="505" spans="1:11">
      <c r="D505">
        <f>SUM(D493:D504)</f>
        <v>3.009980685671089E-2</v>
      </c>
      <c r="E505">
        <f>SUM(E493:E504)</f>
        <v>0.40059544827195553</v>
      </c>
    </row>
    <row r="516" spans="1:11" ht="16.8">
      <c r="A516" s="2" t="s">
        <v>125</v>
      </c>
    </row>
    <row r="517" spans="1:11">
      <c r="B517" t="s">
        <v>64</v>
      </c>
    </row>
    <row r="518" spans="1:11">
      <c r="A518" t="s">
        <v>29</v>
      </c>
      <c r="B518" t="s">
        <v>43</v>
      </c>
      <c r="C518" t="s">
        <v>99</v>
      </c>
      <c r="D518" t="s">
        <v>120</v>
      </c>
      <c r="E518" t="s">
        <v>119</v>
      </c>
    </row>
    <row r="519" spans="1:11">
      <c r="A519">
        <v>0</v>
      </c>
      <c r="B519">
        <v>0</v>
      </c>
      <c r="C519">
        <f t="shared" ref="C519:C530" si="59">(1/(1+EXP(($K$519*$K$520*$K$524/$K$526)-($K$519*$K$525*A519))))</f>
        <v>3.4191895078644055E-4</v>
      </c>
      <c r="D519">
        <f t="shared" ref="D519:D530" si="60">(B519-C519)^2</f>
        <v>1.1690856890690035E-7</v>
      </c>
      <c r="E519">
        <v>0</v>
      </c>
      <c r="J519" s="6" t="s">
        <v>102</v>
      </c>
      <c r="K519" s="6">
        <v>9.7158547771372704E-4</v>
      </c>
    </row>
    <row r="520" spans="1:11">
      <c r="A520">
        <v>10</v>
      </c>
      <c r="B520">
        <v>0</v>
      </c>
      <c r="C520">
        <f t="shared" si="59"/>
        <v>5.5565779437206269E-4</v>
      </c>
      <c r="D520">
        <f t="shared" si="60"/>
        <v>3.0875558444642547E-7</v>
      </c>
      <c r="E520">
        <v>0</v>
      </c>
      <c r="J520" s="6" t="s">
        <v>103</v>
      </c>
      <c r="K520" s="6">
        <v>16427.983004342299</v>
      </c>
    </row>
    <row r="521" spans="1:11">
      <c r="A521">
        <v>20</v>
      </c>
      <c r="B521">
        <v>0</v>
      </c>
      <c r="C521">
        <f t="shared" si="59"/>
        <v>9.0288742947424328E-4</v>
      </c>
      <c r="D521">
        <f t="shared" si="60"/>
        <v>8.1520571030260666E-7</v>
      </c>
      <c r="E521">
        <v>0</v>
      </c>
    </row>
    <row r="522" spans="1:11">
      <c r="A522">
        <v>35</v>
      </c>
      <c r="B522">
        <v>0</v>
      </c>
      <c r="C522">
        <f t="shared" si="59"/>
        <v>1.8692998672478723E-3</v>
      </c>
      <c r="D522">
        <f t="shared" si="60"/>
        <v>3.4942819936929131E-6</v>
      </c>
      <c r="E522">
        <v>0</v>
      </c>
      <c r="G522" s="6" t="s">
        <v>134</v>
      </c>
      <c r="H522" s="6">
        <f>(10)*(E531)</f>
        <v>0.51532127980081932</v>
      </c>
    </row>
    <row r="523" spans="1:11">
      <c r="A523">
        <v>55</v>
      </c>
      <c r="B523">
        <v>0</v>
      </c>
      <c r="C523">
        <f t="shared" si="59"/>
        <v>4.9238192708106737E-3</v>
      </c>
      <c r="D523">
        <f t="shared" si="60"/>
        <v>2.4243996211606553E-5</v>
      </c>
      <c r="E523">
        <v>0</v>
      </c>
    </row>
    <row r="524" spans="1:11">
      <c r="A524">
        <v>80</v>
      </c>
      <c r="B524">
        <v>0</v>
      </c>
      <c r="C524">
        <f t="shared" si="59"/>
        <v>1.639491996070052E-2</v>
      </c>
      <c r="D524">
        <f t="shared" si="60"/>
        <v>2.6879340051777636E-4</v>
      </c>
      <c r="E524">
        <v>0</v>
      </c>
      <c r="J524" t="s">
        <v>105</v>
      </c>
      <c r="K524">
        <v>4</v>
      </c>
    </row>
    <row r="525" spans="1:11">
      <c r="A525">
        <v>100</v>
      </c>
      <c r="B525">
        <v>0.03</v>
      </c>
      <c r="C525">
        <f t="shared" si="59"/>
        <v>4.2181867561475114E-2</v>
      </c>
      <c r="D525">
        <f t="shared" si="60"/>
        <v>1.4839789728531968E-4</v>
      </c>
      <c r="E525">
        <f t="shared" ref="E525:E530" si="61">(B525-C525)^2/B525</f>
        <v>4.946596576177323E-3</v>
      </c>
      <c r="J525" t="s">
        <v>12</v>
      </c>
      <c r="K525">
        <v>50</v>
      </c>
    </row>
    <row r="526" spans="1:11">
      <c r="A526">
        <v>160</v>
      </c>
      <c r="B526">
        <v>0.53</v>
      </c>
      <c r="C526">
        <f t="shared" si="59"/>
        <v>0.44820867206732118</v>
      </c>
      <c r="D526">
        <f t="shared" si="60"/>
        <v>6.689821324991011E-3</v>
      </c>
      <c r="E526">
        <f t="shared" si="61"/>
        <v>1.2622304386775491E-2</v>
      </c>
      <c r="J526" t="s">
        <v>8</v>
      </c>
      <c r="K526">
        <v>8</v>
      </c>
    </row>
    <row r="527" spans="1:11">
      <c r="A527">
        <v>180</v>
      </c>
      <c r="B527">
        <v>0.66</v>
      </c>
      <c r="C527">
        <f t="shared" si="59"/>
        <v>0.6821509627346245</v>
      </c>
      <c r="D527">
        <f t="shared" si="60"/>
        <v>4.9066515007072195E-4</v>
      </c>
      <c r="E527">
        <f t="shared" si="61"/>
        <v>7.4343204556169985E-4</v>
      </c>
      <c r="J527" t="s">
        <v>106</v>
      </c>
      <c r="K527">
        <v>12</v>
      </c>
    </row>
    <row r="528" spans="1:11">
      <c r="A528">
        <v>210</v>
      </c>
      <c r="B528">
        <v>0.8</v>
      </c>
      <c r="C528">
        <f t="shared" si="59"/>
        <v>0.90212418073309475</v>
      </c>
      <c r="D528">
        <f t="shared" si="60"/>
        <v>1.0429348290405791E-2</v>
      </c>
      <c r="E528">
        <f t="shared" si="61"/>
        <v>1.3036685363007238E-2</v>
      </c>
      <c r="J528" t="s">
        <v>107</v>
      </c>
      <c r="K528">
        <v>2</v>
      </c>
    </row>
    <row r="529" spans="1:11">
      <c r="A529">
        <v>240</v>
      </c>
      <c r="B529">
        <v>0.88</v>
      </c>
      <c r="C529">
        <f t="shared" si="59"/>
        <v>0.9753598889688182</v>
      </c>
      <c r="D529">
        <f t="shared" si="60"/>
        <v>9.0935084241453336E-3</v>
      </c>
      <c r="E529">
        <f t="shared" si="61"/>
        <v>1.0333532300165153E-2</v>
      </c>
    </row>
    <row r="530" spans="1:11">
      <c r="A530">
        <v>270</v>
      </c>
      <c r="B530">
        <v>0.9</v>
      </c>
      <c r="C530">
        <f t="shared" si="59"/>
        <v>0.994152108726016</v>
      </c>
      <c r="D530">
        <f t="shared" si="60"/>
        <v>8.8646195775555353E-3</v>
      </c>
      <c r="E530">
        <f t="shared" si="61"/>
        <v>9.8495773083950387E-3</v>
      </c>
    </row>
    <row r="531" spans="1:11">
      <c r="D531" s="6">
        <f>SUM(D519:D530)</f>
        <v>3.6014133213040443E-2</v>
      </c>
      <c r="E531">
        <f>SUM(E525:E530)</f>
        <v>5.1532127980081936E-2</v>
      </c>
    </row>
    <row r="535" spans="1:11" ht="16.8">
      <c r="A535" s="1" t="s">
        <v>109</v>
      </c>
    </row>
    <row r="536" spans="1:11">
      <c r="B536" t="s">
        <v>66</v>
      </c>
    </row>
    <row r="537" spans="1:11">
      <c r="A537" t="s">
        <v>29</v>
      </c>
      <c r="B537" t="s">
        <v>43</v>
      </c>
      <c r="C537" t="s">
        <v>99</v>
      </c>
      <c r="D537" t="s">
        <v>120</v>
      </c>
    </row>
    <row r="538" spans="1:11">
      <c r="A538">
        <v>0</v>
      </c>
      <c r="B538">
        <v>0</v>
      </c>
      <c r="C538">
        <f t="shared" ref="C538:C548" si="62">(1/(1+EXP(($K$538*$K$539*$K$543/$K$544)-($K$538*$K$545*A538))))</f>
        <v>2.2737829566603526E-2</v>
      </c>
      <c r="D538">
        <f t="shared" ref="D538:D547" si="63">(B538-C538)^2</f>
        <v>5.1700889339990951E-4</v>
      </c>
      <c r="J538" s="6" t="s">
        <v>102</v>
      </c>
      <c r="K538" s="6">
        <v>5.9432367484852603E-4</v>
      </c>
    </row>
    <row r="539" spans="1:11">
      <c r="A539">
        <v>10</v>
      </c>
      <c r="B539">
        <v>0</v>
      </c>
      <c r="C539">
        <f t="shared" si="62"/>
        <v>5.3695286172782075E-2</v>
      </c>
      <c r="D539">
        <f t="shared" si="63"/>
        <v>2.8831837571769619E-3</v>
      </c>
      <c r="J539" s="6" t="s">
        <v>103</v>
      </c>
      <c r="K539" s="6">
        <v>12655.477408545399</v>
      </c>
    </row>
    <row r="540" spans="1:11">
      <c r="A540">
        <v>15</v>
      </c>
      <c r="B540">
        <v>0.01</v>
      </c>
      <c r="C540">
        <f t="shared" si="62"/>
        <v>8.1398418325300773E-2</v>
      </c>
      <c r="D540">
        <f t="shared" si="63"/>
        <v>5.0977341393546455E-3</v>
      </c>
      <c r="F540" s="6" t="s">
        <v>100</v>
      </c>
      <c r="G540" s="6">
        <f>(D548)</f>
        <v>2.3925555501145435E-2</v>
      </c>
    </row>
    <row r="541" spans="1:11">
      <c r="A541">
        <v>25</v>
      </c>
      <c r="B541">
        <v>0.2</v>
      </c>
      <c r="C541">
        <f t="shared" si="62"/>
        <v>0.17769962260825814</v>
      </c>
      <c r="D541">
        <f t="shared" si="63"/>
        <v>4.9730683181411193E-4</v>
      </c>
    </row>
    <row r="542" spans="1:11">
      <c r="A542">
        <v>40</v>
      </c>
      <c r="B542">
        <v>0.48</v>
      </c>
      <c r="C542">
        <f t="shared" si="62"/>
        <v>0.45145766143803401</v>
      </c>
      <c r="D542">
        <f t="shared" si="63"/>
        <v>8.1466509058588992E-4</v>
      </c>
    </row>
    <row r="543" spans="1:11">
      <c r="A543">
        <v>50</v>
      </c>
      <c r="B543">
        <v>0.69</v>
      </c>
      <c r="C543">
        <f t="shared" si="62"/>
        <v>0.66745630027172753</v>
      </c>
      <c r="D543">
        <f t="shared" si="63"/>
        <v>5.0821839743850979E-4</v>
      </c>
      <c r="J543" t="s">
        <v>105</v>
      </c>
      <c r="K543">
        <v>4</v>
      </c>
    </row>
    <row r="544" spans="1:11">
      <c r="A544">
        <v>60</v>
      </c>
      <c r="B544">
        <v>0.83</v>
      </c>
      <c r="C544">
        <f t="shared" si="62"/>
        <v>0.83036103622878943</v>
      </c>
      <c r="D544">
        <f t="shared" si="63"/>
        <v>1.3034715849852152E-7</v>
      </c>
      <c r="J544" t="s">
        <v>8</v>
      </c>
      <c r="K544">
        <v>8</v>
      </c>
    </row>
    <row r="545" spans="1:11">
      <c r="A545">
        <v>70</v>
      </c>
      <c r="B545">
        <v>0.88</v>
      </c>
      <c r="C545">
        <f t="shared" si="62"/>
        <v>0.92270452662351676</v>
      </c>
      <c r="D545">
        <f t="shared" si="63"/>
        <v>1.8236765941386517E-3</v>
      </c>
      <c r="J545" t="s">
        <v>12</v>
      </c>
      <c r="K545">
        <v>150</v>
      </c>
    </row>
    <row r="546" spans="1:11">
      <c r="A546">
        <v>75</v>
      </c>
      <c r="B546">
        <v>0.89</v>
      </c>
      <c r="C546">
        <f t="shared" si="62"/>
        <v>0.94908865475561166</v>
      </c>
      <c r="D546">
        <f t="shared" si="63"/>
        <v>3.4914691208278669E-3</v>
      </c>
      <c r="J546" t="s">
        <v>106</v>
      </c>
      <c r="K546">
        <v>10</v>
      </c>
    </row>
    <row r="547" spans="1:11">
      <c r="A547">
        <v>95</v>
      </c>
      <c r="B547">
        <v>0.9</v>
      </c>
      <c r="C547">
        <f t="shared" si="62"/>
        <v>0.99106131082545645</v>
      </c>
      <c r="D547">
        <f t="shared" si="63"/>
        <v>8.2921623292503896E-3</v>
      </c>
      <c r="J547" t="s">
        <v>107</v>
      </c>
      <c r="K547">
        <v>2</v>
      </c>
    </row>
    <row r="548" spans="1:11">
      <c r="C548">
        <f t="shared" si="62"/>
        <v>2.2737829566603526E-2</v>
      </c>
      <c r="D548">
        <f>SUM(D538:D547)</f>
        <v>2.3925555501145435E-2</v>
      </c>
    </row>
    <row r="557" spans="1:11" ht="16.8">
      <c r="A557" s="1" t="s">
        <v>144</v>
      </c>
    </row>
    <row r="558" spans="1:11">
      <c r="B558" t="s">
        <v>66</v>
      </c>
    </row>
    <row r="559" spans="1:11">
      <c r="A559" t="s">
        <v>29</v>
      </c>
      <c r="B559" t="s">
        <v>43</v>
      </c>
      <c r="C559" t="s">
        <v>99</v>
      </c>
      <c r="D559" t="s">
        <v>120</v>
      </c>
      <c r="E559" t="s">
        <v>137</v>
      </c>
    </row>
    <row r="560" spans="1:11">
      <c r="A560">
        <v>0</v>
      </c>
      <c r="B560">
        <v>0</v>
      </c>
      <c r="C560">
        <f t="shared" ref="C560:C570" si="64">(1/(1+EXP(($K$560*$K$561*$K$565/$K$566)-($K$560*$K$567*A560))))</f>
        <v>2.7796061563358981E-2</v>
      </c>
      <c r="D560">
        <f t="shared" ref="D560:D569" si="65">(B560-C560)^2</f>
        <v>7.7262103843404254E-4</v>
      </c>
      <c r="E560">
        <f t="shared" ref="E560:E569" si="66">ABS(B560-C560)</f>
        <v>2.7796061563358981E-2</v>
      </c>
      <c r="J560" s="6" t="s">
        <v>102</v>
      </c>
      <c r="K560" s="6">
        <v>5.7823384573913296E-4</v>
      </c>
    </row>
    <row r="561" spans="1:11">
      <c r="A561">
        <v>10</v>
      </c>
      <c r="B561">
        <v>0</v>
      </c>
      <c r="C561">
        <f t="shared" si="64"/>
        <v>6.3725704022966623E-2</v>
      </c>
      <c r="D561">
        <f t="shared" si="65"/>
        <v>4.0609653532227442E-3</v>
      </c>
      <c r="E561">
        <f t="shared" si="66"/>
        <v>6.3725704022966623E-2</v>
      </c>
      <c r="J561" s="6" t="s">
        <v>103</v>
      </c>
      <c r="K561" s="6">
        <v>12294.926288300299</v>
      </c>
    </row>
    <row r="562" spans="1:11">
      <c r="A562">
        <v>15</v>
      </c>
      <c r="B562">
        <v>0.01</v>
      </c>
      <c r="C562">
        <f t="shared" si="64"/>
        <v>9.5035509282748815E-2</v>
      </c>
      <c r="D562">
        <f t="shared" si="65"/>
        <v>7.2310378389764604E-3</v>
      </c>
      <c r="E562">
        <f t="shared" si="66"/>
        <v>8.503550928274882E-2</v>
      </c>
      <c r="G562" s="6" t="s">
        <v>132</v>
      </c>
      <c r="H562" s="6">
        <f>E570</f>
        <v>0.38699558021904024</v>
      </c>
    </row>
    <row r="563" spans="1:11">
      <c r="A563">
        <v>25</v>
      </c>
      <c r="B563">
        <v>0.2</v>
      </c>
      <c r="C563">
        <f t="shared" si="64"/>
        <v>0.20000000436161863</v>
      </c>
      <c r="D563">
        <f t="shared" si="65"/>
        <v>1.9023717002282986E-17</v>
      </c>
      <c r="E563">
        <f t="shared" si="66"/>
        <v>4.3616186218287112E-9</v>
      </c>
      <c r="J563" t="s">
        <v>104</v>
      </c>
      <c r="K563">
        <f>1-(D570/E570)</f>
        <v>0.93255576995682676</v>
      </c>
    </row>
    <row r="564" spans="1:11">
      <c r="A564">
        <v>40</v>
      </c>
      <c r="B564">
        <v>0.48</v>
      </c>
      <c r="C564">
        <f t="shared" si="64"/>
        <v>0.47869586113338797</v>
      </c>
      <c r="D564">
        <f t="shared" si="65"/>
        <v>1.70077818340807E-6</v>
      </c>
      <c r="E564">
        <f t="shared" si="66"/>
        <v>1.3041388666120146E-3</v>
      </c>
    </row>
    <row r="565" spans="1:11">
      <c r="A565">
        <v>50</v>
      </c>
      <c r="B565">
        <v>0.69</v>
      </c>
      <c r="C565">
        <f t="shared" si="64"/>
        <v>0.68612878559955015</v>
      </c>
      <c r="D565">
        <f t="shared" si="65"/>
        <v>1.4986300934249874E-5</v>
      </c>
      <c r="E565">
        <f t="shared" si="66"/>
        <v>3.8712144004497961E-3</v>
      </c>
      <c r="J565" t="s">
        <v>105</v>
      </c>
      <c r="K565">
        <v>4</v>
      </c>
    </row>
    <row r="566" spans="1:11">
      <c r="A566">
        <v>60</v>
      </c>
      <c r="B566">
        <v>0.83</v>
      </c>
      <c r="C566">
        <f t="shared" si="64"/>
        <v>0.83881445219794903</v>
      </c>
      <c r="D566">
        <f t="shared" si="65"/>
        <v>7.7694567549929259E-5</v>
      </c>
      <c r="E566">
        <f t="shared" si="66"/>
        <v>8.8144521979490742E-3</v>
      </c>
      <c r="J566" t="s">
        <v>8</v>
      </c>
      <c r="K566">
        <v>8</v>
      </c>
    </row>
    <row r="567" spans="1:11">
      <c r="A567">
        <v>70</v>
      </c>
      <c r="B567">
        <v>0.88</v>
      </c>
      <c r="C567">
        <f t="shared" si="64"/>
        <v>0.92531010523904722</v>
      </c>
      <c r="D567">
        <f t="shared" si="65"/>
        <v>2.0530056367735337E-3</v>
      </c>
      <c r="E567">
        <f t="shared" si="66"/>
        <v>4.5310105239047216E-2</v>
      </c>
      <c r="J567" t="s">
        <v>12</v>
      </c>
      <c r="K567">
        <v>150</v>
      </c>
    </row>
    <row r="568" spans="1:11">
      <c r="A568">
        <v>75</v>
      </c>
      <c r="B568">
        <v>0.89</v>
      </c>
      <c r="C568">
        <f t="shared" si="64"/>
        <v>0.95028520163509889</v>
      </c>
      <c r="D568">
        <f t="shared" si="65"/>
        <v>3.6343055361845278E-3</v>
      </c>
      <c r="E568">
        <f t="shared" si="66"/>
        <v>6.0285201635098873E-2</v>
      </c>
      <c r="J568" t="s">
        <v>106</v>
      </c>
      <c r="K568">
        <v>10</v>
      </c>
    </row>
    <row r="569" spans="1:11">
      <c r="A569">
        <v>95</v>
      </c>
      <c r="B569">
        <v>0.9</v>
      </c>
      <c r="C569">
        <f t="shared" si="64"/>
        <v>0.99085318864919025</v>
      </c>
      <c r="D569">
        <f t="shared" si="65"/>
        <v>8.2543018877253484E-3</v>
      </c>
      <c r="E569">
        <f t="shared" si="66"/>
        <v>9.0853188649190231E-2</v>
      </c>
      <c r="J569" t="s">
        <v>107</v>
      </c>
      <c r="K569">
        <v>2</v>
      </c>
    </row>
    <row r="570" spans="1:11">
      <c r="C570">
        <f t="shared" si="64"/>
        <v>2.7796061563358981E-2</v>
      </c>
      <c r="D570">
        <f>SUM(D560:D569)</f>
        <v>2.6100618937984266E-2</v>
      </c>
      <c r="E570">
        <f>SUM(E560:E569)</f>
        <v>0.38699558021904024</v>
      </c>
    </row>
    <row r="579" spans="1:11" ht="16.8">
      <c r="A579" s="1" t="s">
        <v>125</v>
      </c>
    </row>
    <row r="580" spans="1:11">
      <c r="B580" t="s">
        <v>66</v>
      </c>
    </row>
    <row r="581" spans="1:11">
      <c r="A581" t="s">
        <v>29</v>
      </c>
      <c r="B581" t="s">
        <v>43</v>
      </c>
      <c r="C581" t="s">
        <v>99</v>
      </c>
      <c r="D581" t="s">
        <v>120</v>
      </c>
      <c r="E581" t="s">
        <v>119</v>
      </c>
    </row>
    <row r="582" spans="1:11">
      <c r="A582">
        <v>0</v>
      </c>
      <c r="B582">
        <v>0</v>
      </c>
      <c r="C582">
        <f t="shared" ref="C582:C591" si="67">(1/(1+EXP(($K$582*$K$583*$K$587/$K$588)-($K$582*$K$589*A582))))</f>
        <v>3.7796726770969735E-3</v>
      </c>
      <c r="D582">
        <f t="shared" ref="D582:D591" si="68">(B582-C582)^2</f>
        <v>1.4285925545993402E-5</v>
      </c>
      <c r="E582">
        <v>0</v>
      </c>
      <c r="J582" s="6" t="s">
        <v>102</v>
      </c>
      <c r="K582" s="6">
        <v>8.8271745291706701E-4</v>
      </c>
    </row>
    <row r="583" spans="1:11">
      <c r="A583">
        <v>10</v>
      </c>
      <c r="B583">
        <v>0</v>
      </c>
      <c r="C583">
        <f t="shared" si="67"/>
        <v>1.4060093724070775E-2</v>
      </c>
      <c r="D583">
        <f t="shared" si="68"/>
        <v>1.9768623552965438E-4</v>
      </c>
      <c r="E583">
        <v>0</v>
      </c>
      <c r="J583" s="6" t="s">
        <v>103</v>
      </c>
      <c r="K583" s="6">
        <v>12629.932747675301</v>
      </c>
    </row>
    <row r="584" spans="1:11">
      <c r="A584">
        <v>15</v>
      </c>
      <c r="B584">
        <v>0.01</v>
      </c>
      <c r="C584">
        <f t="shared" si="67"/>
        <v>2.6903764460576979E-2</v>
      </c>
      <c r="D584">
        <f t="shared" si="68"/>
        <v>2.8573725293866539E-4</v>
      </c>
      <c r="E584">
        <f t="shared" ref="E584:E591" si="69">(B584-C584)^2/B584</f>
        <v>2.857372529386654E-2</v>
      </c>
    </row>
    <row r="585" spans="1:11">
      <c r="A585">
        <v>25</v>
      </c>
      <c r="B585">
        <v>0.2</v>
      </c>
      <c r="C585">
        <f t="shared" si="67"/>
        <v>9.4136686879672304E-2</v>
      </c>
      <c r="D585">
        <f t="shared" si="68"/>
        <v>1.1207041064812549E-2</v>
      </c>
      <c r="E585">
        <f t="shared" si="69"/>
        <v>5.603520532406274E-2</v>
      </c>
      <c r="G585" s="6" t="s">
        <v>134</v>
      </c>
      <c r="H585" s="6">
        <f>(10)*E592</f>
        <v>1.3382706474075423</v>
      </c>
    </row>
    <row r="586" spans="1:11">
      <c r="A586">
        <v>40</v>
      </c>
      <c r="B586">
        <v>0.48</v>
      </c>
      <c r="C586">
        <f t="shared" si="67"/>
        <v>0.43093771743739934</v>
      </c>
      <c r="D586">
        <f t="shared" si="68"/>
        <v>2.4071075702524676E-3</v>
      </c>
      <c r="E586">
        <f t="shared" si="69"/>
        <v>5.0148074380259745E-3</v>
      </c>
    </row>
    <row r="587" spans="1:11">
      <c r="A587">
        <v>50</v>
      </c>
      <c r="B587">
        <v>0.69</v>
      </c>
      <c r="C587">
        <f t="shared" si="67"/>
        <v>0.7400156435317794</v>
      </c>
      <c r="D587">
        <f t="shared" si="68"/>
        <v>2.5015645978980318E-3</v>
      </c>
      <c r="E587">
        <f t="shared" si="69"/>
        <v>3.6254559389826552E-3</v>
      </c>
      <c r="J587" t="s">
        <v>105</v>
      </c>
      <c r="K587">
        <v>4</v>
      </c>
    </row>
    <row r="588" spans="1:11">
      <c r="A588">
        <v>60</v>
      </c>
      <c r="B588">
        <v>0.83</v>
      </c>
      <c r="C588">
        <f t="shared" si="67"/>
        <v>0.91452071422392833</v>
      </c>
      <c r="D588">
        <f t="shared" si="68"/>
        <v>7.143751132922968E-3</v>
      </c>
      <c r="E588">
        <f t="shared" si="69"/>
        <v>8.6069290758108048E-3</v>
      </c>
      <c r="J588" t="s">
        <v>8</v>
      </c>
      <c r="K588">
        <v>8</v>
      </c>
    </row>
    <row r="589" spans="1:11">
      <c r="A589">
        <v>70</v>
      </c>
      <c r="B589">
        <v>0.88</v>
      </c>
      <c r="C589">
        <f t="shared" si="67"/>
        <v>0.97573609316727694</v>
      </c>
      <c r="D589">
        <f t="shared" si="68"/>
        <v>9.1653995349335292E-3</v>
      </c>
      <c r="E589">
        <f t="shared" si="69"/>
        <v>1.0415226744242646E-2</v>
      </c>
      <c r="J589" t="s">
        <v>12</v>
      </c>
      <c r="K589">
        <v>150</v>
      </c>
    </row>
    <row r="590" spans="1:11">
      <c r="A590">
        <v>75</v>
      </c>
      <c r="B590">
        <v>0.89</v>
      </c>
      <c r="C590">
        <f t="shared" si="67"/>
        <v>0.98733591532632337</v>
      </c>
      <c r="D590">
        <f t="shared" si="68"/>
        <v>9.4742804124131885E-3</v>
      </c>
      <c r="E590">
        <f t="shared" si="69"/>
        <v>1.0645258890351898E-2</v>
      </c>
      <c r="J590" t="s">
        <v>106</v>
      </c>
      <c r="K590">
        <v>10</v>
      </c>
    </row>
    <row r="591" spans="1:11">
      <c r="A591">
        <v>95</v>
      </c>
      <c r="B591">
        <v>0.9</v>
      </c>
      <c r="C591">
        <f t="shared" si="67"/>
        <v>0.99909293835521229</v>
      </c>
      <c r="D591">
        <f t="shared" si="68"/>
        <v>9.8194104318698981E-3</v>
      </c>
      <c r="E591">
        <f t="shared" si="69"/>
        <v>1.0910456035410998E-2</v>
      </c>
      <c r="J591" t="s">
        <v>107</v>
      </c>
      <c r="K591">
        <v>2</v>
      </c>
    </row>
    <row r="592" spans="1:11">
      <c r="D592" s="6">
        <f>SUM(D582:D591)</f>
        <v>5.221626415911694E-2</v>
      </c>
      <c r="E592">
        <f>SUM(E584:E591)</f>
        <v>0.13382706474075423</v>
      </c>
    </row>
    <row r="599" spans="1:11" ht="16.8">
      <c r="A599" s="10" t="s">
        <v>145</v>
      </c>
    </row>
    <row r="600" spans="1:11">
      <c r="B600" t="s">
        <v>66</v>
      </c>
    </row>
    <row r="601" spans="1:11">
      <c r="A601" t="s">
        <v>29</v>
      </c>
      <c r="B601" t="s">
        <v>43</v>
      </c>
      <c r="C601" t="s">
        <v>99</v>
      </c>
      <c r="D601" t="s">
        <v>120</v>
      </c>
      <c r="E601" t="s">
        <v>119</v>
      </c>
    </row>
    <row r="602" spans="1:11">
      <c r="A602">
        <v>0</v>
      </c>
      <c r="B602">
        <v>0</v>
      </c>
      <c r="C602">
        <f t="shared" ref="C602:C611" si="70">(1/(1+EXP(($K$602*$K$603*$K$607/$K$608)-($K$602*$K$609*A602))))</f>
        <v>8.0400061496792481E-4</v>
      </c>
      <c r="D602">
        <f t="shared" ref="D602:D611" si="71">(B602-C602)^2</f>
        <v>6.4641698886880124E-7</v>
      </c>
      <c r="E602">
        <v>0</v>
      </c>
      <c r="J602" s="6" t="s">
        <v>102</v>
      </c>
      <c r="K602" s="6">
        <v>1.17901776564765E-3</v>
      </c>
    </row>
    <row r="603" spans="1:11">
      <c r="A603">
        <v>10</v>
      </c>
      <c r="B603">
        <v>0</v>
      </c>
      <c r="C603">
        <f t="shared" si="70"/>
        <v>4.6948670971734639E-3</v>
      </c>
      <c r="D603">
        <f t="shared" si="71"/>
        <v>2.2041777060121985E-5</v>
      </c>
      <c r="E603">
        <v>0</v>
      </c>
      <c r="J603" s="6" t="s">
        <v>103</v>
      </c>
      <c r="K603" s="6">
        <v>12086.512022979399</v>
      </c>
    </row>
    <row r="604" spans="1:11">
      <c r="A604">
        <v>15</v>
      </c>
      <c r="B604">
        <v>0.01</v>
      </c>
      <c r="C604">
        <f t="shared" si="70"/>
        <v>1.1291869406529936E-2</v>
      </c>
      <c r="D604">
        <f t="shared" si="71"/>
        <v>1.6689265635280085E-6</v>
      </c>
      <c r="E604">
        <f t="shared" ref="E604:E611" si="72">((B604-C604)/B604)^2</f>
        <v>1.6689265635280084E-2</v>
      </c>
      <c r="G604" s="6" t="s">
        <v>121</v>
      </c>
      <c r="H604" s="6">
        <f>(100)*(1/8)^0.5*(F609)^2</f>
        <v>6.0236822976308599E-4</v>
      </c>
    </row>
    <row r="605" spans="1:11">
      <c r="A605">
        <v>25</v>
      </c>
      <c r="B605">
        <v>0.2</v>
      </c>
      <c r="C605">
        <f t="shared" si="70"/>
        <v>6.2750111677824655E-2</v>
      </c>
      <c r="D605">
        <f t="shared" si="71"/>
        <v>1.8837531844449609E-2</v>
      </c>
      <c r="E605">
        <f t="shared" si="72"/>
        <v>0.47093829611124016</v>
      </c>
    </row>
    <row r="606" spans="1:11">
      <c r="A606">
        <v>40</v>
      </c>
      <c r="B606">
        <v>0.48</v>
      </c>
      <c r="C606">
        <f t="shared" si="70"/>
        <v>0.48725286127551398</v>
      </c>
      <c r="D606">
        <f t="shared" si="71"/>
        <v>5.2603996681850568E-5</v>
      </c>
      <c r="E606">
        <f t="shared" si="72"/>
        <v>2.2831595782053199E-4</v>
      </c>
    </row>
    <row r="607" spans="1:11">
      <c r="A607">
        <v>50</v>
      </c>
      <c r="B607">
        <v>0.69</v>
      </c>
      <c r="C607">
        <f t="shared" si="70"/>
        <v>0.8478100294980474</v>
      </c>
      <c r="D607">
        <f t="shared" si="71"/>
        <v>2.4904005410174609E-2</v>
      </c>
      <c r="E607">
        <f t="shared" si="72"/>
        <v>5.2308349947856769E-2</v>
      </c>
      <c r="J607" t="s">
        <v>105</v>
      </c>
      <c r="K607">
        <v>4</v>
      </c>
    </row>
    <row r="608" spans="1:11">
      <c r="A608">
        <v>60</v>
      </c>
      <c r="B608">
        <v>0.83</v>
      </c>
      <c r="C608">
        <f t="shared" si="70"/>
        <v>0.97028833905514533</v>
      </c>
      <c r="D608">
        <f t="shared" si="71"/>
        <v>1.9680818074851426E-2</v>
      </c>
      <c r="E608">
        <f t="shared" si="72"/>
        <v>2.8568468681741076E-2</v>
      </c>
      <c r="J608" t="s">
        <v>8</v>
      </c>
      <c r="K608">
        <v>8</v>
      </c>
    </row>
    <row r="609" spans="1:11">
      <c r="A609">
        <v>70</v>
      </c>
      <c r="B609">
        <v>0.88</v>
      </c>
      <c r="C609">
        <f t="shared" si="70"/>
        <v>0.9948036056180769</v>
      </c>
      <c r="D609">
        <f t="shared" si="71"/>
        <v>1.3179867862910937E-2</v>
      </c>
      <c r="E609">
        <f t="shared" si="72"/>
        <v>1.7019457467601935E-2</v>
      </c>
      <c r="F609">
        <f>D612/B612^2</f>
        <v>4.1276562843183271E-3</v>
      </c>
      <c r="J609" t="s">
        <v>12</v>
      </c>
      <c r="K609">
        <v>150</v>
      </c>
    </row>
    <row r="610" spans="1:11">
      <c r="A610">
        <v>75</v>
      </c>
      <c r="B610">
        <v>0.89</v>
      </c>
      <c r="C610">
        <f t="shared" si="70"/>
        <v>0.99784722755152</v>
      </c>
      <c r="D610">
        <f t="shared" si="71"/>
        <v>1.1631024490549332E-2</v>
      </c>
      <c r="E610">
        <f t="shared" si="72"/>
        <v>1.4683782970015567E-2</v>
      </c>
      <c r="J610" t="s">
        <v>106</v>
      </c>
      <c r="K610">
        <v>10</v>
      </c>
    </row>
    <row r="611" spans="1:11">
      <c r="A611">
        <v>95</v>
      </c>
      <c r="B611">
        <v>0.9</v>
      </c>
      <c r="C611">
        <f t="shared" si="70"/>
        <v>0.99993722538193719</v>
      </c>
      <c r="D611">
        <f t="shared" si="71"/>
        <v>9.9874490170401061E-3</v>
      </c>
      <c r="E611">
        <f t="shared" si="72"/>
        <v>1.2330183971654453E-2</v>
      </c>
      <c r="J611" t="s">
        <v>107</v>
      </c>
      <c r="K611">
        <v>2</v>
      </c>
    </row>
    <row r="612" spans="1:11">
      <c r="B612">
        <f>SUM(B602:B611)</f>
        <v>4.88</v>
      </c>
      <c r="D612" s="6">
        <f>SUM(D602:D611)</f>
        <v>9.8297657817270373E-2</v>
      </c>
      <c r="E612">
        <f>SUM(E602:E611)</f>
        <v>0.61276612074321057</v>
      </c>
    </row>
    <row r="616" spans="1:11" ht="15.6">
      <c r="A616" s="20" t="s">
        <v>109</v>
      </c>
    </row>
    <row r="618" spans="1:11">
      <c r="A618" t="s">
        <v>111</v>
      </c>
    </row>
    <row r="619" spans="1:11">
      <c r="A619" t="s">
        <v>29</v>
      </c>
      <c r="B619" t="s">
        <v>43</v>
      </c>
      <c r="C619" t="s">
        <v>112</v>
      </c>
      <c r="D619" t="s">
        <v>120</v>
      </c>
    </row>
    <row r="620" spans="1:11">
      <c r="A620">
        <v>0</v>
      </c>
      <c r="B620">
        <v>0</v>
      </c>
      <c r="C620">
        <f t="shared" ref="C620:C633" si="73">(1/(1+EXP(($K$620*$K$621*$K$625/$K$626)-($K$620*$K$627*A620))))</f>
        <v>5.3056008677836563E-3</v>
      </c>
      <c r="D620">
        <f t="shared" ref="D620:D633" si="74">(B620-C620)^2</f>
        <v>2.8149400568226688E-5</v>
      </c>
      <c r="J620" s="6" t="s">
        <v>102</v>
      </c>
      <c r="K620" s="6">
        <v>5.4203310233047605E-4</v>
      </c>
    </row>
    <row r="621" spans="1:11">
      <c r="A621">
        <v>20</v>
      </c>
      <c r="B621">
        <v>0</v>
      </c>
      <c r="C621">
        <f t="shared" si="73"/>
        <v>1.5525772740664258E-2</v>
      </c>
      <c r="D621">
        <f t="shared" si="74"/>
        <v>2.4104961919475332E-4</v>
      </c>
      <c r="J621" s="6" t="s">
        <v>103</v>
      </c>
      <c r="K621" s="6">
        <v>28966.8979672147</v>
      </c>
    </row>
    <row r="622" spans="1:11">
      <c r="A622">
        <v>30</v>
      </c>
      <c r="B622">
        <v>0</v>
      </c>
      <c r="C622">
        <f t="shared" si="73"/>
        <v>2.6401627440870216E-2</v>
      </c>
      <c r="D622">
        <f t="shared" si="74"/>
        <v>6.9704593152651118E-4</v>
      </c>
    </row>
    <row r="623" spans="1:11">
      <c r="A623">
        <v>40</v>
      </c>
      <c r="B623">
        <v>0</v>
      </c>
      <c r="C623">
        <f t="shared" si="73"/>
        <v>4.4551284031305316E-2</v>
      </c>
      <c r="D623">
        <f t="shared" si="74"/>
        <v>1.9848169088380399E-3</v>
      </c>
      <c r="F623" s="6" t="s">
        <v>100</v>
      </c>
      <c r="G623" s="6">
        <f>(D634)</f>
        <v>1.333225081720445E-2</v>
      </c>
    </row>
    <row r="624" spans="1:11">
      <c r="A624">
        <v>50</v>
      </c>
      <c r="B624">
        <v>0.01</v>
      </c>
      <c r="C624">
        <f t="shared" si="73"/>
        <v>7.422659368346457E-2</v>
      </c>
      <c r="D624">
        <f t="shared" si="74"/>
        <v>4.1250553361808513E-3</v>
      </c>
    </row>
    <row r="625" spans="1:11">
      <c r="A625">
        <v>60</v>
      </c>
      <c r="B625">
        <v>0.11</v>
      </c>
      <c r="C625">
        <f t="shared" si="73"/>
        <v>0.12116180597621348</v>
      </c>
      <c r="D625">
        <f t="shared" si="74"/>
        <v>1.24585912650635E-4</v>
      </c>
      <c r="J625" t="s">
        <v>105</v>
      </c>
      <c r="K625">
        <v>4</v>
      </c>
    </row>
    <row r="626" spans="1:11">
      <c r="A626">
        <v>80</v>
      </c>
      <c r="B626">
        <v>0.32</v>
      </c>
      <c r="C626">
        <f t="shared" si="73"/>
        <v>0.2895835060277086</v>
      </c>
      <c r="D626">
        <f t="shared" si="74"/>
        <v>9.2516310556643928E-4</v>
      </c>
      <c r="J626" t="s">
        <v>8</v>
      </c>
      <c r="K626">
        <v>12</v>
      </c>
    </row>
    <row r="627" spans="1:11">
      <c r="A627">
        <v>96</v>
      </c>
      <c r="B627">
        <v>0.52</v>
      </c>
      <c r="C627">
        <f t="shared" si="73"/>
        <v>0.49246188595204493</v>
      </c>
      <c r="D627">
        <f t="shared" si="74"/>
        <v>7.5834772531818131E-4</v>
      </c>
      <c r="J627" t="s">
        <v>12</v>
      </c>
      <c r="K627">
        <v>100</v>
      </c>
    </row>
    <row r="628" spans="1:11">
      <c r="A628">
        <v>105</v>
      </c>
      <c r="B628">
        <v>0.62</v>
      </c>
      <c r="C628">
        <f t="shared" si="73"/>
        <v>0.61246248893145816</v>
      </c>
      <c r="D628">
        <f t="shared" si="74"/>
        <v>5.6814073108390688E-5</v>
      </c>
      <c r="J628" t="s">
        <v>113</v>
      </c>
      <c r="K628">
        <v>14</v>
      </c>
    </row>
    <row r="629" spans="1:11">
      <c r="A629">
        <v>122</v>
      </c>
      <c r="B629">
        <v>0.81</v>
      </c>
      <c r="C629">
        <f t="shared" si="73"/>
        <v>0.7988514510149668</v>
      </c>
      <c r="D629">
        <f t="shared" si="74"/>
        <v>1.2429014447168607E-4</v>
      </c>
      <c r="J629" t="s">
        <v>107</v>
      </c>
      <c r="K629">
        <v>2</v>
      </c>
    </row>
    <row r="630" spans="1:11">
      <c r="A630">
        <v>132</v>
      </c>
      <c r="B630">
        <v>0.86</v>
      </c>
      <c r="C630">
        <f t="shared" si="73"/>
        <v>0.87226822620106381</v>
      </c>
      <c r="D630">
        <f t="shared" si="74"/>
        <v>1.5050937412046893E-4</v>
      </c>
    </row>
    <row r="631" spans="1:11">
      <c r="A631">
        <v>138</v>
      </c>
      <c r="B631">
        <v>0.88</v>
      </c>
      <c r="C631">
        <f t="shared" si="73"/>
        <v>0.90433819464082921</v>
      </c>
      <c r="D631">
        <f t="shared" si="74"/>
        <v>5.9234771837488737E-4</v>
      </c>
    </row>
    <row r="632" spans="1:11">
      <c r="A632">
        <v>143</v>
      </c>
      <c r="B632">
        <v>0.89</v>
      </c>
      <c r="C632">
        <f t="shared" si="73"/>
        <v>0.92535271605177594</v>
      </c>
      <c r="D632">
        <f t="shared" si="74"/>
        <v>1.2498145322374951E-3</v>
      </c>
    </row>
    <row r="633" spans="1:11">
      <c r="A633">
        <v>150</v>
      </c>
      <c r="B633">
        <v>0.9</v>
      </c>
      <c r="C633">
        <f t="shared" si="73"/>
        <v>0.94768921298415276</v>
      </c>
      <c r="D633">
        <f t="shared" si="74"/>
        <v>2.2742610350478822E-3</v>
      </c>
    </row>
    <row r="634" spans="1:11">
      <c r="D634" s="6">
        <f>SUM(D620:D633)</f>
        <v>1.333225081720445E-2</v>
      </c>
    </row>
    <row r="639" spans="1:11" ht="16.8">
      <c r="A639" s="2" t="s">
        <v>146</v>
      </c>
    </row>
    <row r="640" spans="1:11">
      <c r="A640" t="s">
        <v>111</v>
      </c>
    </row>
    <row r="641" spans="1:11">
      <c r="A641" t="s">
        <v>29</v>
      </c>
      <c r="B641" t="s">
        <v>43</v>
      </c>
      <c r="C641" t="s">
        <v>112</v>
      </c>
      <c r="D641" t="s">
        <v>120</v>
      </c>
      <c r="E641" t="s">
        <v>137</v>
      </c>
    </row>
    <row r="642" spans="1:11">
      <c r="A642">
        <v>0</v>
      </c>
      <c r="B642">
        <v>0</v>
      </c>
      <c r="C642">
        <f t="shared" ref="C642:C655" si="75">(1/(1+EXP(($K$642*$K$643*$K$647/$K$648)-($K$642*$K$649*A642))))</f>
        <v>5.0510623479062405E-3</v>
      </c>
      <c r="D642">
        <f t="shared" ref="D642:D655" si="76">(B642-C642)^2</f>
        <v>2.5513230842436103E-5</v>
      </c>
      <c r="E642">
        <f t="shared" ref="E642:E655" si="77">ABS(B642-C642)</f>
        <v>5.0510623479062405E-3</v>
      </c>
      <c r="J642" s="6" t="s">
        <v>102</v>
      </c>
      <c r="K642" s="6">
        <v>5.4977534361339399E-4</v>
      </c>
    </row>
    <row r="643" spans="1:11">
      <c r="A643">
        <v>20</v>
      </c>
      <c r="B643">
        <v>0</v>
      </c>
      <c r="C643">
        <f t="shared" si="75"/>
        <v>1.5015511262714311E-2</v>
      </c>
      <c r="D643">
        <f t="shared" si="76"/>
        <v>2.2546557848070032E-4</v>
      </c>
      <c r="E643">
        <f t="shared" si="77"/>
        <v>1.5015511262714311E-2</v>
      </c>
      <c r="J643" s="6" t="s">
        <v>103</v>
      </c>
      <c r="K643" s="6">
        <v>28828.645506856701</v>
      </c>
    </row>
    <row r="644" spans="1:11">
      <c r="A644">
        <v>30</v>
      </c>
      <c r="B644">
        <v>0</v>
      </c>
      <c r="C644">
        <f t="shared" si="75"/>
        <v>2.5736619959329344E-2</v>
      </c>
      <c r="D644">
        <f t="shared" si="76"/>
        <v>6.6237360693094957E-4</v>
      </c>
      <c r="E644">
        <f t="shared" si="77"/>
        <v>2.5736619959329344E-2</v>
      </c>
    </row>
    <row r="645" spans="1:11">
      <c r="A645">
        <v>40</v>
      </c>
      <c r="B645">
        <v>0</v>
      </c>
      <c r="C645">
        <f t="shared" si="75"/>
        <v>4.377244281463117E-2</v>
      </c>
      <c r="D645">
        <f t="shared" si="76"/>
        <v>1.916026749960156E-3</v>
      </c>
      <c r="E645">
        <f t="shared" si="77"/>
        <v>4.377244281463117E-2</v>
      </c>
      <c r="G645" s="6" t="s">
        <v>132</v>
      </c>
      <c r="H645" s="6">
        <f>E656</f>
        <v>0.3546749771010913</v>
      </c>
    </row>
    <row r="646" spans="1:11">
      <c r="A646">
        <v>50</v>
      </c>
      <c r="B646">
        <v>0.01</v>
      </c>
      <c r="C646">
        <f t="shared" si="75"/>
        <v>7.3494043559486716E-2</v>
      </c>
      <c r="D646">
        <f t="shared" si="76"/>
        <v>4.0314935675339969E-3</v>
      </c>
      <c r="E646">
        <f t="shared" si="77"/>
        <v>6.3494043559486721E-2</v>
      </c>
    </row>
    <row r="647" spans="1:11">
      <c r="A647">
        <v>60</v>
      </c>
      <c r="B647">
        <v>0.11</v>
      </c>
      <c r="C647">
        <f t="shared" si="75"/>
        <v>0.12084624494993412</v>
      </c>
      <c r="D647">
        <f t="shared" si="76"/>
        <v>1.1764102951397145E-4</v>
      </c>
      <c r="E647">
        <f t="shared" si="77"/>
        <v>1.0846244949934122E-2</v>
      </c>
      <c r="J647" t="s">
        <v>105</v>
      </c>
      <c r="K647">
        <v>4</v>
      </c>
    </row>
    <row r="648" spans="1:11">
      <c r="A648">
        <v>80</v>
      </c>
      <c r="B648">
        <v>0.32</v>
      </c>
      <c r="C648">
        <f t="shared" si="75"/>
        <v>0.29216545985278458</v>
      </c>
      <c r="D648">
        <f t="shared" si="76"/>
        <v>7.7476162520694731E-4</v>
      </c>
      <c r="E648">
        <f t="shared" si="77"/>
        <v>2.7834540147215425E-2</v>
      </c>
      <c r="J648" t="s">
        <v>8</v>
      </c>
      <c r="K648">
        <v>12</v>
      </c>
    </row>
    <row r="649" spans="1:11">
      <c r="A649">
        <v>96</v>
      </c>
      <c r="B649">
        <v>0.52</v>
      </c>
      <c r="C649">
        <f t="shared" si="75"/>
        <v>0.49868762023257235</v>
      </c>
      <c r="D649">
        <f t="shared" si="76"/>
        <v>4.542175313510603E-4</v>
      </c>
      <c r="E649">
        <f t="shared" si="77"/>
        <v>2.1312379767427669E-2</v>
      </c>
      <c r="J649" t="s">
        <v>12</v>
      </c>
      <c r="K649">
        <v>100</v>
      </c>
    </row>
    <row r="650" spans="1:11">
      <c r="A650">
        <v>105</v>
      </c>
      <c r="B650">
        <v>0.62</v>
      </c>
      <c r="C650">
        <f t="shared" si="75"/>
        <v>0.62000001244163738</v>
      </c>
      <c r="D650">
        <f t="shared" si="76"/>
        <v>1.5479434086975071E-16</v>
      </c>
      <c r="E650">
        <f t="shared" si="77"/>
        <v>1.244163738700621E-8</v>
      </c>
      <c r="J650" t="s">
        <v>113</v>
      </c>
      <c r="K650">
        <v>14</v>
      </c>
    </row>
    <row r="651" spans="1:11">
      <c r="A651">
        <v>122</v>
      </c>
      <c r="B651">
        <v>0.81</v>
      </c>
      <c r="C651">
        <f t="shared" si="75"/>
        <v>0.80599073977261615</v>
      </c>
      <c r="D651">
        <f t="shared" si="76"/>
        <v>1.6074167570882435E-5</v>
      </c>
      <c r="E651">
        <f t="shared" si="77"/>
        <v>4.009260227383904E-3</v>
      </c>
      <c r="J651" t="s">
        <v>107</v>
      </c>
      <c r="K651">
        <v>2</v>
      </c>
    </row>
    <row r="652" spans="1:11">
      <c r="A652">
        <v>132</v>
      </c>
      <c r="B652">
        <v>0.86</v>
      </c>
      <c r="C652">
        <f t="shared" si="75"/>
        <v>0.87803386142424</v>
      </c>
      <c r="D652">
        <f t="shared" si="76"/>
        <v>3.2522015786869217E-4</v>
      </c>
      <c r="E652">
        <f t="shared" si="77"/>
        <v>1.8033861424240016E-2</v>
      </c>
    </row>
    <row r="653" spans="1:11">
      <c r="A653">
        <v>138</v>
      </c>
      <c r="B653">
        <v>0.88</v>
      </c>
      <c r="C653">
        <f t="shared" si="75"/>
        <v>0.9091918354134223</v>
      </c>
      <c r="D653">
        <f t="shared" si="76"/>
        <v>8.5216325480433602E-4</v>
      </c>
      <c r="E653">
        <f t="shared" si="77"/>
        <v>2.9191835413422296E-2</v>
      </c>
    </row>
    <row r="654" spans="1:11">
      <c r="A654">
        <v>143</v>
      </c>
      <c r="B654">
        <v>0.89</v>
      </c>
      <c r="C654">
        <f t="shared" si="75"/>
        <v>0.92947774852166232</v>
      </c>
      <c r="D654">
        <f t="shared" si="76"/>
        <v>1.5584926283396102E-3</v>
      </c>
      <c r="E654">
        <f t="shared" si="77"/>
        <v>3.9477748521662304E-2</v>
      </c>
    </row>
    <row r="655" spans="1:11">
      <c r="A655">
        <v>150</v>
      </c>
      <c r="B655">
        <v>0.9</v>
      </c>
      <c r="C655">
        <f t="shared" si="75"/>
        <v>0.95089941426410041</v>
      </c>
      <c r="D655">
        <f t="shared" si="76"/>
        <v>2.5907503724285057E-3</v>
      </c>
      <c r="E655">
        <f t="shared" si="77"/>
        <v>5.0899414264100384E-2</v>
      </c>
    </row>
    <row r="656" spans="1:11">
      <c r="D656">
        <f>SUM(D642:D655)</f>
        <v>1.35501935008324E-2</v>
      </c>
      <c r="E656">
        <f>SUM(E642:E655)</f>
        <v>0.3546749771010913</v>
      </c>
    </row>
    <row r="662" spans="1:11" ht="16.8">
      <c r="A662" s="10" t="s">
        <v>145</v>
      </c>
    </row>
    <row r="663" spans="1:11">
      <c r="A663" t="s">
        <v>111</v>
      </c>
    </row>
    <row r="664" spans="1:11">
      <c r="A664" t="s">
        <v>29</v>
      </c>
      <c r="B664" t="s">
        <v>43</v>
      </c>
      <c r="C664" t="s">
        <v>112</v>
      </c>
      <c r="D664" t="s">
        <v>120</v>
      </c>
      <c r="E664" t="s">
        <v>119</v>
      </c>
    </row>
    <row r="665" spans="1:11">
      <c r="A665">
        <v>0</v>
      </c>
      <c r="B665">
        <v>0</v>
      </c>
      <c r="C665">
        <f t="shared" ref="C665:C678" si="78">(1/(1+EXP(($K$665*$K$666*$K$670/$K$671)-($K$665*$K$672*A665))))</f>
        <v>7.2505707785565154E-5</v>
      </c>
      <c r="D665">
        <f t="shared" ref="D665:D678" si="79">(B665-C665)^2</f>
        <v>5.2570776614857637E-9</v>
      </c>
      <c r="E665">
        <v>0</v>
      </c>
      <c r="J665" s="6" t="s">
        <v>102</v>
      </c>
      <c r="K665" s="6">
        <v>1.0251626126303399E-3</v>
      </c>
    </row>
    <row r="666" spans="1:11">
      <c r="A666">
        <v>20</v>
      </c>
      <c r="B666">
        <v>0</v>
      </c>
      <c r="C666">
        <f t="shared" si="78"/>
        <v>5.6312393542657811E-4</v>
      </c>
      <c r="D666">
        <f t="shared" si="79"/>
        <v>3.171085666503169E-7</v>
      </c>
      <c r="E666">
        <v>0</v>
      </c>
      <c r="J666" s="6" t="s">
        <v>103</v>
      </c>
      <c r="K666" s="6">
        <v>27893.4463040929</v>
      </c>
    </row>
    <row r="667" spans="1:11">
      <c r="A667">
        <v>30</v>
      </c>
      <c r="B667">
        <v>0</v>
      </c>
      <c r="C667">
        <f t="shared" si="78"/>
        <v>1.5681568775184258E-3</v>
      </c>
      <c r="D667">
        <f t="shared" si="79"/>
        <v>2.4591159925083391E-6</v>
      </c>
      <c r="E667">
        <v>0</v>
      </c>
    </row>
    <row r="668" spans="1:11">
      <c r="A668">
        <v>40</v>
      </c>
      <c r="B668">
        <v>0</v>
      </c>
      <c r="C668">
        <f t="shared" si="78"/>
        <v>4.3590944624824195E-3</v>
      </c>
      <c r="D668">
        <f t="shared" si="79"/>
        <v>1.9001704532844895E-5</v>
      </c>
      <c r="E668">
        <v>0</v>
      </c>
      <c r="G668" s="6" t="s">
        <v>121</v>
      </c>
      <c r="H668" s="6">
        <f>(100)*(1/12)^0.5*(F674)^0.5</f>
        <v>1.6362988296199565</v>
      </c>
    </row>
    <row r="669" spans="1:11">
      <c r="A669">
        <v>50</v>
      </c>
      <c r="B669">
        <v>0.01</v>
      </c>
      <c r="C669">
        <f t="shared" si="78"/>
        <v>1.2057237043750908E-2</v>
      </c>
      <c r="D669">
        <f t="shared" si="79"/>
        <v>4.2322242541809728E-6</v>
      </c>
      <c r="E669">
        <f t="shared" ref="E669:E678" si="80">((B669-C669)/B669)^2</f>
        <v>4.2322242541809732E-2</v>
      </c>
    </row>
    <row r="670" spans="1:11">
      <c r="A670">
        <v>60</v>
      </c>
      <c r="B670">
        <v>0.11</v>
      </c>
      <c r="C670">
        <f t="shared" si="78"/>
        <v>3.29010232036566E-2</v>
      </c>
      <c r="D670">
        <f t="shared" si="79"/>
        <v>5.9442522230430967E-3</v>
      </c>
      <c r="E670">
        <f t="shared" si="80"/>
        <v>0.49126051430108247</v>
      </c>
      <c r="J670" t="s">
        <v>105</v>
      </c>
      <c r="K670">
        <v>4</v>
      </c>
    </row>
    <row r="671" spans="1:11">
      <c r="A671">
        <v>80</v>
      </c>
      <c r="B671">
        <v>0.32</v>
      </c>
      <c r="C671">
        <f t="shared" si="78"/>
        <v>0.20908132445901517</v>
      </c>
      <c r="D671">
        <f t="shared" si="79"/>
        <v>1.2302952583766267E-2</v>
      </c>
      <c r="E671">
        <f t="shared" si="80"/>
        <v>0.12014602132584246</v>
      </c>
      <c r="J671" t="s">
        <v>8</v>
      </c>
      <c r="K671">
        <v>12</v>
      </c>
    </row>
    <row r="672" spans="1:11">
      <c r="A672">
        <v>96</v>
      </c>
      <c r="B672">
        <v>0.52</v>
      </c>
      <c r="C672">
        <f t="shared" si="78"/>
        <v>0.57683359122904498</v>
      </c>
      <c r="D672">
        <f t="shared" si="79"/>
        <v>3.2300570919901769E-3</v>
      </c>
      <c r="E672">
        <f t="shared" si="80"/>
        <v>1.1945477411206275E-2</v>
      </c>
      <c r="J672" t="s">
        <v>12</v>
      </c>
      <c r="K672">
        <v>100</v>
      </c>
    </row>
    <row r="673" spans="1:11">
      <c r="A673">
        <v>105</v>
      </c>
      <c r="B673">
        <v>0.62</v>
      </c>
      <c r="C673">
        <f t="shared" si="78"/>
        <v>0.77424441433260671</v>
      </c>
      <c r="D673">
        <f t="shared" si="79"/>
        <v>2.3791339352808853E-2</v>
      </c>
      <c r="E673">
        <f t="shared" si="80"/>
        <v>6.1892141916776416E-2</v>
      </c>
      <c r="J673" t="s">
        <v>113</v>
      </c>
      <c r="K673">
        <v>14</v>
      </c>
    </row>
    <row r="674" spans="1:11">
      <c r="A674">
        <v>122</v>
      </c>
      <c r="B674">
        <v>0.81</v>
      </c>
      <c r="C674">
        <f t="shared" si="78"/>
        <v>0.95144160002314737</v>
      </c>
      <c r="D674">
        <f t="shared" si="79"/>
        <v>2.0005726217107986E-2</v>
      </c>
      <c r="E674">
        <f t="shared" si="80"/>
        <v>3.0491885714232558E-2</v>
      </c>
      <c r="F674">
        <f>D679/B679^2</f>
        <v>3.2129686317787674E-3</v>
      </c>
      <c r="J674" t="s">
        <v>107</v>
      </c>
      <c r="K674">
        <v>2</v>
      </c>
    </row>
    <row r="675" spans="1:11">
      <c r="A675">
        <v>132</v>
      </c>
      <c r="B675">
        <v>0.86</v>
      </c>
      <c r="C675">
        <f t="shared" si="78"/>
        <v>0.98202038982494633</v>
      </c>
      <c r="D675">
        <f t="shared" si="79"/>
        <v>1.4888975533031869E-2</v>
      </c>
      <c r="E675">
        <f t="shared" si="80"/>
        <v>2.0131118892687764E-2</v>
      </c>
    </row>
    <row r="676" spans="1:11">
      <c r="A676">
        <v>138</v>
      </c>
      <c r="B676">
        <v>0.88</v>
      </c>
      <c r="C676">
        <f t="shared" si="78"/>
        <v>0.99019948309787909</v>
      </c>
      <c r="D676">
        <f t="shared" si="79"/>
        <v>1.2143926075039738E-2</v>
      </c>
      <c r="E676">
        <f t="shared" si="80"/>
        <v>1.568172272086743E-2</v>
      </c>
    </row>
    <row r="677" spans="1:11">
      <c r="A677">
        <v>143</v>
      </c>
      <c r="B677">
        <v>0.89</v>
      </c>
      <c r="C677">
        <f t="shared" si="78"/>
        <v>0.99410684157227791</v>
      </c>
      <c r="D677">
        <f t="shared" si="79"/>
        <v>1.083823446215537E-2</v>
      </c>
      <c r="E677">
        <f t="shared" si="80"/>
        <v>1.3682911832035561E-2</v>
      </c>
    </row>
    <row r="678" spans="1:11">
      <c r="A678">
        <v>150</v>
      </c>
      <c r="B678">
        <v>0.9</v>
      </c>
      <c r="C678">
        <f t="shared" si="78"/>
        <v>0.99711593539375598</v>
      </c>
      <c r="D678">
        <f t="shared" si="79"/>
        <v>9.4315049074041816E-3</v>
      </c>
      <c r="E678">
        <f t="shared" si="80"/>
        <v>1.1643833219017507E-2</v>
      </c>
    </row>
    <row r="679" spans="1:11">
      <c r="B679">
        <f>SUM(B665:B678)</f>
        <v>5.92</v>
      </c>
      <c r="D679">
        <f>SUM(D665:D678)</f>
        <v>0.11260298385677139</v>
      </c>
      <c r="E679">
        <f>SUM(E665:E678)</f>
        <v>0.8191978698755582</v>
      </c>
    </row>
    <row r="685" spans="1:11" ht="16.8">
      <c r="A685" s="1" t="s">
        <v>125</v>
      </c>
    </row>
    <row r="686" spans="1:11">
      <c r="A686" t="s">
        <v>111</v>
      </c>
    </row>
    <row r="687" spans="1:11">
      <c r="A687" t="s">
        <v>29</v>
      </c>
      <c r="B687" t="s">
        <v>43</v>
      </c>
      <c r="C687" t="s">
        <v>112</v>
      </c>
      <c r="D687" t="s">
        <v>120</v>
      </c>
      <c r="E687" t="s">
        <v>147</v>
      </c>
    </row>
    <row r="688" spans="1:11">
      <c r="A688">
        <v>0</v>
      </c>
      <c r="B688">
        <v>0</v>
      </c>
      <c r="C688">
        <f t="shared" ref="C688:C701" si="81">(1/(1+EXP(($K$688*$K$689*$K$693/$K$694)-($K$688*$K$695*A688))))</f>
        <v>7.2360064528976414E-4</v>
      </c>
      <c r="D688">
        <f t="shared" ref="D688:D701" si="82">(B688-C688)^2</f>
        <v>5.2359789386376305E-7</v>
      </c>
      <c r="E688">
        <v>0</v>
      </c>
      <c r="J688" s="6" t="s">
        <v>102</v>
      </c>
      <c r="K688" s="6">
        <v>7.4936873047350703E-4</v>
      </c>
    </row>
    <row r="689" spans="1:11">
      <c r="A689">
        <v>20</v>
      </c>
      <c r="B689">
        <v>0</v>
      </c>
      <c r="C689">
        <f t="shared" si="81"/>
        <v>3.2307351906849442E-3</v>
      </c>
      <c r="D689">
        <f t="shared" si="82"/>
        <v>1.0437649872330083E-5</v>
      </c>
      <c r="E689">
        <v>0</v>
      </c>
      <c r="J689" s="6" t="s">
        <v>103</v>
      </c>
      <c r="K689" s="6">
        <v>28946.552302204698</v>
      </c>
    </row>
    <row r="690" spans="1:11">
      <c r="A690">
        <v>30</v>
      </c>
      <c r="B690">
        <v>0</v>
      </c>
      <c r="C690">
        <f t="shared" si="81"/>
        <v>6.8106020314352058E-3</v>
      </c>
      <c r="D690">
        <f t="shared" si="82"/>
        <v>4.638430003058935E-5</v>
      </c>
      <c r="E690">
        <v>0</v>
      </c>
    </row>
    <row r="691" spans="1:11">
      <c r="A691">
        <v>40</v>
      </c>
      <c r="B691">
        <v>0</v>
      </c>
      <c r="C691">
        <f t="shared" si="81"/>
        <v>1.4300287314493549E-2</v>
      </c>
      <c r="D691">
        <f t="shared" si="82"/>
        <v>2.0449821727706513E-4</v>
      </c>
      <c r="E691">
        <v>0</v>
      </c>
      <c r="G691" s="6" t="s">
        <v>134</v>
      </c>
      <c r="H691" s="6">
        <f>(100/12)*E702</f>
        <v>1.0436265977474017</v>
      </c>
    </row>
    <row r="692" spans="1:11">
      <c r="A692">
        <v>50</v>
      </c>
      <c r="B692">
        <v>0.01</v>
      </c>
      <c r="C692">
        <f t="shared" si="81"/>
        <v>2.9779492204763308E-2</v>
      </c>
      <c r="D692">
        <f t="shared" si="82"/>
        <v>3.9122831187829237E-4</v>
      </c>
      <c r="E692">
        <f t="shared" ref="E692:E701" si="83">(B692-C692)^2/B692</f>
        <v>3.9122831187829235E-2</v>
      </c>
    </row>
    <row r="693" spans="1:11">
      <c r="A693">
        <v>60</v>
      </c>
      <c r="B693">
        <v>0.11</v>
      </c>
      <c r="C693">
        <f t="shared" si="81"/>
        <v>6.0977490246234355E-2</v>
      </c>
      <c r="D693">
        <f t="shared" si="82"/>
        <v>2.403206462558048E-3</v>
      </c>
      <c r="E693">
        <f t="shared" si="83"/>
        <v>2.1847331477800436E-2</v>
      </c>
      <c r="J693" t="s">
        <v>105</v>
      </c>
      <c r="K693">
        <v>4</v>
      </c>
    </row>
    <row r="694" spans="1:11">
      <c r="A694">
        <v>80</v>
      </c>
      <c r="B694">
        <v>0.32</v>
      </c>
      <c r="C694">
        <f t="shared" si="81"/>
        <v>0.22520328538721407</v>
      </c>
      <c r="D694">
        <f t="shared" si="82"/>
        <v>8.9864171013779824E-3</v>
      </c>
      <c r="E694">
        <f t="shared" si="83"/>
        <v>2.8082553441806195E-2</v>
      </c>
      <c r="J694" t="s">
        <v>8</v>
      </c>
      <c r="K694">
        <v>12</v>
      </c>
    </row>
    <row r="695" spans="1:11">
      <c r="A695">
        <v>96</v>
      </c>
      <c r="B695">
        <v>0.52</v>
      </c>
      <c r="C695">
        <f t="shared" si="81"/>
        <v>0.49084921249603253</v>
      </c>
      <c r="D695">
        <f t="shared" si="82"/>
        <v>8.4976841210146719E-4</v>
      </c>
      <c r="E695">
        <f t="shared" si="83"/>
        <v>1.6341700232720521E-3</v>
      </c>
      <c r="J695" t="s">
        <v>12</v>
      </c>
      <c r="K695">
        <v>100</v>
      </c>
    </row>
    <row r="696" spans="1:11">
      <c r="A696">
        <v>105</v>
      </c>
      <c r="B696">
        <v>0.62</v>
      </c>
      <c r="C696">
        <f t="shared" si="81"/>
        <v>0.65426154754937393</v>
      </c>
      <c r="D696">
        <f t="shared" si="82"/>
        <v>1.1738536404780114E-3</v>
      </c>
      <c r="E696">
        <f t="shared" si="83"/>
        <v>1.8933123233516314E-3</v>
      </c>
      <c r="J696" t="s">
        <v>113</v>
      </c>
      <c r="K696">
        <v>14</v>
      </c>
    </row>
    <row r="697" spans="1:11">
      <c r="A697">
        <v>122</v>
      </c>
      <c r="B697">
        <v>0.81</v>
      </c>
      <c r="C697">
        <f t="shared" si="81"/>
        <v>0.87121578761998897</v>
      </c>
      <c r="D697">
        <f t="shared" si="82"/>
        <v>3.7473726539355881E-3</v>
      </c>
      <c r="E697">
        <f t="shared" si="83"/>
        <v>4.6263859925130711E-3</v>
      </c>
      <c r="J697" t="s">
        <v>107</v>
      </c>
      <c r="K697">
        <v>2</v>
      </c>
    </row>
    <row r="698" spans="1:11">
      <c r="A698">
        <v>132</v>
      </c>
      <c r="B698">
        <v>0.86</v>
      </c>
      <c r="C698">
        <f t="shared" si="81"/>
        <v>0.9346930785679991</v>
      </c>
      <c r="D698">
        <f t="shared" si="82"/>
        <v>5.5790559859652889E-3</v>
      </c>
      <c r="E698">
        <f t="shared" si="83"/>
        <v>6.4872744022852194E-3</v>
      </c>
    </row>
    <row r="699" spans="1:11">
      <c r="A699">
        <v>138</v>
      </c>
      <c r="B699">
        <v>0.88</v>
      </c>
      <c r="C699">
        <f t="shared" si="81"/>
        <v>0.95733365047003183</v>
      </c>
      <c r="D699">
        <f t="shared" si="82"/>
        <v>5.9804934950210536E-3</v>
      </c>
      <c r="E699">
        <f t="shared" si="83"/>
        <v>6.7960153352511973E-3</v>
      </c>
    </row>
    <row r="700" spans="1:11">
      <c r="A700">
        <v>143</v>
      </c>
      <c r="B700">
        <v>0.89</v>
      </c>
      <c r="C700">
        <f t="shared" si="81"/>
        <v>0.97027023219326769</v>
      </c>
      <c r="D700">
        <f t="shared" si="82"/>
        <v>6.4433101763611061E-3</v>
      </c>
      <c r="E700">
        <f t="shared" si="83"/>
        <v>7.2396743554619166E-3</v>
      </c>
    </row>
    <row r="701" spans="1:11">
      <c r="A701">
        <v>150</v>
      </c>
      <c r="B701">
        <v>0.9</v>
      </c>
      <c r="C701">
        <f t="shared" si="81"/>
        <v>0.98218928683901274</v>
      </c>
      <c r="D701">
        <f t="shared" si="82"/>
        <v>6.7550788711055092E-3</v>
      </c>
      <c r="E701">
        <f t="shared" si="83"/>
        <v>7.5056431901172321E-3</v>
      </c>
    </row>
    <row r="702" spans="1:11">
      <c r="D702" s="6">
        <f>SUM(D688:D701)</f>
        <v>4.25716288758562E-2</v>
      </c>
      <c r="E702">
        <f>SUM(E688:E701)</f>
        <v>0.12523519172968819</v>
      </c>
    </row>
    <row r="706" spans="1:11" ht="16.8">
      <c r="A706" s="1" t="s">
        <v>109</v>
      </c>
    </row>
    <row r="707" spans="1:11">
      <c r="A707" t="s">
        <v>72</v>
      </c>
    </row>
    <row r="708" spans="1:11">
      <c r="A708" t="s">
        <v>29</v>
      </c>
      <c r="B708" t="s">
        <v>43</v>
      </c>
      <c r="C708" t="s">
        <v>99</v>
      </c>
      <c r="D708" t="s">
        <v>120</v>
      </c>
    </row>
    <row r="709" spans="1:11">
      <c r="A709">
        <v>0</v>
      </c>
      <c r="B709">
        <v>0</v>
      </c>
      <c r="C709">
        <f t="shared" ref="C709:C723" si="84">(1/(1+EXP(($K$709*$K$710*$K$714/$K$716)-($K$709*$K$715*A709))))</f>
        <v>7.7325531035806307E-4</v>
      </c>
      <c r="D709">
        <f t="shared" ref="D709:D723" si="85">(B709-C709)^2</f>
        <v>5.9792377499694441E-7</v>
      </c>
      <c r="J709" s="6" t="s">
        <v>102</v>
      </c>
      <c r="K709" s="6">
        <v>4.9988245560465795E-4</v>
      </c>
    </row>
    <row r="710" spans="1:11">
      <c r="A710">
        <v>20</v>
      </c>
      <c r="B710">
        <v>0</v>
      </c>
      <c r="C710">
        <f t="shared" si="84"/>
        <v>2.0986444076605136E-3</v>
      </c>
      <c r="D710">
        <f t="shared" si="85"/>
        <v>4.4043083498047482E-6</v>
      </c>
      <c r="J710" s="6" t="s">
        <v>103</v>
      </c>
      <c r="K710" s="6">
        <v>42994.873959407902</v>
      </c>
    </row>
    <row r="711" spans="1:11">
      <c r="A711">
        <v>40</v>
      </c>
      <c r="B711">
        <v>0</v>
      </c>
      <c r="C711">
        <f t="shared" si="84"/>
        <v>5.6828807995685029E-3</v>
      </c>
      <c r="D711">
        <f t="shared" si="85"/>
        <v>3.2295134182104347E-5</v>
      </c>
    </row>
    <row r="712" spans="1:11">
      <c r="A712">
        <v>50</v>
      </c>
      <c r="B712">
        <v>0</v>
      </c>
      <c r="C712">
        <f t="shared" si="84"/>
        <v>9.3339847454736394E-3</v>
      </c>
      <c r="D712">
        <f t="shared" si="85"/>
        <v>8.7123271228734607E-5</v>
      </c>
      <c r="F712" s="6" t="s">
        <v>100</v>
      </c>
      <c r="G712" s="6">
        <f>D724</f>
        <v>3.9099956690086032E-3</v>
      </c>
    </row>
    <row r="713" spans="1:11">
      <c r="A713">
        <v>60</v>
      </c>
      <c r="B713">
        <v>0</v>
      </c>
      <c r="C713">
        <f t="shared" si="84"/>
        <v>1.5294746005392976E-2</v>
      </c>
      <c r="D713">
        <f t="shared" si="85"/>
        <v>2.3392925536948439E-4</v>
      </c>
    </row>
    <row r="714" spans="1:11">
      <c r="A714">
        <v>70</v>
      </c>
      <c r="B714">
        <v>0</v>
      </c>
      <c r="C714">
        <f t="shared" si="84"/>
        <v>2.4966168154428474E-2</v>
      </c>
      <c r="D714">
        <f t="shared" si="85"/>
        <v>6.2330955231519852E-4</v>
      </c>
      <c r="J714" t="s">
        <v>105</v>
      </c>
      <c r="K714">
        <v>4</v>
      </c>
    </row>
    <row r="715" spans="1:11">
      <c r="A715">
        <v>80</v>
      </c>
      <c r="B715">
        <v>0.01</v>
      </c>
      <c r="C715">
        <f t="shared" si="84"/>
        <v>4.0501642313268485E-2</v>
      </c>
      <c r="D715">
        <f t="shared" si="85"/>
        <v>9.3035018380657037E-4</v>
      </c>
      <c r="J715" t="s">
        <v>12</v>
      </c>
      <c r="K715">
        <v>100</v>
      </c>
    </row>
    <row r="716" spans="1:11">
      <c r="A716">
        <v>100</v>
      </c>
      <c r="B716">
        <v>0.09</v>
      </c>
      <c r="C716">
        <f t="shared" si="84"/>
        <v>0.10290983412578501</v>
      </c>
      <c r="D716">
        <f t="shared" si="85"/>
        <v>1.6666381715528338E-4</v>
      </c>
      <c r="J716" t="s">
        <v>8</v>
      </c>
      <c r="K716">
        <v>12</v>
      </c>
    </row>
    <row r="717" spans="1:11">
      <c r="A717">
        <v>115</v>
      </c>
      <c r="B717">
        <v>0.21</v>
      </c>
      <c r="C717">
        <f t="shared" si="84"/>
        <v>0.19537123604968964</v>
      </c>
      <c r="D717">
        <f t="shared" si="85"/>
        <v>2.1400073471389961E-4</v>
      </c>
      <c r="J717" t="s">
        <v>106</v>
      </c>
      <c r="K717">
        <v>15</v>
      </c>
    </row>
    <row r="718" spans="1:11">
      <c r="A718">
        <v>130</v>
      </c>
      <c r="B718">
        <v>0.36</v>
      </c>
      <c r="C718">
        <f t="shared" si="84"/>
        <v>0.33947026092824312</v>
      </c>
      <c r="D718">
        <f t="shared" si="85"/>
        <v>4.2147018635442063E-4</v>
      </c>
      <c r="J718" t="s">
        <v>107</v>
      </c>
      <c r="K718">
        <v>2</v>
      </c>
    </row>
    <row r="719" spans="1:11">
      <c r="A719">
        <v>140</v>
      </c>
      <c r="B719">
        <v>0.46</v>
      </c>
      <c r="C719">
        <f t="shared" si="84"/>
        <v>0.45865131143240406</v>
      </c>
      <c r="D719">
        <f t="shared" si="85"/>
        <v>1.8189608523640344E-6</v>
      </c>
    </row>
    <row r="720" spans="1:11">
      <c r="A720">
        <v>165</v>
      </c>
      <c r="B720">
        <v>0.72</v>
      </c>
      <c r="C720">
        <f t="shared" si="84"/>
        <v>0.74723750617680651</v>
      </c>
      <c r="D720">
        <f t="shared" si="85"/>
        <v>7.4188174273157417E-4</v>
      </c>
    </row>
    <row r="721" spans="1:11">
      <c r="A721">
        <v>180</v>
      </c>
      <c r="B721">
        <v>0.88</v>
      </c>
      <c r="C721">
        <f t="shared" si="84"/>
        <v>0.86220862222436212</v>
      </c>
      <c r="D721">
        <f t="shared" si="85"/>
        <v>3.1653312315546166E-4</v>
      </c>
    </row>
    <row r="722" spans="1:11">
      <c r="A722">
        <v>185</v>
      </c>
      <c r="B722">
        <v>0.89</v>
      </c>
      <c r="C722">
        <f t="shared" si="84"/>
        <v>0.88930855537170428</v>
      </c>
      <c r="D722">
        <f t="shared" si="85"/>
        <v>4.7809567399902613E-7</v>
      </c>
    </row>
    <row r="723" spans="1:11">
      <c r="A723">
        <v>190</v>
      </c>
      <c r="B723">
        <v>0.9</v>
      </c>
      <c r="C723">
        <f t="shared" si="84"/>
        <v>0.91162494642330483</v>
      </c>
      <c r="D723">
        <f t="shared" si="85"/>
        <v>1.3513937934470717E-4</v>
      </c>
    </row>
    <row r="724" spans="1:11">
      <c r="D724">
        <f>SUM(D709:D723)</f>
        <v>3.9099956690086032E-3</v>
      </c>
    </row>
    <row r="729" spans="1:11" ht="16.8">
      <c r="A729" s="1" t="s">
        <v>144</v>
      </c>
    </row>
    <row r="730" spans="1:11">
      <c r="A730" t="s">
        <v>72</v>
      </c>
    </row>
    <row r="731" spans="1:11">
      <c r="A731" t="s">
        <v>29</v>
      </c>
      <c r="B731" t="s">
        <v>43</v>
      </c>
      <c r="C731" t="s">
        <v>99</v>
      </c>
      <c r="D731" t="s">
        <v>120</v>
      </c>
      <c r="E731" t="s">
        <v>137</v>
      </c>
    </row>
    <row r="732" spans="1:11">
      <c r="A732">
        <v>0</v>
      </c>
      <c r="B732">
        <v>0</v>
      </c>
      <c r="C732">
        <f t="shared" ref="C732:C746" si="86">(1/(1+EXP(($K$732*$K$733*$K$737/$K$739)-($K$732*$K$738*A732))))</f>
        <v>7.7357424225563034E-4</v>
      </c>
      <c r="D732">
        <f t="shared" ref="D732:D746" si="87">(B732-C732)^2</f>
        <v>5.9841710828137267E-7</v>
      </c>
      <c r="E732">
        <f t="shared" ref="E732:E746" si="88">ABS(B732-C732)</f>
        <v>7.7357424225563034E-4</v>
      </c>
      <c r="J732" s="6" t="s">
        <v>102</v>
      </c>
      <c r="K732" s="6">
        <v>5.0024089518772895E-4</v>
      </c>
    </row>
    <row r="733" spans="1:11">
      <c r="A733">
        <v>20</v>
      </c>
      <c r="B733">
        <v>0</v>
      </c>
      <c r="C733">
        <f t="shared" si="86"/>
        <v>2.1010113228033464E-3</v>
      </c>
      <c r="D733">
        <f t="shared" si="87"/>
        <v>4.4142485785478675E-6</v>
      </c>
      <c r="E733">
        <f t="shared" si="88"/>
        <v>2.1010113228033464E-3</v>
      </c>
      <c r="J733" s="6" t="s">
        <v>103</v>
      </c>
      <c r="K733" s="6">
        <v>42961.591738911899</v>
      </c>
    </row>
    <row r="734" spans="1:11">
      <c r="A734">
        <v>40</v>
      </c>
      <c r="B734">
        <v>0</v>
      </c>
      <c r="C734">
        <f t="shared" si="86"/>
        <v>5.6933238297086882E-3</v>
      </c>
      <c r="D734">
        <f t="shared" si="87"/>
        <v>3.2413936229928804E-5</v>
      </c>
      <c r="E734">
        <f t="shared" si="88"/>
        <v>5.6933238297086882E-3</v>
      </c>
    </row>
    <row r="735" spans="1:11">
      <c r="A735">
        <v>50</v>
      </c>
      <c r="B735">
        <v>0</v>
      </c>
      <c r="C735">
        <f t="shared" si="86"/>
        <v>9.3543950901757416E-3</v>
      </c>
      <c r="D735">
        <f t="shared" si="87"/>
        <v>8.7504707503104016E-5</v>
      </c>
      <c r="E735">
        <f t="shared" si="88"/>
        <v>9.3543950901757416E-3</v>
      </c>
      <c r="G735" s="6" t="s">
        <v>132</v>
      </c>
      <c r="H735" s="6">
        <f>E747</f>
        <v>0.19312187575198903</v>
      </c>
      <c r="J735" t="s">
        <v>104</v>
      </c>
      <c r="K735">
        <f>1-(D747/E747)</f>
        <v>1</v>
      </c>
    </row>
    <row r="736" spans="1:11">
      <c r="A736">
        <v>60</v>
      </c>
      <c r="B736">
        <v>0</v>
      </c>
      <c r="C736">
        <f t="shared" si="86"/>
        <v>1.5333399780865731E-2</v>
      </c>
      <c r="D736">
        <f t="shared" si="87"/>
        <v>2.3511314883985324E-4</v>
      </c>
      <c r="E736">
        <f t="shared" si="88"/>
        <v>1.5333399780865731E-2</v>
      </c>
    </row>
    <row r="737" spans="1:11">
      <c r="A737">
        <v>70</v>
      </c>
      <c r="B737">
        <v>0</v>
      </c>
      <c r="C737">
        <f t="shared" si="86"/>
        <v>2.5037391063450647E-2</v>
      </c>
      <c r="D737">
        <f t="shared" si="87"/>
        <v>6.2687095126415834E-4</v>
      </c>
      <c r="E737">
        <f t="shared" si="88"/>
        <v>2.5037391063450647E-2</v>
      </c>
      <c r="J737" t="s">
        <v>105</v>
      </c>
      <c r="K737">
        <v>4</v>
      </c>
    </row>
    <row r="738" spans="1:11">
      <c r="A738">
        <v>80</v>
      </c>
      <c r="B738">
        <v>0.01</v>
      </c>
      <c r="C738">
        <f t="shared" si="86"/>
        <v>4.0629307493987833E-2</v>
      </c>
      <c r="D738">
        <f t="shared" si="87"/>
        <v>9.3815447756125916E-4</v>
      </c>
      <c r="E738">
        <f t="shared" si="88"/>
        <v>3.0629307493987831E-2</v>
      </c>
      <c r="J738" t="s">
        <v>12</v>
      </c>
      <c r="K738">
        <v>100</v>
      </c>
    </row>
    <row r="739" spans="1:11">
      <c r="A739">
        <v>100</v>
      </c>
      <c r="B739">
        <v>0.09</v>
      </c>
      <c r="C739">
        <f t="shared" si="86"/>
        <v>0.1032794286083281</v>
      </c>
      <c r="D739">
        <f t="shared" si="87"/>
        <v>1.7634322416368293E-4</v>
      </c>
      <c r="E739">
        <f t="shared" si="88"/>
        <v>1.3279428608328106E-2</v>
      </c>
      <c r="J739" t="s">
        <v>8</v>
      </c>
      <c r="K739">
        <v>12</v>
      </c>
    </row>
    <row r="740" spans="1:11">
      <c r="A740">
        <v>115</v>
      </c>
      <c r="B740">
        <v>0.21</v>
      </c>
      <c r="C740">
        <f t="shared" si="86"/>
        <v>0.19608508850364306</v>
      </c>
      <c r="D740">
        <f t="shared" si="87"/>
        <v>1.9362476195144626E-4</v>
      </c>
      <c r="E740">
        <f t="shared" si="88"/>
        <v>1.391491149635693E-2</v>
      </c>
      <c r="J740" t="s">
        <v>106</v>
      </c>
      <c r="K740">
        <v>15</v>
      </c>
    </row>
    <row r="741" spans="1:11">
      <c r="A741">
        <v>130</v>
      </c>
      <c r="B741">
        <v>0.36</v>
      </c>
      <c r="C741">
        <f t="shared" si="86"/>
        <v>0.34060857117175863</v>
      </c>
      <c r="D741">
        <f t="shared" si="87"/>
        <v>3.7602751200074982E-4</v>
      </c>
      <c r="E741">
        <f t="shared" si="88"/>
        <v>1.9391428828241353E-2</v>
      </c>
      <c r="J741" t="s">
        <v>107</v>
      </c>
      <c r="K741">
        <v>2</v>
      </c>
    </row>
    <row r="742" spans="1:11">
      <c r="A742">
        <v>140</v>
      </c>
      <c r="B742">
        <v>0.46</v>
      </c>
      <c r="C742">
        <f t="shared" si="86"/>
        <v>0.46000003626202229</v>
      </c>
      <c r="D742">
        <f t="shared" si="87"/>
        <v>1.3149342593857878E-15</v>
      </c>
      <c r="E742">
        <f t="shared" si="88"/>
        <v>3.6262022273803041E-8</v>
      </c>
    </row>
    <row r="743" spans="1:11">
      <c r="A743">
        <v>165</v>
      </c>
      <c r="B743">
        <v>0.72</v>
      </c>
      <c r="C743">
        <f t="shared" si="86"/>
        <v>0.74843062803419125</v>
      </c>
      <c r="D743">
        <f t="shared" si="87"/>
        <v>8.0830061041854283E-4</v>
      </c>
      <c r="E743">
        <f t="shared" si="88"/>
        <v>2.8430628034191274E-2</v>
      </c>
    </row>
    <row r="744" spans="1:11">
      <c r="A744">
        <v>180</v>
      </c>
      <c r="B744">
        <v>0.88</v>
      </c>
      <c r="C744">
        <f t="shared" si="86"/>
        <v>0.86302214450870618</v>
      </c>
      <c r="D744">
        <f t="shared" si="87"/>
        <v>2.882475770832559E-4</v>
      </c>
      <c r="E744">
        <f t="shared" si="88"/>
        <v>1.6977855491293825E-2</v>
      </c>
    </row>
    <row r="745" spans="1:11">
      <c r="A745">
        <v>185</v>
      </c>
      <c r="B745">
        <v>0.89</v>
      </c>
      <c r="C745">
        <f t="shared" si="86"/>
        <v>0.89000004183444537</v>
      </c>
      <c r="D745">
        <f t="shared" si="87"/>
        <v>1.7501208179369966E-15</v>
      </c>
      <c r="E745">
        <f t="shared" si="88"/>
        <v>4.1834445352328942E-8</v>
      </c>
    </row>
    <row r="746" spans="1:11">
      <c r="A746">
        <v>190</v>
      </c>
      <c r="B746">
        <v>0.9</v>
      </c>
      <c r="C746">
        <f t="shared" si="86"/>
        <v>0.9122051423738623</v>
      </c>
      <c r="D746">
        <f t="shared" si="87"/>
        <v>1.489655003662485E-4</v>
      </c>
      <c r="E746">
        <f t="shared" si="88"/>
        <v>1.2205142373862277E-2</v>
      </c>
    </row>
    <row r="747" spans="1:11">
      <c r="E747">
        <f>SUM(E732:E746)</f>
        <v>0.19312187575198903</v>
      </c>
    </row>
    <row r="748" spans="1:11">
      <c r="C748" s="6" t="s">
        <v>148</v>
      </c>
      <c r="D748" s="6">
        <f>SUM(D732:D747)</f>
        <v>3.9165790730721246E-3</v>
      </c>
    </row>
    <row r="753" spans="1:11" ht="16.8">
      <c r="A753" s="10" t="s">
        <v>141</v>
      </c>
    </row>
    <row r="754" spans="1:11">
      <c r="A754" t="s">
        <v>72</v>
      </c>
    </row>
    <row r="755" spans="1:11">
      <c r="A755" t="s">
        <v>29</v>
      </c>
      <c r="B755" t="s">
        <v>43</v>
      </c>
      <c r="C755" t="s">
        <v>99</v>
      </c>
      <c r="D755" t="s">
        <v>120</v>
      </c>
      <c r="E755" t="s">
        <v>119</v>
      </c>
    </row>
    <row r="756" spans="1:11">
      <c r="A756">
        <v>0</v>
      </c>
      <c r="B756">
        <v>0</v>
      </c>
      <c r="C756">
        <f t="shared" ref="C756:C770" si="89">(1/(1+EXP(($K$756*$K$757*$K$761/$K$763)-($K$756*$K$762*A756))))</f>
        <v>2.5610559130619985E-5</v>
      </c>
      <c r="D756">
        <f>(B756-C756)^2</f>
        <v>6.5590073898298264E-10</v>
      </c>
      <c r="E756">
        <v>0</v>
      </c>
      <c r="J756" s="6" t="s">
        <v>102</v>
      </c>
      <c r="K756" s="6">
        <v>7.7040072153826498E-4</v>
      </c>
    </row>
    <row r="757" spans="1:11">
      <c r="A757">
        <v>20</v>
      </c>
      <c r="B757">
        <v>0</v>
      </c>
      <c r="C757">
        <f t="shared" si="89"/>
        <v>1.1954731470796342E-4</v>
      </c>
      <c r="D757">
        <f t="shared" ref="D757:D770" si="90">(B757-C757)^2</f>
        <v>1.4291560453884848E-8</v>
      </c>
      <c r="E757">
        <v>0</v>
      </c>
      <c r="J757" s="6" t="s">
        <v>103</v>
      </c>
      <c r="K757" s="6">
        <v>41170.055734692498</v>
      </c>
    </row>
    <row r="758" spans="1:11">
      <c r="A758">
        <v>40</v>
      </c>
      <c r="B758">
        <v>0</v>
      </c>
      <c r="C758">
        <f t="shared" si="89"/>
        <v>5.5784170100148245E-4</v>
      </c>
      <c r="D758">
        <f t="shared" si="90"/>
        <v>3.1118736337622735E-7</v>
      </c>
      <c r="E758">
        <v>0</v>
      </c>
    </row>
    <row r="759" spans="1:11">
      <c r="A759">
        <v>50</v>
      </c>
      <c r="B759">
        <v>0</v>
      </c>
      <c r="C759">
        <f t="shared" si="89"/>
        <v>1.2045107108124037E-3</v>
      </c>
      <c r="D759">
        <f t="shared" si="90"/>
        <v>1.4508460524618021E-6</v>
      </c>
      <c r="E759">
        <v>0</v>
      </c>
    </row>
    <row r="760" spans="1:11">
      <c r="A760">
        <v>60</v>
      </c>
      <c r="B760">
        <v>0</v>
      </c>
      <c r="C760">
        <f t="shared" si="89"/>
        <v>2.5988710511651168E-3</v>
      </c>
      <c r="D760">
        <f t="shared" si="90"/>
        <v>6.7541307405840796E-6</v>
      </c>
      <c r="E760">
        <v>0</v>
      </c>
      <c r="G760" s="6" t="s">
        <v>121</v>
      </c>
      <c r="H760" s="6">
        <f>(100)*(1/13)^(0.5)*(F767)^(0.5)</f>
        <v>1.5657952032139917</v>
      </c>
    </row>
    <row r="761" spans="1:11">
      <c r="A761">
        <v>70</v>
      </c>
      <c r="B761">
        <v>0</v>
      </c>
      <c r="C761">
        <f t="shared" si="89"/>
        <v>5.5983172894344809E-3</v>
      </c>
      <c r="D761">
        <f t="shared" si="90"/>
        <v>3.1341156473181035E-5</v>
      </c>
      <c r="E761">
        <v>0</v>
      </c>
      <c r="J761" t="s">
        <v>105</v>
      </c>
      <c r="K761">
        <v>4</v>
      </c>
    </row>
    <row r="762" spans="1:11">
      <c r="A762">
        <v>80</v>
      </c>
      <c r="B762">
        <v>0.01</v>
      </c>
      <c r="C762">
        <f t="shared" si="89"/>
        <v>1.2017816088853628E-2</v>
      </c>
      <c r="D762">
        <f t="shared" si="90"/>
        <v>4.0715817684365524E-6</v>
      </c>
      <c r="E762">
        <f>((B762-C762)/B762)^2</f>
        <v>4.0715817684365517E-2</v>
      </c>
      <c r="J762" t="s">
        <v>12</v>
      </c>
      <c r="K762">
        <v>100</v>
      </c>
    </row>
    <row r="763" spans="1:11">
      <c r="A763">
        <v>100</v>
      </c>
      <c r="B763">
        <v>0.09</v>
      </c>
      <c r="C763">
        <f t="shared" si="89"/>
        <v>5.3734242334370817E-2</v>
      </c>
      <c r="D763">
        <f t="shared" si="90"/>
        <v>1.3152051790621415E-3</v>
      </c>
      <c r="E763">
        <f t="shared" ref="E763:E770" si="91">((B763-C763)/B763)^2</f>
        <v>0.16237100976075824</v>
      </c>
      <c r="J763" t="s">
        <v>8</v>
      </c>
      <c r="K763">
        <v>12</v>
      </c>
    </row>
    <row r="764" spans="1:11">
      <c r="A764">
        <v>115</v>
      </c>
      <c r="B764">
        <v>0.21</v>
      </c>
      <c r="C764">
        <f t="shared" si="89"/>
        <v>0.15279158588392755</v>
      </c>
      <c r="D764">
        <f t="shared" si="90"/>
        <v>3.2728026456760365E-3</v>
      </c>
      <c r="E764">
        <f t="shared" si="91"/>
        <v>7.4213211920091546E-2</v>
      </c>
      <c r="J764" t="s">
        <v>106</v>
      </c>
      <c r="K764">
        <v>15</v>
      </c>
    </row>
    <row r="765" spans="1:11">
      <c r="A765">
        <v>130</v>
      </c>
      <c r="B765">
        <v>0.36</v>
      </c>
      <c r="C765">
        <f t="shared" si="89"/>
        <v>0.36417917078991563</v>
      </c>
      <c r="D765">
        <f t="shared" si="90"/>
        <v>1.7465468491284137E-5</v>
      </c>
      <c r="E765">
        <f t="shared" si="91"/>
        <v>1.3476441737101961E-4</v>
      </c>
      <c r="J765" t="s">
        <v>107</v>
      </c>
      <c r="K765">
        <v>2</v>
      </c>
    </row>
    <row r="766" spans="1:11">
      <c r="A766">
        <v>140</v>
      </c>
      <c r="B766">
        <v>0.46</v>
      </c>
      <c r="C766">
        <f t="shared" si="89"/>
        <v>0.55308169025859455</v>
      </c>
      <c r="D766">
        <f t="shared" si="90"/>
        <v>8.6642010613969325E-3</v>
      </c>
      <c r="E766">
        <f t="shared" si="91"/>
        <v>4.0946129779758651E-2</v>
      </c>
    </row>
    <row r="767" spans="1:11">
      <c r="A767">
        <v>165</v>
      </c>
      <c r="B767">
        <v>0.72</v>
      </c>
      <c r="C767">
        <f t="shared" si="89"/>
        <v>0.89464879835497402</v>
      </c>
      <c r="D767">
        <f t="shared" si="90"/>
        <v>3.0502202766836385E-2</v>
      </c>
      <c r="E767">
        <f t="shared" si="91"/>
        <v>5.8839125707631924E-2</v>
      </c>
      <c r="F767">
        <f>D772/B771^2</f>
        <v>3.1872290039303293E-3</v>
      </c>
    </row>
    <row r="768" spans="1:11">
      <c r="A768">
        <v>180</v>
      </c>
      <c r="B768">
        <v>0.88</v>
      </c>
      <c r="C768">
        <f t="shared" si="89"/>
        <v>0.96424767118032384</v>
      </c>
      <c r="D768">
        <f t="shared" si="90"/>
        <v>7.0976700993079676E-3</v>
      </c>
      <c r="E768">
        <f t="shared" si="91"/>
        <v>9.1653797769989248E-3</v>
      </c>
    </row>
    <row r="769" spans="1:11">
      <c r="A769">
        <v>185</v>
      </c>
      <c r="B769">
        <v>0.89</v>
      </c>
      <c r="C769">
        <f t="shared" si="89"/>
        <v>0.97539596694966146</v>
      </c>
      <c r="D769">
        <f t="shared" si="90"/>
        <v>7.2924711712676711E-3</v>
      </c>
      <c r="E769">
        <f t="shared" si="91"/>
        <v>9.206503183016879E-3</v>
      </c>
    </row>
    <row r="770" spans="1:11">
      <c r="A770">
        <v>190</v>
      </c>
      <c r="B770">
        <v>0.9</v>
      </c>
      <c r="C770">
        <f t="shared" si="89"/>
        <v>0.98312882291961423</v>
      </c>
      <c r="D770">
        <f t="shared" si="90"/>
        <v>6.9104012000005769E-3</v>
      </c>
      <c r="E770">
        <f t="shared" si="91"/>
        <v>8.5313595061735515E-3</v>
      </c>
    </row>
    <row r="771" spans="1:11">
      <c r="B771">
        <f>SUM(B756:B770)</f>
        <v>4.5200000000000005</v>
      </c>
      <c r="E771">
        <f>SUM(E756:E770)</f>
        <v>0.40412330173616628</v>
      </c>
    </row>
    <row r="772" spans="1:11">
      <c r="C772" t="s">
        <v>149</v>
      </c>
      <c r="D772">
        <f>SUM(D756:D771)</f>
        <v>6.5116363441898223E-2</v>
      </c>
    </row>
    <row r="776" spans="1:11" ht="16.8">
      <c r="A776" s="1" t="s">
        <v>125</v>
      </c>
    </row>
    <row r="777" spans="1:11">
      <c r="A777" t="s">
        <v>72</v>
      </c>
    </row>
    <row r="778" spans="1:11">
      <c r="A778" t="s">
        <v>29</v>
      </c>
      <c r="B778" t="s">
        <v>43</v>
      </c>
      <c r="C778" t="s">
        <v>99</v>
      </c>
      <c r="D778" t="s">
        <v>120</v>
      </c>
      <c r="E778" t="s">
        <v>119</v>
      </c>
    </row>
    <row r="779" spans="1:11">
      <c r="A779">
        <v>0</v>
      </c>
      <c r="B779">
        <v>0</v>
      </c>
      <c r="C779">
        <f t="shared" ref="C779:C793" si="92">(1/(1+EXP(($K$779*$K$780*$K$784/$K$786)-($K$779*$K$785*A779))))</f>
        <v>2.2754679054278937E-4</v>
      </c>
      <c r="D779">
        <f t="shared" ref="D779:D793" si="93">(B779-C779)^2</f>
        <v>5.1777541886324058E-8</v>
      </c>
      <c r="E779">
        <v>0</v>
      </c>
      <c r="J779" s="6" t="s">
        <v>102</v>
      </c>
      <c r="K779" s="6">
        <v>5.8894255229343805E-4</v>
      </c>
    </row>
    <row r="780" spans="1:11">
      <c r="A780">
        <v>20</v>
      </c>
      <c r="B780">
        <v>0</v>
      </c>
      <c r="C780">
        <f t="shared" si="92"/>
        <v>7.3858021443498514E-4</v>
      </c>
      <c r="D780">
        <f t="shared" si="93"/>
        <v>5.4550073315482864E-7</v>
      </c>
      <c r="E780">
        <v>0</v>
      </c>
      <c r="J780" s="6" t="s">
        <v>103</v>
      </c>
      <c r="K780" s="6">
        <v>42727.055784939897</v>
      </c>
    </row>
    <row r="781" spans="1:11">
      <c r="A781">
        <v>40</v>
      </c>
      <c r="B781">
        <v>0</v>
      </c>
      <c r="C781">
        <f t="shared" si="92"/>
        <v>2.3945634957630029E-3</v>
      </c>
      <c r="D781">
        <f t="shared" si="93"/>
        <v>5.7339343352407327E-6</v>
      </c>
      <c r="E781">
        <v>0</v>
      </c>
      <c r="G781" s="6" t="s">
        <v>134</v>
      </c>
      <c r="H781" s="6">
        <f>(100/12)*E794</f>
        <v>0.39479743862004518</v>
      </c>
    </row>
    <row r="782" spans="1:11">
      <c r="A782">
        <v>50</v>
      </c>
      <c r="B782">
        <v>0</v>
      </c>
      <c r="C782">
        <f t="shared" si="92"/>
        <v>4.3069272565491859E-3</v>
      </c>
      <c r="D782">
        <f t="shared" si="93"/>
        <v>1.8549622393206297E-5</v>
      </c>
      <c r="E782">
        <v>0</v>
      </c>
      <c r="J782" t="s">
        <v>104</v>
      </c>
      <c r="K782">
        <f>1-(D794/E794)</f>
        <v>1</v>
      </c>
    </row>
    <row r="783" spans="1:11">
      <c r="A783">
        <v>60</v>
      </c>
      <c r="B783">
        <v>0</v>
      </c>
      <c r="C783">
        <f t="shared" si="92"/>
        <v>7.7347155873450672E-3</v>
      </c>
      <c r="D783">
        <f t="shared" si="93"/>
        <v>5.982582521711875E-5</v>
      </c>
      <c r="E783">
        <v>0</v>
      </c>
    </row>
    <row r="784" spans="1:11">
      <c r="A784">
        <v>70</v>
      </c>
      <c r="B784">
        <v>0</v>
      </c>
      <c r="C784">
        <f t="shared" si="92"/>
        <v>1.3852650085908727E-2</v>
      </c>
      <c r="D784">
        <f t="shared" si="93"/>
        <v>1.9189591440262708E-4</v>
      </c>
      <c r="E784">
        <v>0</v>
      </c>
      <c r="J784" t="s">
        <v>105</v>
      </c>
      <c r="K784">
        <v>4</v>
      </c>
    </row>
    <row r="785" spans="1:11">
      <c r="A785">
        <v>80</v>
      </c>
      <c r="B785">
        <v>0.01</v>
      </c>
      <c r="C785">
        <f t="shared" si="92"/>
        <v>2.4689286961560322E-2</v>
      </c>
      <c r="D785">
        <f t="shared" si="93"/>
        <v>2.1577515143906607E-4</v>
      </c>
      <c r="E785">
        <f t="shared" ref="E785:E793" si="94">(B785-C785)^2/B785</f>
        <v>2.1577515143906607E-2</v>
      </c>
      <c r="J785" t="s">
        <v>12</v>
      </c>
      <c r="K785">
        <v>100</v>
      </c>
    </row>
    <row r="786" spans="1:11">
      <c r="A786">
        <v>100</v>
      </c>
      <c r="B786">
        <v>0.09</v>
      </c>
      <c r="C786">
        <f t="shared" si="92"/>
        <v>7.5963292149737099E-2</v>
      </c>
      <c r="D786">
        <f t="shared" si="93"/>
        <v>1.9702916727363205E-4</v>
      </c>
      <c r="E786">
        <f t="shared" si="94"/>
        <v>2.1892129697070229E-3</v>
      </c>
      <c r="J786" t="s">
        <v>8</v>
      </c>
      <c r="K786">
        <v>12</v>
      </c>
    </row>
    <row r="787" spans="1:11">
      <c r="A787">
        <v>115</v>
      </c>
      <c r="B787">
        <v>0.21</v>
      </c>
      <c r="C787">
        <f t="shared" si="92"/>
        <v>0.16588344495232038</v>
      </c>
      <c r="D787">
        <f t="shared" si="93"/>
        <v>1.9462704292749454E-3</v>
      </c>
      <c r="E787">
        <f t="shared" si="94"/>
        <v>9.2679544251187875E-3</v>
      </c>
      <c r="J787" t="s">
        <v>106</v>
      </c>
      <c r="K787">
        <v>15</v>
      </c>
    </row>
    <row r="788" spans="1:11">
      <c r="A788">
        <v>130</v>
      </c>
      <c r="B788">
        <v>0.36</v>
      </c>
      <c r="C788">
        <f t="shared" si="92"/>
        <v>0.32482750571987834</v>
      </c>
      <c r="D788">
        <f t="shared" si="93"/>
        <v>1.23710435388519E-3</v>
      </c>
      <c r="E788">
        <f t="shared" si="94"/>
        <v>3.4364009830144169E-3</v>
      </c>
      <c r="J788" t="s">
        <v>107</v>
      </c>
      <c r="K788">
        <v>2</v>
      </c>
    </row>
    <row r="789" spans="1:11">
      <c r="A789">
        <v>140</v>
      </c>
      <c r="B789">
        <v>0.46</v>
      </c>
      <c r="C789">
        <f t="shared" si="92"/>
        <v>0.46437761432795344</v>
      </c>
      <c r="D789">
        <f t="shared" si="93"/>
        <v>1.9163507204303042E-5</v>
      </c>
      <c r="E789">
        <f t="shared" si="94"/>
        <v>4.1659798270224E-5</v>
      </c>
      <c r="H789" s="6" t="s">
        <v>150</v>
      </c>
      <c r="I789" s="6">
        <f>D795</f>
        <v>1.2392271758724404E-2</v>
      </c>
    </row>
    <row r="790" spans="1:11">
      <c r="A790">
        <v>165</v>
      </c>
      <c r="B790">
        <v>0.72</v>
      </c>
      <c r="C790">
        <f t="shared" si="92"/>
        <v>0.79077860152330814</v>
      </c>
      <c r="D790">
        <f t="shared" si="93"/>
        <v>5.0096104335952416E-3</v>
      </c>
      <c r="E790">
        <f t="shared" si="94"/>
        <v>6.9577922688822801E-3</v>
      </c>
    </row>
    <row r="791" spans="1:11">
      <c r="A791">
        <v>180</v>
      </c>
      <c r="B791">
        <v>0.88</v>
      </c>
      <c r="C791">
        <f t="shared" si="92"/>
        <v>0.90141430820082258</v>
      </c>
      <c r="D791">
        <f t="shared" si="93"/>
        <v>4.5857259571981693E-4</v>
      </c>
      <c r="E791">
        <f t="shared" si="94"/>
        <v>5.2110522240888287E-4</v>
      </c>
    </row>
    <row r="792" spans="1:11">
      <c r="A792">
        <v>185</v>
      </c>
      <c r="B792">
        <v>0.89</v>
      </c>
      <c r="C792">
        <f t="shared" si="92"/>
        <v>0.92466663326581477</v>
      </c>
      <c r="D792">
        <f t="shared" si="93"/>
        <v>1.2017754619864946E-3</v>
      </c>
      <c r="E792">
        <f t="shared" si="94"/>
        <v>1.3503095078499939E-3</v>
      </c>
    </row>
    <row r="793" spans="1:11">
      <c r="A793">
        <v>190</v>
      </c>
      <c r="B793">
        <v>0.9</v>
      </c>
      <c r="C793">
        <f t="shared" si="92"/>
        <v>0.94278280126081604</v>
      </c>
      <c r="D793">
        <f t="shared" si="93"/>
        <v>1.8303680837224805E-3</v>
      </c>
      <c r="E793">
        <f t="shared" si="94"/>
        <v>2.0337423152472006E-3</v>
      </c>
    </row>
    <row r="794" spans="1:11">
      <c r="E794">
        <f>SUM(E779:E793)</f>
        <v>4.7375692634405421E-2</v>
      </c>
    </row>
    <row r="795" spans="1:11">
      <c r="D795">
        <f>SUM(D779:D794)</f>
        <v>1.2392271758724404E-2</v>
      </c>
    </row>
    <row r="801" spans="1:5" ht="15.6">
      <c r="A801" s="4" t="s">
        <v>151</v>
      </c>
      <c r="B801" s="4"/>
      <c r="C801" s="4"/>
      <c r="D801" s="4"/>
      <c r="E801" s="4"/>
    </row>
    <row r="802" spans="1:5" ht="15.6">
      <c r="A802" s="4" t="s">
        <v>152</v>
      </c>
      <c r="B802" s="4"/>
      <c r="C802" s="4"/>
      <c r="D802" s="4"/>
      <c r="E802" s="4"/>
    </row>
    <row r="803" spans="1:5" ht="18">
      <c r="A803" s="21" t="s">
        <v>153</v>
      </c>
      <c r="B803" s="21" t="s">
        <v>280</v>
      </c>
      <c r="C803" s="21" t="s">
        <v>155</v>
      </c>
      <c r="D803" s="21" t="s">
        <v>156</v>
      </c>
    </row>
    <row r="804" spans="1:5" ht="15.6">
      <c r="A804" s="4" t="s">
        <v>100</v>
      </c>
      <c r="B804" s="4">
        <v>3.5300000000000002E-4</v>
      </c>
      <c r="C804" s="4">
        <v>21278.27</v>
      </c>
      <c r="D804" s="4">
        <v>2.8989000000000001E-2</v>
      </c>
    </row>
    <row r="805" spans="1:5" ht="15.6">
      <c r="A805" s="4" t="s">
        <v>157</v>
      </c>
      <c r="B805" s="4">
        <v>5.4699999999999996E-4</v>
      </c>
      <c r="C805" s="4">
        <v>20790.349999999999</v>
      </c>
      <c r="D805" s="4">
        <v>1.377354</v>
      </c>
    </row>
    <row r="806" spans="1:5" ht="15.6">
      <c r="A806" s="4" t="s">
        <v>121</v>
      </c>
      <c r="B806" s="4">
        <v>3.5300000000000002E-4</v>
      </c>
      <c r="C806" s="4">
        <v>21265.040000000001</v>
      </c>
      <c r="D806" s="4">
        <v>4.9150580000000001</v>
      </c>
    </row>
    <row r="807" spans="1:5" ht="15.6">
      <c r="A807" s="4" t="s">
        <v>129</v>
      </c>
      <c r="B807" s="4">
        <v>3.2000000000000003E-4</v>
      </c>
      <c r="C807" s="4">
        <v>20839.59</v>
      </c>
      <c r="D807" s="4">
        <v>0.109532</v>
      </c>
    </row>
    <row r="808" spans="1:5" ht="15.6">
      <c r="A808" s="4" t="s">
        <v>132</v>
      </c>
      <c r="B808" s="4">
        <v>3.3399999999999999E-4</v>
      </c>
      <c r="C808" s="4">
        <v>20930.28</v>
      </c>
      <c r="D808" s="4">
        <v>0.55776999999999999</v>
      </c>
    </row>
    <row r="809" spans="1:5" ht="15.6">
      <c r="A809" s="4" t="s">
        <v>6</v>
      </c>
      <c r="B809" s="4">
        <v>4.0000000000000002E-4</v>
      </c>
      <c r="C809" s="4">
        <v>21265.040000000001</v>
      </c>
      <c r="D809" s="4">
        <v>0.98570000000000002</v>
      </c>
    </row>
    <row r="811" spans="1:5" ht="15.6">
      <c r="A811" s="4" t="s">
        <v>158</v>
      </c>
      <c r="B811" s="4"/>
      <c r="C811" s="4"/>
      <c r="D811" s="4"/>
    </row>
    <row r="812" spans="1:5" ht="18">
      <c r="A812" s="21" t="s">
        <v>153</v>
      </c>
      <c r="B812" s="21" t="s">
        <v>154</v>
      </c>
      <c r="C812" s="21" t="s">
        <v>155</v>
      </c>
      <c r="D812" s="21" t="s">
        <v>156</v>
      </c>
    </row>
    <row r="813" spans="1:5" ht="15.6">
      <c r="A813" s="4" t="s">
        <v>100</v>
      </c>
      <c r="B813" s="4">
        <v>2.9999999999999997E-4</v>
      </c>
      <c r="C813" s="4">
        <v>20138.099999999999</v>
      </c>
      <c r="D813" s="4">
        <v>1.8423999999999999E-2</v>
      </c>
    </row>
    <row r="814" spans="1:5" ht="15.6">
      <c r="A814" s="4" t="s">
        <v>157</v>
      </c>
      <c r="B814" s="4">
        <v>4.1899999999999999E-4</v>
      </c>
      <c r="C814" s="4">
        <v>20077.5</v>
      </c>
      <c r="D814" s="4">
        <v>0.93244400000000005</v>
      </c>
    </row>
    <row r="815" spans="1:5" ht="15.6">
      <c r="A815" s="4" t="s">
        <v>121</v>
      </c>
      <c r="B815" s="4">
        <v>5.6099999999999998E-4</v>
      </c>
      <c r="C815" s="4">
        <v>19348.990000000002</v>
      </c>
      <c r="D815" s="4">
        <v>17.643609999999999</v>
      </c>
    </row>
    <row r="816" spans="1:5" ht="15.6">
      <c r="A816" s="4" t="s">
        <v>129</v>
      </c>
      <c r="B816" s="4">
        <v>4.2000000000000002E-4</v>
      </c>
      <c r="C816" s="4">
        <v>20077.5</v>
      </c>
      <c r="D816" s="4">
        <v>2.9070999999999998</v>
      </c>
    </row>
    <row r="817" spans="1:4" ht="15.6">
      <c r="A817" s="4" t="s">
        <v>132</v>
      </c>
      <c r="B817" s="4">
        <v>2.9100000000000003E-4</v>
      </c>
      <c r="C817" s="4">
        <v>19921.330000000002</v>
      </c>
      <c r="D817" s="4">
        <v>0.44692500000000002</v>
      </c>
    </row>
    <row r="818" spans="1:4" ht="15.6">
      <c r="A818" s="4" t="s">
        <v>6</v>
      </c>
      <c r="B818" s="4">
        <v>2.9999999999999997E-4</v>
      </c>
      <c r="C818" s="4">
        <v>20135.919999999998</v>
      </c>
      <c r="D818" s="4">
        <v>0.99229999999999996</v>
      </c>
    </row>
    <row r="819" spans="1:4" ht="15.6">
      <c r="A819" s="4"/>
      <c r="B819" s="4"/>
      <c r="C819" s="4"/>
      <c r="D819" s="4"/>
    </row>
    <row r="820" spans="1:4" ht="15.6">
      <c r="A820" s="4" t="s">
        <v>159</v>
      </c>
      <c r="B820" s="4">
        <v>4.0000000000000002E-4</v>
      </c>
      <c r="C820" s="4">
        <v>2116.63</v>
      </c>
      <c r="D820" s="4">
        <v>0.99970000000000003</v>
      </c>
    </row>
    <row r="821" spans="1:4" ht="15.6">
      <c r="A821" s="4"/>
      <c r="B821" s="4"/>
      <c r="C821" s="4"/>
      <c r="D821" s="4"/>
    </row>
    <row r="822" spans="1:4" ht="15.6">
      <c r="A822" s="4"/>
      <c r="B822" s="4"/>
      <c r="C822" s="4"/>
      <c r="D822" s="4"/>
    </row>
    <row r="823" spans="1:4" ht="15.6">
      <c r="A823" s="4" t="s">
        <v>160</v>
      </c>
      <c r="B823" s="4"/>
      <c r="C823" s="4"/>
      <c r="D823" s="4"/>
    </row>
    <row r="824" spans="1:4" ht="18">
      <c r="A824" s="21" t="s">
        <v>153</v>
      </c>
      <c r="B824" s="21" t="s">
        <v>154</v>
      </c>
      <c r="C824" s="21" t="s">
        <v>155</v>
      </c>
      <c r="D824" s="21" t="s">
        <v>156</v>
      </c>
    </row>
    <row r="825" spans="1:4" ht="15.6">
      <c r="A825" s="4" t="s">
        <v>100</v>
      </c>
      <c r="B825" s="4">
        <v>2.7500000000000002E-4</v>
      </c>
      <c r="C825" s="4">
        <v>24331.89</v>
      </c>
      <c r="D825" s="4">
        <v>5.4660000000000004E-3</v>
      </c>
    </row>
    <row r="826" spans="1:4" ht="15.6">
      <c r="A826" s="4" t="s">
        <v>157</v>
      </c>
      <c r="B826" s="4">
        <v>3.3799999999999998E-4</v>
      </c>
      <c r="C826" s="4">
        <v>24564.11</v>
      </c>
      <c r="D826" s="4">
        <v>0.291159</v>
      </c>
    </row>
    <row r="827" spans="1:4" ht="15.6">
      <c r="A827" s="4" t="s">
        <v>121</v>
      </c>
      <c r="B827" s="4">
        <v>2.02E-4</v>
      </c>
      <c r="C827" s="4">
        <v>17913.63</v>
      </c>
      <c r="D827" s="4">
        <v>70.234030000000004</v>
      </c>
    </row>
    <row r="828" spans="1:4" ht="15.6">
      <c r="A828" s="4" t="s">
        <v>129</v>
      </c>
      <c r="B828" s="4">
        <v>3.4000000000000002E-4</v>
      </c>
      <c r="C828" s="4">
        <v>24564.1</v>
      </c>
      <c r="D828" s="4">
        <v>15.8353</v>
      </c>
    </row>
    <row r="829" spans="1:4" ht="15.6">
      <c r="A829" s="4" t="s">
        <v>132</v>
      </c>
      <c r="B829" s="4">
        <v>2.7700000000000001E-4</v>
      </c>
      <c r="C829" s="4">
        <v>24224.85</v>
      </c>
      <c r="D829" s="4">
        <v>0.19500700000000001</v>
      </c>
    </row>
    <row r="830" spans="1:4" ht="15.6">
      <c r="A830" s="4" t="s">
        <v>6</v>
      </c>
      <c r="B830" s="4">
        <v>2.9999999999999997E-4</v>
      </c>
      <c r="C830" s="4">
        <v>24331.61</v>
      </c>
      <c r="D830" s="4">
        <v>0.998</v>
      </c>
    </row>
    <row r="831" spans="1:4" ht="15.6">
      <c r="A831" s="4"/>
      <c r="B831" s="4"/>
      <c r="C831" s="4"/>
      <c r="D831" s="4"/>
    </row>
    <row r="832" spans="1:4" ht="15.6">
      <c r="A832" s="4"/>
      <c r="B832" s="4"/>
      <c r="C832" s="4"/>
      <c r="D832" s="4"/>
    </row>
    <row r="833" spans="1:4" ht="15.6">
      <c r="A833" s="4" t="s">
        <v>161</v>
      </c>
      <c r="B833" s="4"/>
      <c r="C833" s="4"/>
      <c r="D833" s="4"/>
    </row>
    <row r="834" spans="1:4" ht="18">
      <c r="A834" s="21" t="s">
        <v>153</v>
      </c>
      <c r="B834" s="21" t="s">
        <v>154</v>
      </c>
      <c r="C834" s="21" t="s">
        <v>155</v>
      </c>
      <c r="D834" s="21" t="s">
        <v>156</v>
      </c>
    </row>
    <row r="835" spans="1:4" ht="15.6">
      <c r="A835" s="4" t="s">
        <v>100</v>
      </c>
      <c r="B835" s="4">
        <v>7.2400000000000003E-4</v>
      </c>
      <c r="C835" s="4">
        <v>13299.37</v>
      </c>
      <c r="D835" s="4">
        <v>4.4299999999999999E-2</v>
      </c>
    </row>
    <row r="836" spans="1:4" ht="15.6">
      <c r="A836" s="4" t="s">
        <v>157</v>
      </c>
      <c r="B836" s="4">
        <v>8.5800000000000004E-4</v>
      </c>
      <c r="C836" s="4">
        <v>13160.81</v>
      </c>
      <c r="D836" s="4">
        <v>1.165691</v>
      </c>
    </row>
    <row r="837" spans="1:4" ht="15.6">
      <c r="A837" s="4" t="s">
        <v>121</v>
      </c>
      <c r="B837" s="4">
        <v>1.0460000000000001E-3</v>
      </c>
      <c r="C837" s="4">
        <v>12649.1</v>
      </c>
      <c r="D837" s="4">
        <v>16.67756</v>
      </c>
    </row>
    <row r="838" spans="1:4" ht="15.6">
      <c r="A838" s="4" t="s">
        <v>129</v>
      </c>
      <c r="B838" s="4">
        <v>8.5999999999999998E-4</v>
      </c>
      <c r="C838" s="4">
        <v>13160.8</v>
      </c>
      <c r="D838" s="4">
        <v>0.97689999999999999</v>
      </c>
    </row>
    <row r="839" spans="1:4" ht="15.6">
      <c r="A839" s="4" t="s">
        <v>132</v>
      </c>
      <c r="B839" s="4">
        <v>7.3300000000000004E-4</v>
      </c>
      <c r="C839" s="4">
        <v>13717.84</v>
      </c>
      <c r="D839" s="4">
        <v>0.58608499999999997</v>
      </c>
    </row>
    <row r="840" spans="1:4" ht="15.6">
      <c r="A840" s="4" t="s">
        <v>6</v>
      </c>
      <c r="B840" s="4">
        <v>8.0000000000000004E-4</v>
      </c>
      <c r="C840" s="4">
        <v>13296.16</v>
      </c>
      <c r="D840" s="4">
        <v>0.98560000000000003</v>
      </c>
    </row>
    <row r="841" spans="1:4" ht="15.6">
      <c r="A841" s="4"/>
      <c r="B841" s="4"/>
      <c r="C841" s="4"/>
      <c r="D841" s="4"/>
    </row>
    <row r="842" spans="1:4" ht="15.6">
      <c r="A842" s="4"/>
      <c r="B842" s="4"/>
      <c r="C842" s="4"/>
      <c r="D842" s="4"/>
    </row>
    <row r="843" spans="1:4" ht="15.6">
      <c r="A843" s="4" t="s">
        <v>162</v>
      </c>
      <c r="B843" s="4"/>
      <c r="C843" s="4"/>
      <c r="D843" s="4"/>
    </row>
    <row r="844" spans="1:4" ht="18">
      <c r="A844" s="21" t="s">
        <v>153</v>
      </c>
      <c r="B844" s="21" t="s">
        <v>154</v>
      </c>
      <c r="C844" s="21" t="s">
        <v>155</v>
      </c>
      <c r="D844" s="21" t="s">
        <v>156</v>
      </c>
    </row>
    <row r="845" spans="1:4" ht="15.6">
      <c r="A845" s="4" t="s">
        <v>100</v>
      </c>
      <c r="B845" s="4">
        <v>7.0200000000000004E-4</v>
      </c>
      <c r="C845" s="4">
        <v>16341.43</v>
      </c>
      <c r="D845" s="4">
        <v>2.2161E-2</v>
      </c>
    </row>
    <row r="846" spans="1:4" ht="15.6">
      <c r="A846" s="4" t="s">
        <v>157</v>
      </c>
      <c r="B846" s="4">
        <v>9.7199999999999999E-4</v>
      </c>
      <c r="C846" s="4">
        <v>16427.98</v>
      </c>
      <c r="D846" s="4">
        <v>0.51532100000000003</v>
      </c>
    </row>
    <row r="847" spans="1:4" ht="15.6">
      <c r="A847" s="4" t="s">
        <v>121</v>
      </c>
      <c r="B847" s="4">
        <v>1.093E-3</v>
      </c>
      <c r="C847" s="4">
        <v>16315.39</v>
      </c>
      <c r="D847" s="4">
        <v>8.8417080000000006</v>
      </c>
    </row>
    <row r="848" spans="1:4" ht="15.6">
      <c r="A848" s="4" t="s">
        <v>129</v>
      </c>
      <c r="B848" s="4">
        <v>9.7000000000000005E-4</v>
      </c>
      <c r="C848" s="4">
        <v>16428</v>
      </c>
      <c r="D848" s="4">
        <v>3.9134000000000002</v>
      </c>
    </row>
    <row r="849" spans="1:4" ht="15.6">
      <c r="A849" s="4" t="s">
        <v>132</v>
      </c>
      <c r="B849" s="4">
        <v>8.8400000000000002E-4</v>
      </c>
      <c r="C849" s="4">
        <v>16499.13</v>
      </c>
      <c r="D849" s="4">
        <v>0.40059499999999998</v>
      </c>
    </row>
    <row r="850" spans="1:4" ht="15.6">
      <c r="A850" s="4" t="s">
        <v>6</v>
      </c>
      <c r="B850" s="4">
        <v>6.9999999999999999E-4</v>
      </c>
      <c r="C850" s="4">
        <v>16336.79</v>
      </c>
      <c r="D850" s="4">
        <v>0.98729999999999996</v>
      </c>
    </row>
    <row r="851" spans="1:4" ht="15.6">
      <c r="A851" s="4"/>
      <c r="B851" s="4"/>
      <c r="C851" s="4"/>
      <c r="D851" s="4"/>
    </row>
    <row r="852" spans="1:4" ht="15.6">
      <c r="A852" s="4"/>
      <c r="B852" s="4"/>
      <c r="C852" s="4"/>
      <c r="D852" s="4"/>
    </row>
    <row r="853" spans="1:4" ht="15.6">
      <c r="A853" s="4" t="s">
        <v>163</v>
      </c>
      <c r="B853" s="4"/>
      <c r="C853" s="4"/>
      <c r="D853" s="4"/>
    </row>
    <row r="854" spans="1:4" ht="18">
      <c r="A854" s="21" t="s">
        <v>153</v>
      </c>
      <c r="B854" s="21" t="s">
        <v>154</v>
      </c>
      <c r="C854" s="21" t="s">
        <v>155</v>
      </c>
      <c r="D854" s="21" t="s">
        <v>156</v>
      </c>
    </row>
    <row r="855" spans="1:4" ht="15.6">
      <c r="A855" s="4" t="s">
        <v>100</v>
      </c>
      <c r="B855" s="4">
        <v>5.9400000000000002E-4</v>
      </c>
      <c r="C855" s="4">
        <v>12655.48</v>
      </c>
      <c r="D855" s="4">
        <v>2.3925999999999999E-2</v>
      </c>
    </row>
    <row r="856" spans="1:4" ht="15.6">
      <c r="A856" s="4" t="s">
        <v>157</v>
      </c>
      <c r="B856" s="4">
        <v>8.83E-4</v>
      </c>
      <c r="C856" s="4">
        <v>12629.93</v>
      </c>
      <c r="D856" s="4">
        <v>1.338271</v>
      </c>
    </row>
    <row r="857" spans="1:4" ht="15.6">
      <c r="A857" s="4" t="s">
        <v>121</v>
      </c>
      <c r="B857" s="4">
        <v>1.1789999999999999E-3</v>
      </c>
      <c r="C857" s="4">
        <v>12086.51</v>
      </c>
      <c r="D857" s="4">
        <v>13.2753</v>
      </c>
    </row>
    <row r="858" spans="1:4" ht="15.6">
      <c r="A858" s="4" t="s">
        <v>129</v>
      </c>
      <c r="B858" s="4">
        <v>8.8000000000000003E-4</v>
      </c>
      <c r="C858" s="4">
        <v>12629.9</v>
      </c>
      <c r="D858" s="4">
        <v>4.2008999999999999</v>
      </c>
    </row>
    <row r="859" spans="1:4" ht="15.6">
      <c r="A859" s="4" t="s">
        <v>132</v>
      </c>
      <c r="B859" s="4">
        <v>5.7799999999999995E-4</v>
      </c>
      <c r="C859" s="4">
        <v>12294.93</v>
      </c>
      <c r="D859" s="4">
        <v>0.38700000000000001</v>
      </c>
    </row>
    <row r="860" spans="1:4" ht="15.6">
      <c r="A860" s="4" t="s">
        <v>6</v>
      </c>
      <c r="B860" s="4">
        <v>5.9999999999999995E-4</v>
      </c>
      <c r="C860" s="4">
        <v>12646.08</v>
      </c>
      <c r="D860" s="4">
        <v>0.98340000000000005</v>
      </c>
    </row>
    <row r="861" spans="1:4" ht="15.6">
      <c r="A861" s="4"/>
      <c r="B861" s="4"/>
      <c r="C861" s="4"/>
      <c r="D861" s="4"/>
    </row>
    <row r="862" spans="1:4" ht="15.6">
      <c r="A862" s="4"/>
      <c r="B862" s="4"/>
      <c r="C862" s="4"/>
      <c r="D862" s="4"/>
    </row>
    <row r="863" spans="1:4" ht="15.6">
      <c r="A863" s="4"/>
      <c r="B863" s="4"/>
      <c r="C863" s="4"/>
      <c r="D863" s="4"/>
    </row>
    <row r="864" spans="1:4" ht="15.6">
      <c r="A864" s="4" t="s">
        <v>164</v>
      </c>
      <c r="B864" s="4"/>
      <c r="C864" s="4"/>
      <c r="D864" s="4"/>
    </row>
    <row r="865" spans="1:4" ht="18">
      <c r="A865" s="21" t="s">
        <v>153</v>
      </c>
      <c r="B865" s="21" t="s">
        <v>154</v>
      </c>
      <c r="C865" s="21" t="s">
        <v>155</v>
      </c>
      <c r="D865" s="21" t="s">
        <v>156</v>
      </c>
    </row>
    <row r="866" spans="1:4" ht="15.6">
      <c r="A866" s="4" t="s">
        <v>100</v>
      </c>
      <c r="B866" s="4">
        <v>5.4199999999999995E-4</v>
      </c>
      <c r="C866" s="4">
        <v>28966.9</v>
      </c>
      <c r="D866" s="4">
        <v>1.3332E-2</v>
      </c>
    </row>
    <row r="867" spans="1:4" ht="15.6">
      <c r="A867" s="4" t="s">
        <v>157</v>
      </c>
      <c r="B867" s="4">
        <v>7.4899999999999999E-4</v>
      </c>
      <c r="C867" s="4">
        <v>28946.55</v>
      </c>
      <c r="D867" s="4">
        <v>1.0436270000000001</v>
      </c>
    </row>
    <row r="868" spans="1:4" ht="15.6">
      <c r="A868" s="4" t="s">
        <v>121</v>
      </c>
      <c r="B868" s="4">
        <v>1.0250000000000001E-3</v>
      </c>
      <c r="C868" s="4">
        <v>27893.45</v>
      </c>
      <c r="D868" s="4">
        <v>26.127859999999998</v>
      </c>
    </row>
    <row r="869" spans="1:4" ht="15.6">
      <c r="A869" s="4" t="s">
        <v>129</v>
      </c>
      <c r="B869" s="4">
        <v>7.5000000000000002E-4</v>
      </c>
      <c r="C869" s="4">
        <v>28946.6</v>
      </c>
      <c r="D869" s="4">
        <v>8.9810999999999996</v>
      </c>
    </row>
    <row r="870" spans="1:4" ht="15.6">
      <c r="A870" s="4" t="s">
        <v>132</v>
      </c>
      <c r="B870" s="4">
        <v>5.5000000000000003E-4</v>
      </c>
      <c r="C870" s="4">
        <v>28828.65</v>
      </c>
      <c r="D870" s="4">
        <v>0.35467500000000002</v>
      </c>
    </row>
    <row r="871" spans="1:4" ht="15.6">
      <c r="A871" s="4" t="s">
        <v>165</v>
      </c>
      <c r="B871" s="4">
        <v>5.4205466648761795E-4</v>
      </c>
      <c r="C871" s="4">
        <v>28963.521193404398</v>
      </c>
      <c r="D871" s="4"/>
    </row>
    <row r="872" spans="1:4" ht="15.6">
      <c r="A872" s="4"/>
      <c r="D872" s="4"/>
    </row>
    <row r="873" spans="1:4" ht="15.6">
      <c r="A873" s="4"/>
      <c r="B873" s="4"/>
      <c r="C873" s="4"/>
      <c r="D873" s="4"/>
    </row>
    <row r="874" spans="1:4" ht="15.6">
      <c r="A874" s="4"/>
      <c r="B874" s="4"/>
      <c r="C874" s="4"/>
      <c r="D874" s="4"/>
    </row>
    <row r="875" spans="1:4" ht="15.6">
      <c r="A875" s="4" t="s">
        <v>166</v>
      </c>
      <c r="B875" s="4"/>
      <c r="C875" s="4"/>
      <c r="D875" s="4"/>
    </row>
    <row r="876" spans="1:4" ht="18">
      <c r="A876" s="21" t="s">
        <v>153</v>
      </c>
      <c r="B876" s="21" t="s">
        <v>154</v>
      </c>
      <c r="C876" s="21" t="s">
        <v>155</v>
      </c>
      <c r="D876" s="21" t="s">
        <v>156</v>
      </c>
    </row>
    <row r="877" spans="1:4" ht="15.6">
      <c r="A877" s="4" t="s">
        <v>100</v>
      </c>
      <c r="B877" s="4">
        <v>5.0000000000000001E-4</v>
      </c>
      <c r="C877" s="4">
        <v>42994.87</v>
      </c>
      <c r="D877" s="4">
        <v>3.9100000000000003E-3</v>
      </c>
    </row>
    <row r="878" spans="1:4" ht="15.6">
      <c r="A878" s="4" t="s">
        <v>157</v>
      </c>
      <c r="B878" s="4">
        <v>5.8900000000000001E-4</v>
      </c>
      <c r="C878" s="4">
        <v>42727.06</v>
      </c>
      <c r="D878" s="4">
        <v>0.39479700000000001</v>
      </c>
    </row>
    <row r="879" spans="1:4" ht="15.6">
      <c r="A879" s="4" t="s">
        <v>121</v>
      </c>
      <c r="B879" s="4">
        <v>7.6999999999999996E-4</v>
      </c>
      <c r="C879" s="4">
        <v>41170.06</v>
      </c>
      <c r="D879" s="4">
        <v>17.631340000000002</v>
      </c>
    </row>
    <row r="880" spans="1:4" ht="15.6">
      <c r="A880" s="4" t="s">
        <v>129</v>
      </c>
      <c r="B880" s="4">
        <v>5.9000000000000003E-4</v>
      </c>
      <c r="C880" s="4">
        <v>42727.1</v>
      </c>
      <c r="D880" s="4">
        <v>0.87680000000000002</v>
      </c>
    </row>
    <row r="881" spans="1:4" ht="15.6">
      <c r="A881" s="4" t="s">
        <v>132</v>
      </c>
      <c r="B881" s="4">
        <v>5.0000000000000001E-4</v>
      </c>
      <c r="C881" s="4">
        <v>42961.59</v>
      </c>
      <c r="D881" s="4">
        <v>0.19312199999999999</v>
      </c>
    </row>
    <row r="882" spans="1:4" ht="15.6">
      <c r="A882" s="4"/>
      <c r="B882" s="4"/>
      <c r="C882" s="4"/>
      <c r="D882" s="4"/>
    </row>
    <row r="883" spans="1:4" ht="15.6">
      <c r="A883" s="4"/>
      <c r="B883" s="4"/>
      <c r="C883" s="4"/>
      <c r="D883" s="4"/>
    </row>
    <row r="884" spans="1:4" ht="15.6">
      <c r="A884" s="4"/>
      <c r="B884" s="4"/>
      <c r="C884" s="4"/>
      <c r="D884" s="4"/>
    </row>
    <row r="885" spans="1:4" ht="15.6">
      <c r="A885" s="21"/>
      <c r="B885" s="21"/>
      <c r="C885" s="21"/>
      <c r="D885" s="2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8"/>
  <sheetViews>
    <sheetView topLeftCell="A38" zoomScale="107" workbookViewId="0">
      <selection activeCell="D14" sqref="D14"/>
    </sheetView>
  </sheetViews>
  <sheetFormatPr defaultColWidth="9" defaultRowHeight="14.4"/>
  <cols>
    <col min="3" max="3" width="10" customWidth="1"/>
    <col min="4" max="4" width="12" customWidth="1"/>
  </cols>
  <sheetData>
    <row r="2" spans="1:11">
      <c r="A2" t="s">
        <v>167</v>
      </c>
    </row>
    <row r="4" spans="1:11">
      <c r="B4" t="s">
        <v>63</v>
      </c>
    </row>
    <row r="5" spans="1:11">
      <c r="A5" t="s">
        <v>29</v>
      </c>
      <c r="B5" t="s">
        <v>43</v>
      </c>
      <c r="C5" t="s">
        <v>99</v>
      </c>
      <c r="D5" t="s">
        <v>100</v>
      </c>
      <c r="E5" t="s">
        <v>101</v>
      </c>
    </row>
    <row r="6" spans="1:11">
      <c r="A6">
        <v>0</v>
      </c>
      <c r="B6">
        <v>0</v>
      </c>
      <c r="C6">
        <f>(($K$11)*(EXP(($K$6)*(A6-$K$7))))/(1+EXP(($K$6)*(A6-$K$7))*($K$11))</f>
        <v>2.2966389290377E-2</v>
      </c>
      <c r="D6">
        <f>(B6-C6)^2</f>
        <v>5.2745503703714334E-4</v>
      </c>
      <c r="E6">
        <f>(B6-C$20)^2</f>
        <v>0.17275926059241067</v>
      </c>
      <c r="J6" t="s">
        <v>168</v>
      </c>
      <c r="K6">
        <v>3.5273793697171998E-2</v>
      </c>
    </row>
    <row r="7" spans="1:11">
      <c r="A7">
        <v>10</v>
      </c>
      <c r="B7">
        <v>0</v>
      </c>
      <c r="C7">
        <f t="shared" ref="C7:C19" si="0">(($K$11)*(EXP(($K$6)*(A7-$K$7))))/(1+EXP(($K$6)*(A7-$K$7))*($K$11))</f>
        <v>3.2365815942441686E-2</v>
      </c>
      <c r="D7">
        <f t="shared" ref="D7:D19" si="1">(B7-C7)^2</f>
        <v>1.0475460416200125E-3</v>
      </c>
      <c r="E7">
        <f t="shared" ref="E7:E19" si="2">(B7-C$20)^2</f>
        <v>0.17275926059241067</v>
      </c>
      <c r="J7" s="22" t="s">
        <v>169</v>
      </c>
      <c r="K7">
        <v>236.88009005187101</v>
      </c>
    </row>
    <row r="8" spans="1:11">
      <c r="A8">
        <v>15</v>
      </c>
      <c r="B8">
        <v>0</v>
      </c>
      <c r="C8">
        <f t="shared" si="0"/>
        <v>3.8368949203992891E-2</v>
      </c>
      <c r="D8">
        <f t="shared" si="1"/>
        <v>1.4721762630185867E-3</v>
      </c>
      <c r="E8">
        <f t="shared" si="2"/>
        <v>0.17275926059241067</v>
      </c>
    </row>
    <row r="9" spans="1:11">
      <c r="A9">
        <v>20</v>
      </c>
      <c r="B9">
        <v>0</v>
      </c>
      <c r="C9">
        <f t="shared" si="0"/>
        <v>4.5433249533916996E-2</v>
      </c>
      <c r="D9">
        <f t="shared" si="1"/>
        <v>2.0641801632111691E-3</v>
      </c>
      <c r="E9">
        <f t="shared" si="2"/>
        <v>0.17275926059241067</v>
      </c>
      <c r="J9" t="s">
        <v>104</v>
      </c>
      <c r="K9">
        <f>1-(D20/E20)</f>
        <v>0.98568372929624415</v>
      </c>
    </row>
    <row r="10" spans="1:11">
      <c r="A10">
        <v>25</v>
      </c>
      <c r="B10">
        <v>0</v>
      </c>
      <c r="C10">
        <f t="shared" si="0"/>
        <v>5.3725527855485684E-2</v>
      </c>
      <c r="D10">
        <f t="shared" si="1"/>
        <v>2.886432343350568E-3</v>
      </c>
      <c r="E10">
        <f t="shared" si="2"/>
        <v>0.17275926059241067</v>
      </c>
    </row>
    <row r="11" spans="1:11">
      <c r="A11">
        <v>40</v>
      </c>
      <c r="B11">
        <v>0.01</v>
      </c>
      <c r="C11">
        <f t="shared" si="0"/>
        <v>8.7900988939262847E-2</v>
      </c>
      <c r="D11">
        <f t="shared" si="1"/>
        <v>6.0685640777151531E-3</v>
      </c>
      <c r="E11">
        <f t="shared" si="2"/>
        <v>0.16454639681168118</v>
      </c>
      <c r="J11" t="s">
        <v>12</v>
      </c>
      <c r="K11">
        <v>100</v>
      </c>
    </row>
    <row r="12" spans="1:11">
      <c r="A12">
        <v>70</v>
      </c>
      <c r="B12">
        <v>0.24</v>
      </c>
      <c r="C12">
        <f t="shared" si="0"/>
        <v>0.21732498774473979</v>
      </c>
      <c r="D12">
        <f t="shared" si="1"/>
        <v>5.141561807762001E-4</v>
      </c>
      <c r="E12">
        <f t="shared" si="2"/>
        <v>3.0850529854902803E-2</v>
      </c>
      <c r="J12" t="s">
        <v>105</v>
      </c>
      <c r="K12">
        <v>4</v>
      </c>
    </row>
    <row r="13" spans="1:11">
      <c r="A13">
        <v>92</v>
      </c>
      <c r="B13">
        <v>0.43</v>
      </c>
      <c r="C13">
        <f t="shared" si="0"/>
        <v>0.37629590795070433</v>
      </c>
      <c r="D13">
        <f t="shared" si="1"/>
        <v>2.8841295028392212E-3</v>
      </c>
      <c r="E13">
        <f t="shared" si="2"/>
        <v>2.0611802104239903E-4</v>
      </c>
      <c r="J13" t="s">
        <v>8</v>
      </c>
      <c r="K13">
        <v>8</v>
      </c>
    </row>
    <row r="14" spans="1:11">
      <c r="A14">
        <v>110</v>
      </c>
      <c r="B14">
        <v>0.56000000000000005</v>
      </c>
      <c r="C14">
        <f t="shared" si="0"/>
        <v>0.53236171332786342</v>
      </c>
      <c r="D14">
        <f t="shared" si="1"/>
        <v>7.6387489017120563E-4</v>
      </c>
      <c r="E14">
        <f t="shared" si="2"/>
        <v>2.0838888871558985E-2</v>
      </c>
      <c r="J14" t="s">
        <v>106</v>
      </c>
      <c r="K14">
        <v>14</v>
      </c>
    </row>
    <row r="15" spans="1:11">
      <c r="A15">
        <v>130</v>
      </c>
      <c r="B15">
        <v>0.7</v>
      </c>
      <c r="C15">
        <f t="shared" si="0"/>
        <v>0.69743304810809514</v>
      </c>
      <c r="D15">
        <f t="shared" si="1"/>
        <v>6.5892420153536922E-6</v>
      </c>
      <c r="E15">
        <f t="shared" si="2"/>
        <v>8.0858795941346012E-2</v>
      </c>
      <c r="J15" t="s">
        <v>107</v>
      </c>
      <c r="K15">
        <v>2</v>
      </c>
    </row>
    <row r="16" spans="1:11">
      <c r="A16">
        <v>160</v>
      </c>
      <c r="B16">
        <v>0.85</v>
      </c>
      <c r="C16">
        <f t="shared" si="0"/>
        <v>0.86913335570520234</v>
      </c>
      <c r="D16">
        <f t="shared" si="1"/>
        <v>3.6608530054179966E-4</v>
      </c>
      <c r="E16">
        <f t="shared" si="2"/>
        <v>0.18866583923040361</v>
      </c>
    </row>
    <row r="17" spans="1:20">
      <c r="A17">
        <v>180</v>
      </c>
      <c r="B17">
        <v>0.88</v>
      </c>
      <c r="C17">
        <f t="shared" si="0"/>
        <v>0.93078389898300962</v>
      </c>
      <c r="D17">
        <f t="shared" si="1"/>
        <v>2.5790043959165246E-3</v>
      </c>
      <c r="E17">
        <f t="shared" si="2"/>
        <v>0.21562724788821513</v>
      </c>
    </row>
    <row r="18" spans="1:20">
      <c r="A18">
        <v>190</v>
      </c>
      <c r="B18">
        <v>0.89</v>
      </c>
      <c r="C18">
        <f t="shared" si="0"/>
        <v>0.95033582439110487</v>
      </c>
      <c r="D18">
        <f t="shared" si="1"/>
        <v>3.6404117049542435E-3</v>
      </c>
      <c r="E18">
        <f t="shared" si="2"/>
        <v>0.22501438410748564</v>
      </c>
    </row>
    <row r="19" spans="1:20">
      <c r="A19">
        <v>200</v>
      </c>
      <c r="B19">
        <v>0.9</v>
      </c>
      <c r="C19">
        <f t="shared" si="0"/>
        <v>0.96457498953444953</v>
      </c>
      <c r="D19">
        <f t="shared" si="1"/>
        <v>4.1699292733742644E-3</v>
      </c>
      <c r="E19">
        <f t="shared" si="2"/>
        <v>0.23460152032675616</v>
      </c>
    </row>
    <row r="20" spans="1:20">
      <c r="C20">
        <f>AVERAGE(C6:C19)</f>
        <v>0.41564318903647474</v>
      </c>
      <c r="D20">
        <f>SUM(D6:D19)</f>
        <v>2.8990534416541442E-2</v>
      </c>
      <c r="E20">
        <f>SUM(E6:E19)</f>
        <v>2.0250060240154455</v>
      </c>
    </row>
    <row r="21" spans="1:20">
      <c r="T21" t="s">
        <v>170</v>
      </c>
    </row>
    <row r="26" spans="1:20">
      <c r="B26" t="s">
        <v>130</v>
      </c>
    </row>
    <row r="27" spans="1:20">
      <c r="A27" t="s">
        <v>29</v>
      </c>
      <c r="B27" t="s">
        <v>43</v>
      </c>
      <c r="C27" t="s">
        <v>99</v>
      </c>
      <c r="D27" t="s">
        <v>100</v>
      </c>
      <c r="E27" t="s">
        <v>101</v>
      </c>
    </row>
    <row r="28" spans="1:20">
      <c r="A28">
        <v>0</v>
      </c>
      <c r="B28">
        <v>0</v>
      </c>
      <c r="C28">
        <f>(($K$33)*(EXP(($K$28)*(A28-$K$29))))/(1+EXP(($K$28)*(A28-$K$29))*($K$33))</f>
        <v>2.3952927010218593E-3</v>
      </c>
      <c r="D28">
        <f>(B28-C28)^2</f>
        <v>5.7374271235685943E-6</v>
      </c>
      <c r="E28">
        <f>(B28-C$46)^2</f>
        <v>0.10636124697430795</v>
      </c>
      <c r="J28" t="s">
        <v>168</v>
      </c>
      <c r="K28">
        <v>2.99557092461285E-2</v>
      </c>
    </row>
    <row r="29" spans="1:20">
      <c r="A29">
        <v>20</v>
      </c>
      <c r="B29">
        <v>0</v>
      </c>
      <c r="C29">
        <f t="shared" ref="C29:C45" si="3">(($K$33)*(EXP(($K$28)*(A29-$K$29))))/(1+EXP(($K$28)*(A29-$K$29))*($K$33))</f>
        <v>4.3520900446068307E-3</v>
      </c>
      <c r="D29">
        <f t="shared" ref="D29:D45" si="4">(B29-C29)^2</f>
        <v>1.8940687756365884E-5</v>
      </c>
      <c r="E29">
        <f t="shared" ref="E29:E45" si="5">(B29-C$46)^2</f>
        <v>0.10636124697430795</v>
      </c>
      <c r="J29" s="22" t="s">
        <v>169</v>
      </c>
      <c r="K29">
        <v>355.091637951302</v>
      </c>
    </row>
    <row r="30" spans="1:20">
      <c r="A30">
        <v>30</v>
      </c>
      <c r="B30">
        <v>0</v>
      </c>
      <c r="C30">
        <f t="shared" si="3"/>
        <v>5.8631935561422313E-3</v>
      </c>
      <c r="D30">
        <f t="shared" si="4"/>
        <v>3.4377038676787785E-5</v>
      </c>
      <c r="E30">
        <f t="shared" si="5"/>
        <v>0.10636124697430795</v>
      </c>
    </row>
    <row r="31" spans="1:20">
      <c r="A31">
        <v>40</v>
      </c>
      <c r="B31">
        <v>0</v>
      </c>
      <c r="C31">
        <f t="shared" si="3"/>
        <v>7.8948119741664696E-3</v>
      </c>
      <c r="D31">
        <f t="shared" si="4"/>
        <v>6.2328056107442264E-5</v>
      </c>
      <c r="E31">
        <f t="shared" si="5"/>
        <v>0.10636124697430795</v>
      </c>
      <c r="J31" t="s">
        <v>104</v>
      </c>
      <c r="K31">
        <f>1-(D46/E46)</f>
        <v>0.99227635784161172</v>
      </c>
    </row>
    <row r="32" spans="1:20">
      <c r="A32">
        <v>50</v>
      </c>
      <c r="B32">
        <v>0</v>
      </c>
      <c r="C32">
        <f t="shared" si="3"/>
        <v>1.0622871528953325E-2</v>
      </c>
      <c r="D32">
        <f t="shared" si="4"/>
        <v>1.1284539952064715E-4</v>
      </c>
      <c r="E32">
        <f t="shared" si="5"/>
        <v>0.10636124697430795</v>
      </c>
    </row>
    <row r="33" spans="1:11">
      <c r="A33">
        <v>60</v>
      </c>
      <c r="B33">
        <v>0</v>
      </c>
      <c r="C33">
        <f t="shared" si="3"/>
        <v>1.4280045891734752E-2</v>
      </c>
      <c r="D33">
        <f t="shared" si="4"/>
        <v>2.0391971067005056E-4</v>
      </c>
      <c r="E33">
        <f t="shared" si="5"/>
        <v>0.10636124697430795</v>
      </c>
      <c r="J33" t="s">
        <v>12</v>
      </c>
      <c r="K33">
        <v>100</v>
      </c>
    </row>
    <row r="34" spans="1:11">
      <c r="A34">
        <v>70</v>
      </c>
      <c r="B34">
        <v>0</v>
      </c>
      <c r="C34">
        <f t="shared" si="3"/>
        <v>1.917189098380314E-2</v>
      </c>
      <c r="D34">
        <f t="shared" si="4"/>
        <v>3.6756140389483216E-4</v>
      </c>
      <c r="E34">
        <f t="shared" si="5"/>
        <v>0.10636124697430795</v>
      </c>
      <c r="J34" t="s">
        <v>105</v>
      </c>
      <c r="K34">
        <v>8</v>
      </c>
    </row>
    <row r="35" spans="1:11">
      <c r="A35">
        <v>80</v>
      </c>
      <c r="B35">
        <v>0</v>
      </c>
      <c r="C35">
        <f t="shared" si="3"/>
        <v>2.5695827145168239E-2</v>
      </c>
      <c r="D35">
        <f t="shared" si="4"/>
        <v>6.60275532674365E-4</v>
      </c>
      <c r="E35">
        <f t="shared" si="5"/>
        <v>0.10636124697430795</v>
      </c>
      <c r="J35" t="s">
        <v>8</v>
      </c>
      <c r="K35">
        <v>8</v>
      </c>
    </row>
    <row r="36" spans="1:11">
      <c r="A36">
        <v>115</v>
      </c>
      <c r="B36">
        <v>0.01</v>
      </c>
      <c r="C36">
        <f t="shared" si="3"/>
        <v>6.9983351281600825E-2</v>
      </c>
      <c r="D36">
        <f t="shared" si="4"/>
        <v>3.598002430971923E-3</v>
      </c>
      <c r="E36">
        <f t="shared" si="5"/>
        <v>9.993863256061436E-2</v>
      </c>
      <c r="J36" t="s">
        <v>106</v>
      </c>
      <c r="K36">
        <v>18</v>
      </c>
    </row>
    <row r="37" spans="1:11">
      <c r="A37">
        <v>140</v>
      </c>
      <c r="B37">
        <v>0.08</v>
      </c>
      <c r="C37">
        <f t="shared" si="3"/>
        <v>0.13728179681655664</v>
      </c>
      <c r="D37">
        <f t="shared" si="4"/>
        <v>3.281204246533278E-3</v>
      </c>
      <c r="E37">
        <f t="shared" si="5"/>
        <v>6.0580331664759339E-2</v>
      </c>
      <c r="J37" t="s">
        <v>107</v>
      </c>
      <c r="K37">
        <v>2</v>
      </c>
    </row>
    <row r="38" spans="1:11">
      <c r="A38">
        <v>170</v>
      </c>
      <c r="B38">
        <v>0.3</v>
      </c>
      <c r="C38">
        <f t="shared" si="3"/>
        <v>0.28102537356692414</v>
      </c>
      <c r="D38">
        <f t="shared" si="4"/>
        <v>3.6003644827478068E-4</v>
      </c>
      <c r="E38">
        <f t="shared" si="5"/>
        <v>6.8281456350069816E-4</v>
      </c>
    </row>
    <row r="39" spans="1:11">
      <c r="A39">
        <v>195</v>
      </c>
      <c r="B39">
        <v>0.49</v>
      </c>
      <c r="C39">
        <f t="shared" si="3"/>
        <v>0.45252138664942215</v>
      </c>
      <c r="D39">
        <f t="shared" si="4"/>
        <v>1.4046464586821115E-3</v>
      </c>
      <c r="E39">
        <f t="shared" si="5"/>
        <v>2.6853140703322773E-2</v>
      </c>
    </row>
    <row r="40" spans="1:11">
      <c r="A40">
        <v>210</v>
      </c>
      <c r="B40">
        <v>0.6</v>
      </c>
      <c r="C40">
        <f t="shared" si="3"/>
        <v>0.56435290304031804</v>
      </c>
      <c r="D40">
        <f t="shared" si="4"/>
        <v>1.2707155216529649E-3</v>
      </c>
      <c r="E40">
        <f t="shared" si="5"/>
        <v>7.5004382152693436E-2</v>
      </c>
    </row>
    <row r="41" spans="1:11">
      <c r="A41">
        <v>230</v>
      </c>
      <c r="B41">
        <v>0.71</v>
      </c>
      <c r="C41">
        <f t="shared" si="3"/>
        <v>0.70223456702597131</v>
      </c>
      <c r="D41">
        <f t="shared" si="4"/>
        <v>6.0301949274131473E-5</v>
      </c>
      <c r="E41">
        <f t="shared" si="5"/>
        <v>0.14735562360206411</v>
      </c>
    </row>
    <row r="42" spans="1:11">
      <c r="A42">
        <v>250</v>
      </c>
      <c r="B42">
        <v>0.8</v>
      </c>
      <c r="C42">
        <f t="shared" si="3"/>
        <v>0.81108499329893102</v>
      </c>
      <c r="D42">
        <f t="shared" si="4"/>
        <v>1.228770764373447E-4</v>
      </c>
      <c r="E42">
        <f t="shared" si="5"/>
        <v>0.224552093878822</v>
      </c>
    </row>
    <row r="43" spans="1:11">
      <c r="A43">
        <v>270</v>
      </c>
      <c r="B43">
        <v>0.85</v>
      </c>
      <c r="C43">
        <f t="shared" si="3"/>
        <v>0.88657157302749934</v>
      </c>
      <c r="D43">
        <f t="shared" si="4"/>
        <v>1.3374799537057187E-3</v>
      </c>
      <c r="E43">
        <f t="shared" si="5"/>
        <v>0.27443902181035407</v>
      </c>
    </row>
    <row r="44" spans="1:11">
      <c r="A44">
        <v>285</v>
      </c>
      <c r="B44">
        <v>0.87</v>
      </c>
      <c r="C44">
        <f t="shared" si="3"/>
        <v>0.92452826853003112</v>
      </c>
      <c r="D44">
        <f t="shared" si="4"/>
        <v>2.9733320688831821E-3</v>
      </c>
      <c r="E44">
        <f t="shared" si="5"/>
        <v>0.29579379298296693</v>
      </c>
    </row>
    <row r="45" spans="1:11">
      <c r="A45">
        <v>300</v>
      </c>
      <c r="B45">
        <v>0.9</v>
      </c>
      <c r="C45">
        <f t="shared" si="3"/>
        <v>0.95049273526136646</v>
      </c>
      <c r="D45">
        <f t="shared" si="4"/>
        <v>2.5495163141744377E-3</v>
      </c>
      <c r="E45">
        <f t="shared" si="5"/>
        <v>0.32932594974188623</v>
      </c>
    </row>
    <row r="46" spans="1:11">
      <c r="C46">
        <f>AVERAGE(C28:C45)</f>
        <v>0.32613072068467874</v>
      </c>
      <c r="D46">
        <f>SUM(D28:D45)</f>
        <v>1.8424097725013935E-2</v>
      </c>
      <c r="E46">
        <f>SUM(E28:E45)</f>
        <v>2.3854157594554475</v>
      </c>
    </row>
    <row r="52" spans="1:11">
      <c r="B52" t="s">
        <v>171</v>
      </c>
    </row>
    <row r="53" spans="1:11">
      <c r="A53" t="s">
        <v>29</v>
      </c>
      <c r="B53" t="s">
        <v>43</v>
      </c>
      <c r="C53" t="s">
        <v>99</v>
      </c>
      <c r="D53" t="s">
        <v>100</v>
      </c>
      <c r="E53" t="s">
        <v>101</v>
      </c>
    </row>
    <row r="54" spans="1:11">
      <c r="A54">
        <v>0</v>
      </c>
      <c r="B54">
        <v>0</v>
      </c>
      <c r="C54">
        <f>(($K$59)*(EXP(($K$54)*(A54-$K$55))))/(1+EXP(($K$54)*(A54-$K$55))*($K$59))</f>
        <v>8.8413438830438522E-6</v>
      </c>
      <c r="D54">
        <f>(B54-C54)^2</f>
        <v>7.8169361658236946E-11</v>
      </c>
      <c r="E54">
        <f>(B54-C$76)^2</f>
        <v>8.6617594586426122E-2</v>
      </c>
      <c r="J54" t="s">
        <v>168</v>
      </c>
      <c r="K54">
        <v>3.6735828230728698E-2</v>
      </c>
    </row>
    <row r="55" spans="1:11">
      <c r="A55">
        <v>20</v>
      </c>
      <c r="B55">
        <v>0</v>
      </c>
      <c r="C55">
        <f t="shared" ref="C55:C75" si="6">(($K$59)*(EXP(($K$54)*(A55-$K$55))))/(1+EXP(($K$54)*(A55-$K$55))*($K$59))</f>
        <v>1.8433061277224744E-5</v>
      </c>
      <c r="D55">
        <f t="shared" ref="D55:D75" si="7">(B55-C55)^2</f>
        <v>3.3977774804992232E-10</v>
      </c>
      <c r="E55">
        <f t="shared" ref="E55:E75" si="8">(B55-C$76)^2</f>
        <v>8.6617594586426122E-2</v>
      </c>
      <c r="J55" s="22" t="s">
        <v>169</v>
      </c>
      <c r="K55">
        <v>442.10880213447803</v>
      </c>
    </row>
    <row r="56" spans="1:11">
      <c r="A56">
        <v>30</v>
      </c>
      <c r="B56">
        <v>0</v>
      </c>
      <c r="C56">
        <f t="shared" si="6"/>
        <v>2.6615558756681056E-5</v>
      </c>
      <c r="D56">
        <f t="shared" si="7"/>
        <v>7.0838796793034161E-10</v>
      </c>
      <c r="E56">
        <f t="shared" si="8"/>
        <v>8.6617594586426122E-2</v>
      </c>
    </row>
    <row r="57" spans="1:11">
      <c r="A57">
        <v>40</v>
      </c>
      <c r="B57">
        <v>0</v>
      </c>
      <c r="C57">
        <f t="shared" si="6"/>
        <v>3.8430154612128591E-5</v>
      </c>
      <c r="D57">
        <f t="shared" si="7"/>
        <v>1.4768767835121085E-9</v>
      </c>
      <c r="E57">
        <f t="shared" si="8"/>
        <v>8.6617594586426122E-2</v>
      </c>
      <c r="J57" t="s">
        <v>104</v>
      </c>
      <c r="K57">
        <f>1-(D76/E76)</f>
        <v>0.99967988615092651</v>
      </c>
    </row>
    <row r="58" spans="1:11">
      <c r="A58">
        <v>50</v>
      </c>
      <c r="B58">
        <v>0</v>
      </c>
      <c r="C58">
        <f t="shared" si="6"/>
        <v>5.5488936054371189E-5</v>
      </c>
      <c r="D58">
        <f t="shared" si="7"/>
        <v>3.0790220244460948E-9</v>
      </c>
      <c r="E58">
        <f t="shared" si="8"/>
        <v>8.6617594586426122E-2</v>
      </c>
    </row>
    <row r="59" spans="1:11">
      <c r="A59">
        <v>60</v>
      </c>
      <c r="B59">
        <v>0</v>
      </c>
      <c r="C59">
        <f t="shared" si="6"/>
        <v>8.0119342212783132E-5</v>
      </c>
      <c r="D59">
        <f t="shared" si="7"/>
        <v>6.4191089966090528E-9</v>
      </c>
      <c r="E59">
        <f t="shared" si="8"/>
        <v>8.6617594586426122E-2</v>
      </c>
      <c r="J59" t="s">
        <v>12</v>
      </c>
      <c r="K59">
        <v>100</v>
      </c>
    </row>
    <row r="60" spans="1:11">
      <c r="A60">
        <v>80</v>
      </c>
      <c r="B60">
        <v>0</v>
      </c>
      <c r="C60">
        <f t="shared" si="6"/>
        <v>1.6702557566396635E-4</v>
      </c>
      <c r="D60">
        <f t="shared" si="7"/>
        <v>2.7897542925879346E-8</v>
      </c>
      <c r="E60">
        <f t="shared" si="8"/>
        <v>8.6617594586426122E-2</v>
      </c>
      <c r="J60" t="s">
        <v>105</v>
      </c>
      <c r="K60">
        <v>12</v>
      </c>
    </row>
    <row r="61" spans="1:11">
      <c r="A61">
        <v>100</v>
      </c>
      <c r="B61">
        <v>0</v>
      </c>
      <c r="C61">
        <f t="shared" si="6"/>
        <v>3.4816702616319111E-4</v>
      </c>
      <c r="D61">
        <f t="shared" si="7"/>
        <v>1.2122027810732021E-7</v>
      </c>
      <c r="E61">
        <f t="shared" si="8"/>
        <v>8.6617594586426122E-2</v>
      </c>
      <c r="J61" t="s">
        <v>8</v>
      </c>
      <c r="K61">
        <v>8</v>
      </c>
    </row>
    <row r="62" spans="1:11">
      <c r="A62">
        <v>140</v>
      </c>
      <c r="B62">
        <v>0</v>
      </c>
      <c r="C62">
        <f t="shared" si="6"/>
        <v>1.5116407017239074E-3</v>
      </c>
      <c r="D62">
        <f t="shared" si="7"/>
        <v>2.285057611108347E-6</v>
      </c>
      <c r="E62">
        <f t="shared" si="8"/>
        <v>8.6617594586426122E-2</v>
      </c>
      <c r="J62" t="s">
        <v>106</v>
      </c>
      <c r="K62">
        <v>23</v>
      </c>
    </row>
    <row r="63" spans="1:11">
      <c r="A63">
        <v>180</v>
      </c>
      <c r="B63">
        <v>0</v>
      </c>
      <c r="C63">
        <f t="shared" si="6"/>
        <v>6.537680164265397E-3</v>
      </c>
      <c r="D63">
        <f t="shared" si="7"/>
        <v>4.2741261930229232E-5</v>
      </c>
      <c r="E63">
        <f t="shared" si="8"/>
        <v>8.6617594586426122E-2</v>
      </c>
      <c r="J63" t="s">
        <v>107</v>
      </c>
      <c r="K63">
        <v>2</v>
      </c>
    </row>
    <row r="64" spans="1:11">
      <c r="A64">
        <v>230</v>
      </c>
      <c r="B64">
        <v>0.02</v>
      </c>
      <c r="C64">
        <f t="shared" si="6"/>
        <v>3.966464421449023E-2</v>
      </c>
      <c r="D64">
        <f t="shared" si="7"/>
        <v>3.8669823208248408E-4</v>
      </c>
      <c r="E64">
        <f t="shared" si="8"/>
        <v>7.5245247694736173E-2</v>
      </c>
    </row>
    <row r="65" spans="1:5">
      <c r="A65">
        <v>255</v>
      </c>
      <c r="B65">
        <v>0.08</v>
      </c>
      <c r="C65">
        <f t="shared" si="6"/>
        <v>9.377182973177968E-2</v>
      </c>
      <c r="D65">
        <f t="shared" si="7"/>
        <v>1.8966329416113072E-4</v>
      </c>
      <c r="E65">
        <f t="shared" si="8"/>
        <v>4.5928207019666351E-2</v>
      </c>
    </row>
    <row r="66" spans="1:5">
      <c r="A66">
        <v>280</v>
      </c>
      <c r="B66">
        <v>0.21</v>
      </c>
      <c r="C66">
        <f t="shared" si="6"/>
        <v>0.20586531616556339</v>
      </c>
      <c r="D66">
        <f t="shared" si="7"/>
        <v>1.7095610410751372E-5</v>
      </c>
      <c r="E66">
        <f t="shared" si="8"/>
        <v>7.1079522236817509E-3</v>
      </c>
    </row>
    <row r="67" spans="1:5">
      <c r="A67">
        <v>293</v>
      </c>
      <c r="B67">
        <v>0.3</v>
      </c>
      <c r="C67">
        <f t="shared" si="6"/>
        <v>0.29474161315471786</v>
      </c>
      <c r="D67">
        <f t="shared" si="7"/>
        <v>2.7650632214636109E-5</v>
      </c>
      <c r="E67">
        <f t="shared" si="8"/>
        <v>3.2391211077019858E-5</v>
      </c>
    </row>
    <row r="68" spans="1:5">
      <c r="A68">
        <v>300</v>
      </c>
      <c r="B68">
        <v>0.35</v>
      </c>
      <c r="C68">
        <f t="shared" si="6"/>
        <v>0.35084787592312056</v>
      </c>
      <c r="D68">
        <f t="shared" si="7"/>
        <v>7.1889358100757218E-7</v>
      </c>
      <c r="E68">
        <f t="shared" si="8"/>
        <v>3.1015239818521678E-3</v>
      </c>
    </row>
    <row r="69" spans="1:5">
      <c r="A69">
        <v>315</v>
      </c>
      <c r="B69">
        <v>0.49</v>
      </c>
      <c r="C69">
        <f t="shared" si="6"/>
        <v>0.48393629629185492</v>
      </c>
      <c r="D69">
        <f t="shared" si="7"/>
        <v>3.676850266017232E-5</v>
      </c>
      <c r="E69">
        <f t="shared" si="8"/>
        <v>3.8295095740022586E-2</v>
      </c>
    </row>
    <row r="70" spans="1:5">
      <c r="A70">
        <v>337</v>
      </c>
      <c r="B70">
        <v>0.68</v>
      </c>
      <c r="C70">
        <f t="shared" si="6"/>
        <v>0.67785055384945858</v>
      </c>
      <c r="D70">
        <f t="shared" si="7"/>
        <v>4.6201187540775332E-6</v>
      </c>
      <c r="E70">
        <f t="shared" si="8"/>
        <v>0.1487578002689682</v>
      </c>
    </row>
    <row r="71" spans="1:5">
      <c r="A71">
        <v>354</v>
      </c>
      <c r="B71">
        <v>0.8</v>
      </c>
      <c r="C71">
        <f t="shared" si="6"/>
        <v>0.7971248199057106</v>
      </c>
      <c r="D71">
        <f t="shared" si="7"/>
        <v>8.2666605745982461E-6</v>
      </c>
      <c r="E71">
        <f t="shared" si="8"/>
        <v>0.2557237189188285</v>
      </c>
    </row>
    <row r="72" spans="1:5">
      <c r="A72">
        <v>362</v>
      </c>
      <c r="B72">
        <v>0.84</v>
      </c>
      <c r="C72">
        <f t="shared" si="6"/>
        <v>0.84054744612154664</v>
      </c>
      <c r="D72">
        <f t="shared" si="7"/>
        <v>2.9969725599648986E-7</v>
      </c>
      <c r="E72">
        <f t="shared" si="8"/>
        <v>0.29777902513544868</v>
      </c>
    </row>
    <row r="73" spans="1:5">
      <c r="A73">
        <v>370</v>
      </c>
      <c r="B73">
        <v>0.87</v>
      </c>
      <c r="C73">
        <f t="shared" si="6"/>
        <v>0.87612042372611643</v>
      </c>
      <c r="D73">
        <f t="shared" si="7"/>
        <v>3.7459586587208936E-5</v>
      </c>
      <c r="E73">
        <f t="shared" si="8"/>
        <v>0.3314205047979138</v>
      </c>
    </row>
    <row r="74" spans="1:5">
      <c r="A74">
        <v>375</v>
      </c>
      <c r="B74">
        <v>0.89</v>
      </c>
      <c r="C74">
        <f t="shared" si="6"/>
        <v>0.89471862523902357</v>
      </c>
      <c r="D74">
        <f t="shared" si="7"/>
        <v>2.2265424146350103E-5</v>
      </c>
      <c r="E74">
        <f t="shared" si="8"/>
        <v>0.35484815790622387</v>
      </c>
    </row>
    <row r="75" spans="1:5">
      <c r="A75">
        <v>380</v>
      </c>
      <c r="B75">
        <v>0.9</v>
      </c>
      <c r="C75">
        <f t="shared" si="6"/>
        <v>0.91080890424147098</v>
      </c>
      <c r="D75">
        <f t="shared" si="7"/>
        <v>1.1683241090128896E-4</v>
      </c>
      <c r="E75">
        <f t="shared" si="8"/>
        <v>0.36686198446037893</v>
      </c>
    </row>
    <row r="76" spans="1:5">
      <c r="C76">
        <f>AVERAGE(C54:C75)</f>
        <v>0.2943086722922485</v>
      </c>
      <c r="D76">
        <f>SUM(D54:D75)</f>
        <v>8.9352660203495559E-4</v>
      </c>
      <c r="E76">
        <f>SUM(E54:E75)</f>
        <v>2.7912775552230595</v>
      </c>
    </row>
    <row r="80" spans="1:5">
      <c r="A80" t="s">
        <v>172</v>
      </c>
    </row>
    <row r="81" spans="1:11">
      <c r="A81" t="s">
        <v>135</v>
      </c>
    </row>
    <row r="82" spans="1:11">
      <c r="A82" t="s">
        <v>29</v>
      </c>
      <c r="B82" t="s">
        <v>43</v>
      </c>
      <c r="C82" t="s">
        <v>99</v>
      </c>
      <c r="D82" t="s">
        <v>100</v>
      </c>
      <c r="E82" t="s">
        <v>101</v>
      </c>
    </row>
    <row r="83" spans="1:11" ht="15.6">
      <c r="A83">
        <v>0</v>
      </c>
      <c r="B83">
        <v>0</v>
      </c>
      <c r="C83">
        <f>(($K$90)*(EXP(($K$83)*(A83-$K$84))))/(1+EXP(($K$83)*(A83-$K$84))*($K$90))</f>
        <v>1.2350738889702602E-3</v>
      </c>
      <c r="D83">
        <f>(B83-C83)^2</f>
        <v>1.5254075112161226E-6</v>
      </c>
      <c r="E83">
        <f>(B83-C$101)^2</f>
        <v>0.16951389235453571</v>
      </c>
      <c r="J83" t="s">
        <v>168</v>
      </c>
      <c r="K83" s="4">
        <v>2.75172833449711E-2</v>
      </c>
    </row>
    <row r="84" spans="1:11" ht="15.6">
      <c r="A84">
        <v>20</v>
      </c>
      <c r="B84">
        <v>0</v>
      </c>
      <c r="C84">
        <f t="shared" ref="C84:C100" si="9">(($K$90)*(EXP(($K$83)*(A84-$K$84))))/(1+EXP(($K$83)*(A84-$K$84))*($K$90))</f>
        <v>2.1394964830640621E-3</v>
      </c>
      <c r="D84">
        <f t="shared" ref="D84:D100" si="10">(B84-C84)^2</f>
        <v>4.5774452010434904E-6</v>
      </c>
      <c r="E84">
        <f t="shared" ref="E84:E100" si="11">(B84-C$101)^2</f>
        <v>0.16951389235453571</v>
      </c>
      <c r="J84" s="22" t="s">
        <v>169</v>
      </c>
      <c r="K84" s="4">
        <v>410.67131114155501</v>
      </c>
    </row>
    <row r="85" spans="1:11">
      <c r="A85">
        <v>30</v>
      </c>
      <c r="B85">
        <v>0</v>
      </c>
      <c r="C85">
        <f t="shared" si="9"/>
        <v>2.8152916809946089E-3</v>
      </c>
      <c r="D85">
        <f t="shared" si="10"/>
        <v>7.9258672490774509E-6</v>
      </c>
      <c r="E85">
        <f t="shared" si="11"/>
        <v>0.16951389235453571</v>
      </c>
    </row>
    <row r="86" spans="1:11">
      <c r="A86">
        <v>40</v>
      </c>
      <c r="B86">
        <v>0</v>
      </c>
      <c r="C86">
        <f t="shared" si="9"/>
        <v>3.7037556186891711E-3</v>
      </c>
      <c r="D86">
        <f t="shared" si="10"/>
        <v>1.3717805682971605E-5</v>
      </c>
      <c r="E86">
        <f t="shared" si="11"/>
        <v>0.16951389235453571</v>
      </c>
      <c r="J86" t="s">
        <v>104</v>
      </c>
      <c r="K86">
        <f>1-(D101/E101)</f>
        <v>0.99799501294549953</v>
      </c>
    </row>
    <row r="87" spans="1:11">
      <c r="A87">
        <v>50</v>
      </c>
      <c r="B87">
        <v>0</v>
      </c>
      <c r="C87">
        <f t="shared" si="9"/>
        <v>4.8712358016577747E-3</v>
      </c>
      <c r="D87">
        <f t="shared" si="10"/>
        <v>2.3728938235352461E-5</v>
      </c>
      <c r="E87">
        <f t="shared" si="11"/>
        <v>0.16951389235453571</v>
      </c>
    </row>
    <row r="88" spans="1:11">
      <c r="A88">
        <v>60</v>
      </c>
      <c r="B88">
        <v>0</v>
      </c>
      <c r="C88">
        <f t="shared" si="9"/>
        <v>6.4043579065814656E-3</v>
      </c>
      <c r="D88">
        <f t="shared" si="10"/>
        <v>4.1015800195592533E-5</v>
      </c>
      <c r="E88">
        <f t="shared" si="11"/>
        <v>0.16951389235453571</v>
      </c>
      <c r="J88" t="s">
        <v>105</v>
      </c>
      <c r="K88">
        <v>4</v>
      </c>
    </row>
    <row r="89" spans="1:11">
      <c r="A89">
        <v>90</v>
      </c>
      <c r="B89">
        <v>0</v>
      </c>
      <c r="C89">
        <f t="shared" si="9"/>
        <v>1.4502391353420805E-2</v>
      </c>
      <c r="D89">
        <f t="shared" si="10"/>
        <v>2.1031935496777451E-4</v>
      </c>
      <c r="E89">
        <f t="shared" si="11"/>
        <v>0.16951389235453571</v>
      </c>
      <c r="J89" t="s">
        <v>8</v>
      </c>
      <c r="K89">
        <v>4</v>
      </c>
    </row>
    <row r="90" spans="1:11">
      <c r="A90">
        <v>150</v>
      </c>
      <c r="B90">
        <v>0.02</v>
      </c>
      <c r="C90">
        <f t="shared" si="9"/>
        <v>7.1239984260274336E-2</v>
      </c>
      <c r="D90">
        <f t="shared" si="10"/>
        <v>2.6255359869931613E-3</v>
      </c>
      <c r="E90">
        <f t="shared" si="11"/>
        <v>0.15344506641680544</v>
      </c>
      <c r="J90" t="s">
        <v>12</v>
      </c>
      <c r="K90">
        <v>100</v>
      </c>
    </row>
    <row r="91" spans="1:11">
      <c r="A91">
        <v>210</v>
      </c>
      <c r="B91">
        <v>0.28999999999999998</v>
      </c>
      <c r="C91">
        <f t="shared" si="9"/>
        <v>0.28561870142715406</v>
      </c>
      <c r="D91">
        <f t="shared" si="10"/>
        <v>1.9195777184421655E-5</v>
      </c>
      <c r="E91">
        <f t="shared" si="11"/>
        <v>1.4815916257446875E-2</v>
      </c>
      <c r="J91" t="s">
        <v>106</v>
      </c>
      <c r="K91">
        <v>19</v>
      </c>
    </row>
    <row r="92" spans="1:11">
      <c r="A92">
        <v>235</v>
      </c>
      <c r="B92">
        <v>0.45</v>
      </c>
      <c r="C92">
        <f t="shared" si="9"/>
        <v>0.44304155613088492</v>
      </c>
      <c r="D92">
        <f t="shared" si="10"/>
        <v>4.841994107962544E-5</v>
      </c>
      <c r="E92">
        <f t="shared" si="11"/>
        <v>1.4653087556047526E-3</v>
      </c>
      <c r="J92" t="s">
        <v>107</v>
      </c>
      <c r="K92">
        <v>2</v>
      </c>
    </row>
    <row r="93" spans="1:11">
      <c r="A93">
        <v>260</v>
      </c>
      <c r="B93">
        <v>0.63</v>
      </c>
      <c r="C93">
        <f t="shared" si="9"/>
        <v>0.61280184181273845</v>
      </c>
      <c r="D93">
        <f t="shared" si="10"/>
        <v>2.9577664503407176E-4</v>
      </c>
      <c r="E93">
        <f t="shared" si="11"/>
        <v>4.7645875316032371E-2</v>
      </c>
    </row>
    <row r="94" spans="1:11">
      <c r="A94">
        <v>280</v>
      </c>
      <c r="B94">
        <v>0.74</v>
      </c>
      <c r="C94">
        <f t="shared" si="9"/>
        <v>0.73291263506810544</v>
      </c>
      <c r="D94">
        <f t="shared" si="10"/>
        <v>5.0230741677848591E-5</v>
      </c>
      <c r="E94">
        <f t="shared" si="11"/>
        <v>0.1077673326585159</v>
      </c>
    </row>
    <row r="95" spans="1:11">
      <c r="A95">
        <v>290</v>
      </c>
      <c r="B95">
        <v>0.79</v>
      </c>
      <c r="C95">
        <f t="shared" si="9"/>
        <v>0.78323577494015173</v>
      </c>
      <c r="D95">
        <f t="shared" si="10"/>
        <v>4.5754740660279815E-5</v>
      </c>
      <c r="E95">
        <f t="shared" si="11"/>
        <v>0.14309526781419027</v>
      </c>
    </row>
    <row r="96" spans="1:11">
      <c r="A96">
        <v>300</v>
      </c>
      <c r="B96">
        <v>0.83</v>
      </c>
      <c r="C96">
        <f t="shared" si="9"/>
        <v>0.82632412990238668</v>
      </c>
      <c r="D96">
        <f t="shared" si="10"/>
        <v>1.3512020974527437E-5</v>
      </c>
      <c r="E96">
        <f t="shared" si="11"/>
        <v>0.17495761593872969</v>
      </c>
    </row>
    <row r="97" spans="1:11">
      <c r="A97">
        <v>315</v>
      </c>
      <c r="B97">
        <v>0.87</v>
      </c>
      <c r="C97">
        <f t="shared" si="9"/>
        <v>0.87788534599245627</v>
      </c>
      <c r="D97">
        <f t="shared" si="10"/>
        <v>6.2178681420746191E-5</v>
      </c>
      <c r="E97">
        <f t="shared" si="11"/>
        <v>0.2100199640632692</v>
      </c>
    </row>
    <row r="98" spans="1:11">
      <c r="A98">
        <v>320</v>
      </c>
      <c r="B98">
        <v>0.88</v>
      </c>
      <c r="C98">
        <f t="shared" si="9"/>
        <v>0.89188502902136768</v>
      </c>
      <c r="D98">
        <f t="shared" si="10"/>
        <v>1.4125391483875191E-4</v>
      </c>
      <c r="E98">
        <f t="shared" si="11"/>
        <v>0.21928555109440406</v>
      </c>
    </row>
    <row r="99" spans="1:11">
      <c r="A99">
        <v>330</v>
      </c>
      <c r="B99">
        <v>0.89</v>
      </c>
      <c r="C99">
        <f t="shared" si="9"/>
        <v>0.91570061170944217</v>
      </c>
      <c r="D99">
        <f t="shared" si="10"/>
        <v>6.6052144223951526E-4</v>
      </c>
      <c r="E99">
        <f t="shared" si="11"/>
        <v>0.22875113812553893</v>
      </c>
    </row>
    <row r="100" spans="1:11">
      <c r="A100">
        <v>340</v>
      </c>
      <c r="B100">
        <v>0.9</v>
      </c>
      <c r="C100">
        <f t="shared" si="9"/>
        <v>0.93465445898027855</v>
      </c>
      <c r="D100">
        <f t="shared" si="10"/>
        <v>1.200931527215807E-3</v>
      </c>
      <c r="E100">
        <f t="shared" si="11"/>
        <v>0.23841672515667381</v>
      </c>
    </row>
    <row r="101" spans="1:11">
      <c r="C101">
        <f>AVERAGE(C83:C100)</f>
        <v>0.41172064844325662</v>
      </c>
      <c r="D101">
        <f>SUM(D83:D100)</f>
        <v>5.4661220383617846E-3</v>
      </c>
      <c r="E101">
        <f>SUM(E83:E100)</f>
        <v>2.7262630080789609</v>
      </c>
    </row>
    <row r="108" spans="1:11">
      <c r="B108" t="s">
        <v>55</v>
      </c>
    </row>
    <row r="109" spans="1:11">
      <c r="A109" t="s">
        <v>29</v>
      </c>
      <c r="B109" t="s">
        <v>43</v>
      </c>
      <c r="C109" t="s">
        <v>112</v>
      </c>
      <c r="D109" t="s">
        <v>100</v>
      </c>
      <c r="E109" t="s">
        <v>101</v>
      </c>
    </row>
    <row r="110" spans="1:11">
      <c r="A110">
        <v>0</v>
      </c>
      <c r="B110">
        <v>0</v>
      </c>
      <c r="C110">
        <f>(($K$116)*(EXP(($K$111)*(A110-$K$112))))/(1+EXP(($K$111)*(A110-$K$112))*($K$116))</f>
        <v>3.8945744226917038E-2</v>
      </c>
      <c r="D110">
        <f>(B110-C110)^2</f>
        <v>1.5167709933884418E-3</v>
      </c>
      <c r="E110">
        <f>(B110-C$119)^2</f>
        <v>0.28245568225293849</v>
      </c>
    </row>
    <row r="111" spans="1:11" ht="15.6">
      <c r="A111">
        <v>10</v>
      </c>
      <c r="B111">
        <v>0</v>
      </c>
      <c r="C111">
        <f t="shared" ref="C111:C118" si="12">(($K$116)*(EXP(($K$111)*(A111-$K$112))))/(1+EXP(($K$111)*(A111-$K$112))*($K$116))</f>
        <v>7.7229583749725467E-2</v>
      </c>
      <c r="D111">
        <f t="shared" ref="D111:D118" si="13">(B111-C111)^2</f>
        <v>5.9644086061558599E-3</v>
      </c>
      <c r="E111">
        <f t="shared" ref="E111:E118" si="14">(B111-C$119)^2</f>
        <v>0.28245568225293849</v>
      </c>
      <c r="J111" t="s">
        <v>168</v>
      </c>
      <c r="K111" s="4">
        <v>7.25263486828817E-2</v>
      </c>
    </row>
    <row r="112" spans="1:11" ht="15.6">
      <c r="A112">
        <v>20</v>
      </c>
      <c r="B112">
        <v>0.08</v>
      </c>
      <c r="C112">
        <f t="shared" si="12"/>
        <v>0.14737563828871988</v>
      </c>
      <c r="D112">
        <f t="shared" si="13"/>
        <v>4.5394766348124168E-3</v>
      </c>
      <c r="E112">
        <f t="shared" si="14"/>
        <v>0.20382118651341388</v>
      </c>
      <c r="J112" s="22" t="s">
        <v>169</v>
      </c>
      <c r="K112" s="4">
        <v>107.699225025901</v>
      </c>
    </row>
    <row r="113" spans="1:19">
      <c r="A113">
        <v>30</v>
      </c>
      <c r="B113">
        <v>0.32</v>
      </c>
      <c r="C113">
        <f t="shared" si="12"/>
        <v>0.26307035883146251</v>
      </c>
      <c r="D113">
        <f t="shared" si="13"/>
        <v>3.2409840435784387E-3</v>
      </c>
      <c r="E113">
        <f t="shared" si="14"/>
        <v>4.4717699294840131E-2</v>
      </c>
    </row>
    <row r="114" spans="1:19">
      <c r="A114">
        <v>48</v>
      </c>
      <c r="B114">
        <v>0.62</v>
      </c>
      <c r="C114">
        <f t="shared" si="12"/>
        <v>0.56841894186083064</v>
      </c>
      <c r="D114">
        <f t="shared" si="13"/>
        <v>2.6606055587563692E-3</v>
      </c>
      <c r="E114">
        <f t="shared" si="14"/>
        <v>7.8383402716229317E-3</v>
      </c>
      <c r="J114" t="s">
        <v>104</v>
      </c>
      <c r="K114">
        <f>(1-(D119/E119))</f>
        <v>0.96417968990605241</v>
      </c>
    </row>
    <row r="115" spans="1:19">
      <c r="A115">
        <v>60</v>
      </c>
      <c r="B115">
        <v>0.74</v>
      </c>
      <c r="C115">
        <f t="shared" si="12"/>
        <v>0.75872820882211778</v>
      </c>
      <c r="D115">
        <f t="shared" si="13"/>
        <v>3.507458056848505E-4</v>
      </c>
      <c r="E115">
        <f t="shared" si="14"/>
        <v>4.3486596662336049E-2</v>
      </c>
    </row>
    <row r="116" spans="1:19">
      <c r="A116">
        <v>85</v>
      </c>
      <c r="B116">
        <v>0.86</v>
      </c>
      <c r="C116">
        <f t="shared" si="12"/>
        <v>0.95068142710631665</v>
      </c>
      <c r="D116">
        <f t="shared" si="13"/>
        <v>8.223121222038221E-3</v>
      </c>
      <c r="E116">
        <f t="shared" si="14"/>
        <v>0.10793485305304916</v>
      </c>
      <c r="J116" t="s">
        <v>12</v>
      </c>
      <c r="K116">
        <v>100</v>
      </c>
    </row>
    <row r="117" spans="1:19">
      <c r="A117">
        <v>100</v>
      </c>
      <c r="B117">
        <v>0.89</v>
      </c>
      <c r="C117">
        <f t="shared" si="12"/>
        <v>0.98282157753531507</v>
      </c>
      <c r="D117">
        <f t="shared" si="13"/>
        <v>8.6158452561445054E-3</v>
      </c>
      <c r="E117">
        <f t="shared" si="14"/>
        <v>0.12854691715072747</v>
      </c>
      <c r="J117" t="s">
        <v>8</v>
      </c>
      <c r="K117">
        <v>12</v>
      </c>
    </row>
    <row r="118" spans="1:19">
      <c r="A118">
        <v>120</v>
      </c>
      <c r="B118">
        <v>0.9</v>
      </c>
      <c r="C118">
        <f t="shared" si="12"/>
        <v>0.99591890492685287</v>
      </c>
      <c r="D118">
        <f t="shared" si="13"/>
        <v>9.2004363223666345E-3</v>
      </c>
      <c r="E118">
        <f t="shared" si="14"/>
        <v>0.13581760518328689</v>
      </c>
      <c r="J118" t="s">
        <v>105</v>
      </c>
      <c r="K118">
        <v>4</v>
      </c>
      <c r="S118" s="22" t="s">
        <v>169</v>
      </c>
    </row>
    <row r="119" spans="1:19">
      <c r="C119">
        <f>AVERAGE(C110:C118)</f>
        <v>0.53146559837202867</v>
      </c>
      <c r="D119">
        <f>SUM(D110:D118)</f>
        <v>4.4312394442925736E-2</v>
      </c>
      <c r="E119">
        <f>SUM(E110:E118)</f>
        <v>1.2370745626351534</v>
      </c>
    </row>
    <row r="123" spans="1:19">
      <c r="A123" t="s">
        <v>173</v>
      </c>
    </row>
    <row r="125" spans="1:19">
      <c r="A125" t="s">
        <v>63</v>
      </c>
      <c r="B125" t="s">
        <v>64</v>
      </c>
    </row>
    <row r="126" spans="1:19">
      <c r="A126" t="s">
        <v>29</v>
      </c>
      <c r="B126" t="s">
        <v>43</v>
      </c>
      <c r="C126" t="s">
        <v>99</v>
      </c>
      <c r="D126" t="s">
        <v>100</v>
      </c>
      <c r="E126" t="s">
        <v>101</v>
      </c>
    </row>
    <row r="127" spans="1:19" ht="15.6">
      <c r="A127">
        <v>0</v>
      </c>
      <c r="B127">
        <v>0</v>
      </c>
      <c r="C127">
        <f>(($K$132)*(EXP(($K$127)*(A127-$K$128))))/(1+EXP(($K$127)*(A127-$K$128))*($K$132))</f>
        <v>1.2829382404258231E-2</v>
      </c>
      <c r="D127">
        <f>(B127-C127)^2</f>
        <v>1.6459305287469072E-4</v>
      </c>
      <c r="E127">
        <f>(B127-C$144)^2</f>
        <v>0.12982939807845187</v>
      </c>
      <c r="J127" t="s">
        <v>168</v>
      </c>
      <c r="K127" s="4">
        <v>2.0388147561627101E-2</v>
      </c>
    </row>
    <row r="128" spans="1:19" ht="15.6">
      <c r="A128">
        <v>10</v>
      </c>
      <c r="B128">
        <v>0</v>
      </c>
      <c r="C128">
        <f t="shared" ref="C128:C143" si="15">(($K$132)*(EXP(($K$127)*(A128-$K$128))))/(1+EXP(($K$127)*(A128-$K$128))*($K$132))</f>
        <v>1.5685274091178605E-2</v>
      </c>
      <c r="D128">
        <f t="shared" ref="D128:D143" si="16">(B128-C128)^2</f>
        <v>2.4602782331539883E-4</v>
      </c>
      <c r="E128">
        <f t="shared" ref="E128:E143" si="17">(B128-C$144)^2</f>
        <v>0.12982939807845187</v>
      </c>
      <c r="J128" s="22" t="s">
        <v>169</v>
      </c>
      <c r="K128" s="4">
        <v>404.89837682338799</v>
      </c>
    </row>
    <row r="129" spans="1:11">
      <c r="A129">
        <v>22</v>
      </c>
      <c r="B129">
        <v>0</v>
      </c>
      <c r="C129">
        <f t="shared" si="15"/>
        <v>1.9946262882442105E-2</v>
      </c>
      <c r="D129">
        <f t="shared" si="16"/>
        <v>3.978534029754876E-4</v>
      </c>
      <c r="E129">
        <f t="shared" si="17"/>
        <v>0.12982939807845187</v>
      </c>
    </row>
    <row r="130" spans="1:11">
      <c r="A130">
        <v>30</v>
      </c>
      <c r="B130">
        <v>0</v>
      </c>
      <c r="C130">
        <f t="shared" si="15"/>
        <v>2.3397274028057354E-2</v>
      </c>
      <c r="D130">
        <f t="shared" si="16"/>
        <v>5.4743243194400719E-4</v>
      </c>
      <c r="E130">
        <f t="shared" si="17"/>
        <v>0.12982939807845187</v>
      </c>
      <c r="J130" t="s">
        <v>104</v>
      </c>
      <c r="K130">
        <f>1-(D144/E144)</f>
        <v>0.99097562909495174</v>
      </c>
    </row>
    <row r="131" spans="1:11">
      <c r="A131">
        <v>41</v>
      </c>
      <c r="B131">
        <v>0</v>
      </c>
      <c r="C131">
        <f t="shared" si="15"/>
        <v>2.9108321817788142E-2</v>
      </c>
      <c r="D131">
        <f t="shared" si="16"/>
        <v>8.4729439904792118E-4</v>
      </c>
      <c r="E131">
        <f t="shared" si="17"/>
        <v>0.12982939807845187</v>
      </c>
    </row>
    <row r="132" spans="1:11">
      <c r="A132">
        <v>50</v>
      </c>
      <c r="B132">
        <v>0</v>
      </c>
      <c r="C132">
        <f t="shared" si="15"/>
        <v>3.4767113807038792E-2</v>
      </c>
      <c r="D132">
        <f t="shared" si="16"/>
        <v>1.2087522024715875E-3</v>
      </c>
      <c r="E132">
        <f t="shared" si="17"/>
        <v>0.12982939807845187</v>
      </c>
      <c r="J132" t="s">
        <v>12</v>
      </c>
      <c r="K132">
        <v>50</v>
      </c>
    </row>
    <row r="133" spans="1:11">
      <c r="A133">
        <v>60</v>
      </c>
      <c r="B133">
        <v>0</v>
      </c>
      <c r="C133">
        <f t="shared" si="15"/>
        <v>4.2297224919563482E-2</v>
      </c>
      <c r="D133">
        <f t="shared" si="16"/>
        <v>1.7890552358961419E-3</v>
      </c>
      <c r="E133">
        <f t="shared" si="17"/>
        <v>0.12982939807845187</v>
      </c>
      <c r="J133" t="s">
        <v>8</v>
      </c>
      <c r="K133">
        <v>8</v>
      </c>
    </row>
    <row r="134" spans="1:11">
      <c r="A134">
        <v>80</v>
      </c>
      <c r="B134">
        <v>0.01</v>
      </c>
      <c r="C134">
        <f t="shared" si="15"/>
        <v>6.2265868770288786E-2</v>
      </c>
      <c r="D134">
        <f t="shared" si="16"/>
        <v>2.7317210383130484E-3</v>
      </c>
      <c r="E134">
        <f t="shared" si="17"/>
        <v>0.1227230287268726</v>
      </c>
      <c r="J134" t="s">
        <v>105</v>
      </c>
      <c r="K134">
        <v>4</v>
      </c>
    </row>
    <row r="135" spans="1:11">
      <c r="A135">
        <v>100</v>
      </c>
      <c r="B135">
        <v>0.05</v>
      </c>
      <c r="C135">
        <f t="shared" si="15"/>
        <v>9.0768280104694163E-2</v>
      </c>
      <c r="D135">
        <f t="shared" si="16"/>
        <v>1.6620526626948016E-3</v>
      </c>
      <c r="E135">
        <f t="shared" si="17"/>
        <v>9.6297551320555619E-2</v>
      </c>
      <c r="J135" t="s">
        <v>107</v>
      </c>
      <c r="K135">
        <v>2</v>
      </c>
    </row>
    <row r="136" spans="1:11">
      <c r="A136">
        <v>155</v>
      </c>
      <c r="B136">
        <v>0.26</v>
      </c>
      <c r="C136">
        <f t="shared" si="15"/>
        <v>0.23452363338392496</v>
      </c>
      <c r="D136">
        <f t="shared" si="16"/>
        <v>6.4904525595666342E-4</v>
      </c>
      <c r="E136">
        <f t="shared" si="17"/>
        <v>1.0063794937391353E-2</v>
      </c>
      <c r="J136" t="s">
        <v>106</v>
      </c>
      <c r="K136">
        <v>17</v>
      </c>
    </row>
    <row r="137" spans="1:11">
      <c r="A137">
        <v>210</v>
      </c>
      <c r="B137">
        <v>0.54</v>
      </c>
      <c r="C137">
        <f t="shared" si="15"/>
        <v>0.48460640119112347</v>
      </c>
      <c r="D137">
        <f t="shared" si="16"/>
        <v>3.0684507889987712E-3</v>
      </c>
      <c r="E137">
        <f t="shared" si="17"/>
        <v>3.2285453093172357E-2</v>
      </c>
    </row>
    <row r="138" spans="1:11">
      <c r="A138">
        <v>240</v>
      </c>
      <c r="B138">
        <v>0.66</v>
      </c>
      <c r="C138">
        <f t="shared" si="15"/>
        <v>0.63414732264830187</v>
      </c>
      <c r="D138">
        <f t="shared" si="16"/>
        <v>6.68360926251007E-4</v>
      </c>
      <c r="E138">
        <f t="shared" si="17"/>
        <v>8.9809020874221351E-2</v>
      </c>
    </row>
    <row r="139" spans="1:11">
      <c r="A139">
        <v>280</v>
      </c>
      <c r="B139">
        <v>0.79</v>
      </c>
      <c r="C139">
        <f t="shared" si="15"/>
        <v>0.79666452529264398</v>
      </c>
      <c r="D139">
        <f t="shared" si="16"/>
        <v>4.441589737629081E-5</v>
      </c>
      <c r="E139">
        <f t="shared" si="17"/>
        <v>0.18462621930369111</v>
      </c>
    </row>
    <row r="140" spans="1:11">
      <c r="A140">
        <v>300</v>
      </c>
      <c r="B140">
        <v>0.83</v>
      </c>
      <c r="C140">
        <f t="shared" si="15"/>
        <v>0.85487246912833648</v>
      </c>
      <c r="D140">
        <f t="shared" si="16"/>
        <v>6.1863972054005301E-4</v>
      </c>
      <c r="E140">
        <f t="shared" si="17"/>
        <v>0.22060074189737405</v>
      </c>
    </row>
    <row r="141" spans="1:11">
      <c r="A141">
        <v>320</v>
      </c>
      <c r="B141">
        <v>0.86</v>
      </c>
      <c r="C141">
        <f t="shared" si="15"/>
        <v>0.89853961521319836</v>
      </c>
      <c r="D141">
        <f t="shared" si="16"/>
        <v>1.4853019407813917E-3</v>
      </c>
      <c r="E141">
        <f t="shared" si="17"/>
        <v>0.24968163384263631</v>
      </c>
    </row>
    <row r="142" spans="1:11">
      <c r="A142">
        <v>340</v>
      </c>
      <c r="B142">
        <v>0.88</v>
      </c>
      <c r="C142">
        <f t="shared" si="15"/>
        <v>0.93014152370182346</v>
      </c>
      <c r="D142">
        <f t="shared" si="16"/>
        <v>2.514172399140523E-3</v>
      </c>
      <c r="E142">
        <f t="shared" si="17"/>
        <v>0.2700688951394779</v>
      </c>
    </row>
    <row r="143" spans="1:11">
      <c r="A143">
        <v>370</v>
      </c>
      <c r="B143">
        <v>0.9</v>
      </c>
      <c r="C143">
        <f t="shared" si="15"/>
        <v>0.96085345545770096</v>
      </c>
      <c r="D143">
        <f t="shared" si="16"/>
        <v>3.7031430411423915E-3</v>
      </c>
      <c r="E143">
        <f t="shared" si="17"/>
        <v>0.29125615643631941</v>
      </c>
    </row>
    <row r="144" spans="1:11">
      <c r="C144">
        <f>AVERAGE(C127:C143)</f>
        <v>0.36031846757896252</v>
      </c>
      <c r="D144">
        <f>SUM(D127:D143)</f>
        <v>2.2346312219720176E-2</v>
      </c>
      <c r="E144">
        <f>SUM(E127:E143)</f>
        <v>2.4762182821208754</v>
      </c>
    </row>
    <row r="150" spans="1:11">
      <c r="B150" t="s">
        <v>66</v>
      </c>
    </row>
    <row r="151" spans="1:11">
      <c r="A151" t="s">
        <v>29</v>
      </c>
      <c r="B151" t="s">
        <v>43</v>
      </c>
      <c r="C151" t="s">
        <v>99</v>
      </c>
      <c r="D151" t="s">
        <v>100</v>
      </c>
      <c r="E151" t="s">
        <v>101</v>
      </c>
    </row>
    <row r="152" spans="1:11" ht="15.6">
      <c r="A152">
        <v>0</v>
      </c>
      <c r="B152">
        <v>0</v>
      </c>
      <c r="C152">
        <f>(($K$157)*(EXP(($K$152)*(A152-$K$153))))/(1+EXP(($K$152)*(A152-$K$153))*($K$157))</f>
        <v>2.277462223137626E-2</v>
      </c>
      <c r="D152">
        <f>(B152-C152)^2</f>
        <v>5.1868341778189776E-4</v>
      </c>
      <c r="E152">
        <f>(B152-C$162)^2</f>
        <v>0.26528280305378282</v>
      </c>
      <c r="J152" t="s">
        <v>168</v>
      </c>
      <c r="K152" s="4">
        <v>8.9175536066372907E-2</v>
      </c>
    </row>
    <row r="153" spans="1:11" ht="15.6">
      <c r="A153">
        <v>10</v>
      </c>
      <c r="B153">
        <v>0</v>
      </c>
      <c r="C153">
        <f t="shared" ref="C153:C161" si="18">(($K$157)*(EXP(($K$152)*(A153-$K$153))))/(1+EXP(($K$152)*(A153-$K$153))*($K$157))</f>
        <v>5.379314871585035E-2</v>
      </c>
      <c r="D153">
        <f t="shared" ref="D153:D161" si="19">(B153-C153)^2</f>
        <v>2.8937028487655923E-3</v>
      </c>
      <c r="E153">
        <f t="shared" ref="E153:E161" si="20">(B153-C$162)^2</f>
        <v>0.26528280305378282</v>
      </c>
      <c r="J153" s="22" t="s">
        <v>169</v>
      </c>
      <c r="K153" s="4">
        <v>98.342058078301093</v>
      </c>
    </row>
    <row r="154" spans="1:11">
      <c r="A154">
        <v>15</v>
      </c>
      <c r="B154">
        <v>0.01</v>
      </c>
      <c r="C154">
        <f t="shared" si="18"/>
        <v>8.1552526070564541E-2</v>
      </c>
      <c r="D154">
        <f t="shared" si="19"/>
        <v>5.1197639870788191E-3</v>
      </c>
      <c r="E154">
        <f t="shared" si="20"/>
        <v>0.25508168072553561</v>
      </c>
    </row>
    <row r="155" spans="1:11">
      <c r="A155">
        <v>25</v>
      </c>
      <c r="B155">
        <v>0.2</v>
      </c>
      <c r="C155">
        <f t="shared" si="18"/>
        <v>0.17804021024589414</v>
      </c>
      <c r="D155">
        <f t="shared" si="19"/>
        <v>4.8223236604453309E-4</v>
      </c>
      <c r="E155">
        <f t="shared" si="20"/>
        <v>9.92603564888387E-2</v>
      </c>
      <c r="J155" t="s">
        <v>104</v>
      </c>
      <c r="K155">
        <f>1-(D162/E162)</f>
        <v>0.98335962778865649</v>
      </c>
    </row>
    <row r="156" spans="1:11">
      <c r="A156">
        <v>40</v>
      </c>
      <c r="B156">
        <v>0.48</v>
      </c>
      <c r="C156">
        <f t="shared" si="18"/>
        <v>0.45213477413336867</v>
      </c>
      <c r="D156">
        <f t="shared" si="19"/>
        <v>7.7647081259837891E-4</v>
      </c>
      <c r="E156">
        <f t="shared" si="20"/>
        <v>1.228931297916956E-3</v>
      </c>
    </row>
    <row r="157" spans="1:11">
      <c r="A157">
        <v>50</v>
      </c>
      <c r="B157">
        <v>0.69</v>
      </c>
      <c r="C157">
        <f t="shared" si="18"/>
        <v>0.66812266305911605</v>
      </c>
      <c r="D157">
        <f t="shared" si="19"/>
        <v>4.7861787162496315E-4</v>
      </c>
      <c r="E157">
        <f t="shared" si="20"/>
        <v>3.0605362404725625E-2</v>
      </c>
      <c r="J157" t="s">
        <v>12</v>
      </c>
      <c r="K157">
        <v>150</v>
      </c>
    </row>
    <row r="158" spans="1:11">
      <c r="A158">
        <v>60</v>
      </c>
      <c r="B158">
        <v>0.83</v>
      </c>
      <c r="C158">
        <f t="shared" si="18"/>
        <v>0.83082165619796533</v>
      </c>
      <c r="D158">
        <f t="shared" si="19"/>
        <v>6.7511890765490775E-7</v>
      </c>
      <c r="E158">
        <f t="shared" si="20"/>
        <v>9.9189649809264743E-2</v>
      </c>
      <c r="J158" t="s">
        <v>8</v>
      </c>
      <c r="K158">
        <v>8</v>
      </c>
    </row>
    <row r="159" spans="1:11">
      <c r="A159">
        <v>70</v>
      </c>
      <c r="B159">
        <v>0.88</v>
      </c>
      <c r="C159">
        <f t="shared" si="18"/>
        <v>0.92295686724804948</v>
      </c>
      <c r="D159">
        <f t="shared" si="19"/>
        <v>1.845292443766546E-3</v>
      </c>
      <c r="E159">
        <f t="shared" si="20"/>
        <v>0.13318403816802873</v>
      </c>
      <c r="J159" t="s">
        <v>105</v>
      </c>
      <c r="K159">
        <v>4</v>
      </c>
    </row>
    <row r="160" spans="1:11">
      <c r="A160">
        <v>75</v>
      </c>
      <c r="B160">
        <v>0.89</v>
      </c>
      <c r="C160">
        <f t="shared" si="18"/>
        <v>0.94926609607764312</v>
      </c>
      <c r="D160">
        <f t="shared" si="19"/>
        <v>3.5124701442844236E-3</v>
      </c>
      <c r="E160">
        <f t="shared" si="20"/>
        <v>0.14058291583978155</v>
      </c>
      <c r="J160" t="s">
        <v>107</v>
      </c>
      <c r="K160">
        <v>2</v>
      </c>
    </row>
    <row r="161" spans="1:18">
      <c r="A161">
        <v>95</v>
      </c>
      <c r="B161">
        <v>0.9</v>
      </c>
      <c r="C161">
        <f t="shared" si="18"/>
        <v>0.99109860014377504</v>
      </c>
      <c r="D161">
        <f t="shared" si="19"/>
        <v>8.2989549481554056E-3</v>
      </c>
      <c r="E161">
        <f t="shared" si="20"/>
        <v>0.14818179351153435</v>
      </c>
      <c r="J161" t="s">
        <v>106</v>
      </c>
      <c r="K161">
        <v>10</v>
      </c>
    </row>
    <row r="162" spans="1:18">
      <c r="C162">
        <f>AVERAGE(C152:C161)</f>
        <v>0.51505611641236027</v>
      </c>
      <c r="D162">
        <f>SUM(D152:D161)</f>
        <v>2.3926863959008216E-2</v>
      </c>
      <c r="E162">
        <f>SUM(E152:E161)</f>
        <v>1.4378803343531918</v>
      </c>
      <c r="R162" s="22" t="s">
        <v>169</v>
      </c>
    </row>
    <row r="167" spans="1:18">
      <c r="A167" t="s">
        <v>174</v>
      </c>
    </row>
    <row r="169" spans="1:18">
      <c r="B169" t="s">
        <v>111</v>
      </c>
    </row>
    <row r="170" spans="1:18">
      <c r="A170" t="s">
        <v>29</v>
      </c>
      <c r="B170" t="s">
        <v>43</v>
      </c>
      <c r="C170" t="s">
        <v>99</v>
      </c>
      <c r="D170" t="s">
        <v>100</v>
      </c>
      <c r="E170" t="s">
        <v>101</v>
      </c>
    </row>
    <row r="171" spans="1:18" ht="15.6">
      <c r="A171">
        <v>0</v>
      </c>
      <c r="B171">
        <v>0</v>
      </c>
      <c r="C171">
        <f>(($K$176)*(EXP(($K$171)*(A171-$K$172))))/(1+EXP(($K$171)*(A171-$K$172))*($K$176))</f>
        <v>5.3072098963482129E-3</v>
      </c>
      <c r="D171">
        <f>(B171-C171)^2</f>
        <v>2.8166476883896407E-5</v>
      </c>
      <c r="E171">
        <f>(B171-C$185)^2</f>
        <v>0.19178467137972285</v>
      </c>
      <c r="J171" t="s">
        <v>168</v>
      </c>
      <c r="K171" s="4">
        <v>5.4206377957566797E-2</v>
      </c>
    </row>
    <row r="172" spans="1:18" ht="15.6">
      <c r="A172">
        <v>20</v>
      </c>
      <c r="B172">
        <v>0</v>
      </c>
      <c r="C172">
        <f t="shared" ref="C172:C184" si="21">(($K$176)*(EXP(($K$171)*(A172-$K$172))))/(1+EXP(($K$171)*(A172-$K$172))*($K$176))</f>
        <v>1.5531370937269152E-2</v>
      </c>
      <c r="D172">
        <f t="shared" ref="D172:D184" si="22">(B172-C172)^2</f>
        <v>2.4122348319104885E-4</v>
      </c>
      <c r="E172">
        <f t="shared" ref="E172:E184" si="23">(B172-C$185)^2</f>
        <v>0.19178467137972285</v>
      </c>
      <c r="J172" s="22" t="s">
        <v>169</v>
      </c>
      <c r="K172" s="4">
        <v>181.50148079619399</v>
      </c>
    </row>
    <row r="173" spans="1:18">
      <c r="A173">
        <v>30</v>
      </c>
      <c r="B173">
        <v>0</v>
      </c>
      <c r="C173">
        <f t="shared" si="21"/>
        <v>2.6411830817561349E-2</v>
      </c>
      <c r="D173">
        <f t="shared" si="22"/>
        <v>6.9758480713548346E-4</v>
      </c>
      <c r="E173">
        <f t="shared" si="23"/>
        <v>0.19178467137972285</v>
      </c>
    </row>
    <row r="174" spans="1:18">
      <c r="A174">
        <v>40</v>
      </c>
      <c r="B174">
        <v>0</v>
      </c>
      <c r="C174">
        <f t="shared" si="21"/>
        <v>4.4569486886753766E-2</v>
      </c>
      <c r="D174">
        <f t="shared" si="22"/>
        <v>1.9864391613485157E-3</v>
      </c>
      <c r="E174">
        <f t="shared" si="23"/>
        <v>0.19178467137972285</v>
      </c>
      <c r="J174" t="s">
        <v>104</v>
      </c>
      <c r="K174">
        <f>1-(D185/E185)</f>
        <v>0.99346923864357106</v>
      </c>
    </row>
    <row r="175" spans="1:18">
      <c r="A175">
        <v>50</v>
      </c>
      <c r="B175">
        <v>0.01</v>
      </c>
      <c r="C175">
        <f t="shared" si="21"/>
        <v>7.4258087861281741E-2</v>
      </c>
      <c r="D175">
        <f t="shared" si="22"/>
        <v>4.1291018555882041E-3</v>
      </c>
      <c r="E175">
        <f t="shared" si="23"/>
        <v>0.18312602601917255</v>
      </c>
    </row>
    <row r="176" spans="1:18">
      <c r="A176">
        <v>60</v>
      </c>
      <c r="B176">
        <v>0.11</v>
      </c>
      <c r="C176">
        <f t="shared" si="21"/>
        <v>0.12121387500800659</v>
      </c>
      <c r="D176">
        <f t="shared" si="22"/>
        <v>1.2575099269519487E-4</v>
      </c>
      <c r="E176">
        <f t="shared" si="23"/>
        <v>0.10753957241366965</v>
      </c>
      <c r="J176" t="s">
        <v>12</v>
      </c>
      <c r="K176">
        <v>100</v>
      </c>
    </row>
    <row r="177" spans="1:11">
      <c r="A177">
        <v>80</v>
      </c>
      <c r="B177">
        <v>0.32</v>
      </c>
      <c r="C177">
        <f t="shared" si="21"/>
        <v>0.28969672119414458</v>
      </c>
      <c r="D177">
        <f t="shared" si="22"/>
        <v>9.1828870638540673E-4</v>
      </c>
      <c r="E177">
        <f t="shared" si="23"/>
        <v>1.3908019842113531E-2</v>
      </c>
      <c r="J177" t="s">
        <v>8</v>
      </c>
      <c r="K177">
        <v>12</v>
      </c>
    </row>
    <row r="178" spans="1:11">
      <c r="A178">
        <v>96</v>
      </c>
      <c r="B178">
        <v>0.52</v>
      </c>
      <c r="C178">
        <f t="shared" si="21"/>
        <v>0.49261168831744973</v>
      </c>
      <c r="D178">
        <f t="shared" si="22"/>
        <v>7.5011961682052081E-4</v>
      </c>
      <c r="E178">
        <f t="shared" si="23"/>
        <v>6.7351126311077118E-3</v>
      </c>
      <c r="J178" t="s">
        <v>105</v>
      </c>
      <c r="K178">
        <v>4</v>
      </c>
    </row>
    <row r="179" spans="1:11">
      <c r="A179">
        <v>105</v>
      </c>
      <c r="B179">
        <v>0.62</v>
      </c>
      <c r="C179">
        <f t="shared" si="21"/>
        <v>0.6126112869876319</v>
      </c>
      <c r="D179">
        <f t="shared" si="22"/>
        <v>5.4593079979137649E-5</v>
      </c>
      <c r="E179">
        <f t="shared" si="23"/>
        <v>3.3148659025604793E-2</v>
      </c>
      <c r="J179" t="s">
        <v>106</v>
      </c>
      <c r="K179">
        <v>14</v>
      </c>
    </row>
    <row r="180" spans="1:11">
      <c r="A180">
        <v>122</v>
      </c>
      <c r="B180">
        <v>0.81</v>
      </c>
      <c r="C180">
        <f t="shared" si="21"/>
        <v>0.79896055257682985</v>
      </c>
      <c r="D180">
        <f t="shared" si="22"/>
        <v>1.218693994089392E-4</v>
      </c>
      <c r="E180">
        <f t="shared" si="23"/>
        <v>0.1384343971751493</v>
      </c>
      <c r="J180" t="s">
        <v>107</v>
      </c>
      <c r="K180">
        <v>2</v>
      </c>
    </row>
    <row r="181" spans="1:11">
      <c r="A181">
        <v>132</v>
      </c>
      <c r="B181">
        <v>0.86</v>
      </c>
      <c r="C181">
        <f t="shared" si="21"/>
        <v>0.87234728653770255</v>
      </c>
      <c r="D181">
        <f t="shared" si="22"/>
        <v>1.5245548484413092E-4</v>
      </c>
      <c r="E181">
        <f t="shared" si="23"/>
        <v>0.17814117037239779</v>
      </c>
    </row>
    <row r="182" spans="1:11">
      <c r="A182">
        <v>138</v>
      </c>
      <c r="B182">
        <v>0.88</v>
      </c>
      <c r="C182">
        <f t="shared" si="21"/>
        <v>0.90440117204444015</v>
      </c>
      <c r="D182">
        <f t="shared" si="22"/>
        <v>5.954171971423672E-4</v>
      </c>
      <c r="E182">
        <f t="shared" si="23"/>
        <v>0.19542387965129723</v>
      </c>
    </row>
    <row r="183" spans="1:11">
      <c r="A183">
        <v>143</v>
      </c>
      <c r="B183">
        <v>0.89</v>
      </c>
      <c r="C183">
        <f t="shared" si="21"/>
        <v>0.92540405892342437</v>
      </c>
      <c r="D183">
        <f t="shared" si="22"/>
        <v>1.2534473882533036E-3</v>
      </c>
      <c r="E183">
        <f t="shared" si="23"/>
        <v>0.20436523429074693</v>
      </c>
    </row>
    <row r="184" spans="1:11">
      <c r="A184">
        <v>150</v>
      </c>
      <c r="B184">
        <v>0.9</v>
      </c>
      <c r="C184">
        <f t="shared" si="21"/>
        <v>0.94772712439635942</v>
      </c>
      <c r="D184">
        <f t="shared" si="22"/>
        <v>2.2778784031455643E-3</v>
      </c>
      <c r="E184">
        <f t="shared" si="23"/>
        <v>0.21350658893019667</v>
      </c>
    </row>
    <row r="185" spans="1:11">
      <c r="C185">
        <f>AVERAGE(C171:C184)</f>
        <v>0.43793226802751456</v>
      </c>
      <c r="D185">
        <f>SUM(D171:D184)</f>
        <v>1.3332336052821714E-2</v>
      </c>
      <c r="E185">
        <f>SUM(E171:E184)</f>
        <v>2.0414673458703478</v>
      </c>
    </row>
    <row r="191" spans="1:11">
      <c r="B191" t="s">
        <v>175</v>
      </c>
    </row>
    <row r="192" spans="1:11">
      <c r="A192" t="s">
        <v>29</v>
      </c>
      <c r="B192" t="s">
        <v>43</v>
      </c>
      <c r="C192" t="s">
        <v>99</v>
      </c>
      <c r="D192" t="s">
        <v>100</v>
      </c>
      <c r="E192" t="s">
        <v>101</v>
      </c>
    </row>
    <row r="193" spans="1:11" ht="15.6">
      <c r="A193">
        <v>0</v>
      </c>
      <c r="B193">
        <v>0</v>
      </c>
      <c r="C193">
        <f>(($K$198)*(EXP(($K$193)*(A193-$K$194))))/(1+EXP(($K$193)*(A193-$K$194))*($K$198))</f>
        <v>7.7320590277781833E-4</v>
      </c>
      <c r="D193">
        <f>(B193-C193)^2</f>
        <v>5.9784736809046101E-7</v>
      </c>
      <c r="E193">
        <f>(B193-C$208)^2</f>
        <v>9.4271286878359131E-2</v>
      </c>
      <c r="J193" t="s">
        <v>168</v>
      </c>
      <c r="K193" s="4">
        <v>4.9989302942979902E-2</v>
      </c>
    </row>
    <row r="194" spans="1:11" ht="15.6">
      <c r="A194">
        <v>20</v>
      </c>
      <c r="B194">
        <v>0</v>
      </c>
      <c r="C194">
        <f t="shared" ref="C194:C207" si="24">(($K$198)*(EXP(($K$193)*(A194-$K$194))))/(1+EXP(($K$193)*(A194-$K$194))*($K$198))</f>
        <v>2.0985547773595009E-3</v>
      </c>
      <c r="D194">
        <f t="shared" ref="D194:D207" si="25">(B194-C194)^2</f>
        <v>4.4039321535783841E-6</v>
      </c>
      <c r="E194">
        <f t="shared" ref="E194:E207" si="26">(B194-C$208)^2</f>
        <v>9.4271286878359131E-2</v>
      </c>
      <c r="J194" s="22" t="s">
        <v>169</v>
      </c>
      <c r="K194" s="4">
        <v>235.43760693908399</v>
      </c>
    </row>
    <row r="195" spans="1:11">
      <c r="A195">
        <v>40</v>
      </c>
      <c r="B195">
        <v>0</v>
      </c>
      <c r="C195">
        <f t="shared" si="24"/>
        <v>5.6827584558347272E-3</v>
      </c>
      <c r="D195">
        <f t="shared" si="25"/>
        <v>3.2293743667361094E-5</v>
      </c>
      <c r="E195">
        <f t="shared" si="26"/>
        <v>9.4271286878359131E-2</v>
      </c>
    </row>
    <row r="196" spans="1:11">
      <c r="A196">
        <v>50</v>
      </c>
      <c r="B196">
        <v>0</v>
      </c>
      <c r="C196">
        <f t="shared" si="24"/>
        <v>9.3338823100347114E-3</v>
      </c>
      <c r="D196">
        <f t="shared" si="25"/>
        <v>8.7121358977578926E-5</v>
      </c>
      <c r="E196">
        <f t="shared" si="26"/>
        <v>9.4271286878359131E-2</v>
      </c>
      <c r="J196" t="s">
        <v>104</v>
      </c>
      <c r="K196">
        <f>1-(D208/E208)</f>
        <v>0.99797079446372949</v>
      </c>
    </row>
    <row r="197" spans="1:11">
      <c r="A197">
        <v>60</v>
      </c>
      <c r="B197">
        <v>0</v>
      </c>
      <c r="C197">
        <f t="shared" si="24"/>
        <v>1.529473841330793E-2</v>
      </c>
      <c r="D197">
        <f t="shared" si="25"/>
        <v>2.3392902313151717E-4</v>
      </c>
      <c r="E197">
        <f t="shared" si="26"/>
        <v>9.4271286878359131E-2</v>
      </c>
    </row>
    <row r="198" spans="1:11">
      <c r="A198">
        <v>70</v>
      </c>
      <c r="B198">
        <v>0</v>
      </c>
      <c r="C198">
        <f t="shared" si="24"/>
        <v>2.4966413281610769E-2</v>
      </c>
      <c r="D198">
        <f t="shared" si="25"/>
        <v>6.2332179214819061E-4</v>
      </c>
      <c r="E198">
        <f t="shared" si="26"/>
        <v>9.4271286878359131E-2</v>
      </c>
      <c r="J198" t="s">
        <v>12</v>
      </c>
      <c r="K198">
        <v>100</v>
      </c>
    </row>
    <row r="199" spans="1:11">
      <c r="A199">
        <v>80</v>
      </c>
      <c r="B199">
        <v>0.01</v>
      </c>
      <c r="C199">
        <f t="shared" si="24"/>
        <v>4.0502444555421069E-2</v>
      </c>
      <c r="D199">
        <f t="shared" si="25"/>
        <v>9.3039912385653629E-4</v>
      </c>
      <c r="E199">
        <f t="shared" si="26"/>
        <v>8.8230560964320651E-2</v>
      </c>
      <c r="J199" t="s">
        <v>8</v>
      </c>
      <c r="K199">
        <v>12</v>
      </c>
    </row>
    <row r="200" spans="1:11">
      <c r="A200">
        <v>100</v>
      </c>
      <c r="B200">
        <v>0.09</v>
      </c>
      <c r="C200">
        <f t="shared" si="24"/>
        <v>0.10291369232881337</v>
      </c>
      <c r="D200">
        <f t="shared" si="25"/>
        <v>1.6676344956325327E-4</v>
      </c>
      <c r="E200">
        <f t="shared" si="26"/>
        <v>4.7104753652012867E-2</v>
      </c>
      <c r="J200" t="s">
        <v>105</v>
      </c>
      <c r="K200">
        <v>4</v>
      </c>
    </row>
    <row r="201" spans="1:11">
      <c r="A201">
        <v>115</v>
      </c>
      <c r="B201">
        <v>0.21</v>
      </c>
      <c r="C201">
        <f t="shared" si="24"/>
        <v>0.19538029917017397</v>
      </c>
      <c r="D201">
        <f t="shared" si="25"/>
        <v>2.1373565235361581E-4</v>
      </c>
      <c r="E201">
        <f t="shared" si="26"/>
        <v>9.4160426835511769E-3</v>
      </c>
      <c r="J201" t="s">
        <v>106</v>
      </c>
      <c r="K201">
        <v>15</v>
      </c>
    </row>
    <row r="202" spans="1:11">
      <c r="A202">
        <v>130</v>
      </c>
      <c r="B202">
        <v>0.36</v>
      </c>
      <c r="C202">
        <f t="shared" si="24"/>
        <v>0.33948674488606745</v>
      </c>
      <c r="D202">
        <f t="shared" si="25"/>
        <v>4.2079363536927941E-4</v>
      </c>
      <c r="E202">
        <f t="shared" si="26"/>
        <v>2.8051539729740645E-3</v>
      </c>
      <c r="J202" t="s">
        <v>107</v>
      </c>
      <c r="K202">
        <v>2</v>
      </c>
    </row>
    <row r="203" spans="1:11">
      <c r="A203">
        <v>140</v>
      </c>
      <c r="B203">
        <v>0.46</v>
      </c>
      <c r="C203">
        <f t="shared" si="24"/>
        <v>0.45867218936755921</v>
      </c>
      <c r="D203">
        <f t="shared" si="25"/>
        <v>1.7630810756228553E-6</v>
      </c>
      <c r="E203">
        <f t="shared" si="26"/>
        <v>2.3397894832589333E-2</v>
      </c>
    </row>
    <row r="204" spans="1:11">
      <c r="A204">
        <v>165</v>
      </c>
      <c r="B204">
        <v>0.72</v>
      </c>
      <c r="C204">
        <f t="shared" si="24"/>
        <v>0.74725838012024171</v>
      </c>
      <c r="D204">
        <f t="shared" si="25"/>
        <v>7.430192867795897E-4</v>
      </c>
      <c r="E204">
        <f t="shared" si="26"/>
        <v>0.17053902106758898</v>
      </c>
    </row>
    <row r="205" spans="1:11">
      <c r="A205">
        <v>180</v>
      </c>
      <c r="B205">
        <v>0.88</v>
      </c>
      <c r="C205">
        <f t="shared" si="24"/>
        <v>0.86222363631668686</v>
      </c>
      <c r="D205">
        <f t="shared" si="25"/>
        <v>3.1599910580141453E-4</v>
      </c>
      <c r="E205">
        <f t="shared" si="26"/>
        <v>0.32828740644297344</v>
      </c>
    </row>
    <row r="206" spans="1:11">
      <c r="A206">
        <v>185</v>
      </c>
      <c r="B206">
        <v>0.89</v>
      </c>
      <c r="C206">
        <f t="shared" si="24"/>
        <v>0.88932151602443232</v>
      </c>
      <c r="D206">
        <f t="shared" si="25"/>
        <v>4.6034050510213733E-7</v>
      </c>
      <c r="E206">
        <f t="shared" si="26"/>
        <v>0.33984668052893496</v>
      </c>
    </row>
    <row r="207" spans="1:11">
      <c r="A207">
        <v>190</v>
      </c>
      <c r="B207">
        <v>0.9</v>
      </c>
      <c r="C207">
        <f t="shared" si="24"/>
        <v>0.91163597961853438</v>
      </c>
      <c r="D207">
        <f t="shared" si="25"/>
        <v>1.3539602168294686E-4</v>
      </c>
      <c r="E207">
        <f t="shared" si="26"/>
        <v>0.35160595461489652</v>
      </c>
    </row>
    <row r="208" spans="1:11">
      <c r="C208">
        <f>AVERAGE(C193:C207)</f>
        <v>0.3070362957019237</v>
      </c>
      <c r="D208">
        <f>SUM(D193:D207)</f>
        <v>3.9099973944336777E-3</v>
      </c>
      <c r="E208">
        <f>SUM(E193:E207)</f>
        <v>1.9268611900299972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Co(THOMAS) (2)</vt:lpstr>
      <vt:lpstr>Co(Y-N) (2)</vt:lpstr>
      <vt:lpstr>Co(D-S)</vt:lpstr>
      <vt:lpstr>pH</vt:lpstr>
      <vt:lpstr>C0(II) ADS</vt:lpstr>
      <vt:lpstr>THOMAS MODEL-Co(II) ION</vt:lpstr>
      <vt:lpstr>Co(THOMAS)</vt:lpstr>
      <vt:lpstr>THOMAS-ERROR</vt:lpstr>
      <vt:lpstr>YOON-NELSON_Co(II) ION</vt:lpstr>
      <vt:lpstr>Co(Y-N)</vt:lpstr>
      <vt:lpstr>YOON-NELSON ERRORF</vt:lpstr>
      <vt:lpstr>WOLBORSKA-Co(II)</vt:lpstr>
      <vt:lpstr>WOLBORSKAEF</vt:lpstr>
      <vt:lpstr>BOHART-ADAMS  MODEL Co(II)</vt:lpstr>
      <vt:lpstr>BOHART-ADAMS ERRF</vt:lpstr>
      <vt:lpstr>DOSE-RESPONSE-Co(II)</vt:lpstr>
      <vt:lpstr>DOSERESPONSE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ZBOOK</cp:lastModifiedBy>
  <dcterms:created xsi:type="dcterms:W3CDTF">2020-03-15T17:20:00Z</dcterms:created>
  <dcterms:modified xsi:type="dcterms:W3CDTF">2023-12-30T07:14:18Z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ED632B29EC1449D180519CC33EF5D4A2</vt:lpwstr>
  </property>
  <property fmtid="{D5CDD505-2E9C-101B-9397-08002B2CF9AE}" pid="3" name="KSOProductBuildVer">
    <vt:lpwstr>1033-11.2.0.11537</vt:lpwstr>
  </property>
</Properties>
</file>