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4.xml" ContentType="application/vnd.openxmlformats-officedocument.drawing+xml"/>
  <Override PartName="/xl/tables/table1.xml" ContentType="application/vnd.openxmlformats-officedocument.spreadsheetml.tab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726"/>
  <workbookPr codeName="ThisWorkbook"/>
  <mc:AlternateContent xmlns:mc="http://schemas.openxmlformats.org/markup-compatibility/2006">
    <mc:Choice Requires="x15">
      <x15ac:absPath xmlns:x15ac="http://schemas.microsoft.com/office/spreadsheetml/2010/11/ac" url="https://universityofcambridgecloud-my.sharepoint.com/personal/ecj42_cam_ac_uk/Documents/Documents/My work/cambridge/Year 2/Rayner lab/Data/Optical tweezers/"/>
    </mc:Choice>
  </mc:AlternateContent>
  <xr:revisionPtr revIDLastSave="1257" documentId="8_{E3CE1660-66DC-4E2B-BF19-31C940512ECD}" xr6:coauthVersionLast="47" xr6:coauthVersionMax="47" xr10:uidLastSave="{1130DB48-CA54-4941-B9AD-14311ED6420E}"/>
  <bookViews>
    <workbookView xWindow="-28920" yWindow="-120" windowWidth="29040" windowHeight="15720" xr2:uid="{00000000-000D-0000-FFFF-FFFF00000000}"/>
  </bookViews>
  <sheets>
    <sheet name="Overall" sheetId="1" r:id="rId1"/>
    <sheet name="NF54 version 2" sheetId="22" r:id="rId2"/>
    <sheet name="R1 peptide" sheetId="14" r:id="rId3"/>
    <sheet name="3D7" sheetId="13" r:id="rId4"/>
    <sheet name="KOEBA175 (neg gen)" sheetId="12" r:id="rId5"/>
    <sheet name="NF54 + heparin " sheetId="3" r:id="rId6"/>
    <sheet name="NF54 + glutaraldehyde " sheetId="4" r:id="rId7"/>
    <sheet name="AMA1-GFP" sheetId="5" r:id="rId8"/>
    <sheet name="anti-CD147 " sheetId="7" r:id="rId9"/>
    <sheet name="anti-CD55" sheetId="11" r:id="rId10"/>
    <sheet name="anti-GYPA" sheetId="9" r:id="rId11"/>
    <sheet name="KOEBA175 " sheetId="23" r:id="rId12"/>
    <sheet name="KOEBA140 " sheetId="15" r:id="rId13"/>
    <sheet name="anti-GYPC (BRIC 4) " sheetId="16" r:id="rId14"/>
    <sheet name="anti-CR1" sheetId="19" r:id="rId15"/>
    <sheet name="KORH4 " sheetId="20" r:id="rId16"/>
    <sheet name="KOEBA181" sheetId="21" r:id="rId17"/>
    <sheet name="Neuraminidase" sheetId="24" r:id="rId18"/>
    <sheet name="KORH1" sheetId="25" r:id="rId19"/>
    <sheet name="anti-CR1 ABIN" sheetId="27" r:id="rId20"/>
    <sheet name="KORH2a" sheetId="28" r:id="rId21"/>
    <sheet name="Duffy neg" sheetId="29" r:id="rId22"/>
    <sheet name="cKOAMA1 DMSO" sheetId="30" r:id="rId23"/>
    <sheet name="cKOAMA1 Rap" sheetId="31" r:id="rId24"/>
    <sheet name="KOP230P C3" sheetId="32" r:id="rId25"/>
    <sheet name="KOpfs25 C1" sheetId="34" r:id="rId26"/>
    <sheet name="NF54 O+" sheetId="35" r:id="rId27"/>
    <sheet name="Sheet1" sheetId="33" r:id="rId28"/>
    <sheet name="Sheet3" sheetId="36" r:id="rId29"/>
    <sheet name="NF54 " sheetId="2" r:id="rId3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T57" i="35" l="1"/>
  <c r="S57" i="35"/>
  <c r="R57" i="35"/>
  <c r="Q57" i="35"/>
  <c r="J59" i="35"/>
  <c r="J58" i="35"/>
  <c r="O18" i="35"/>
  <c r="I18" i="35"/>
  <c r="J18" i="35" s="1"/>
  <c r="H18" i="35"/>
  <c r="O17" i="35"/>
  <c r="H17" i="35"/>
  <c r="I17" i="35" s="1"/>
  <c r="J17" i="35" s="1"/>
  <c r="O14" i="35"/>
  <c r="H14" i="35"/>
  <c r="I14" i="35" s="1"/>
  <c r="J14" i="35" s="1"/>
  <c r="O13" i="35"/>
  <c r="H13" i="35"/>
  <c r="I13" i="35" s="1"/>
  <c r="J13" i="35" s="1"/>
  <c r="O12" i="35"/>
  <c r="H12" i="35"/>
  <c r="I12" i="35" s="1"/>
  <c r="J12" i="35" s="1"/>
  <c r="O11" i="35"/>
  <c r="H11" i="35"/>
  <c r="I11" i="35" s="1"/>
  <c r="J11" i="35" s="1"/>
  <c r="O10" i="35"/>
  <c r="H10" i="35"/>
  <c r="I10" i="35" s="1"/>
  <c r="J10" i="35" s="1"/>
  <c r="O9" i="35"/>
  <c r="H9" i="35"/>
  <c r="I9" i="35" s="1"/>
  <c r="J9" i="35" s="1"/>
  <c r="O6" i="35"/>
  <c r="H6" i="35"/>
  <c r="I6" i="35" s="1"/>
  <c r="J6" i="35" s="1"/>
  <c r="O5" i="35"/>
  <c r="H5" i="35"/>
  <c r="I5" i="35" s="1"/>
  <c r="J5" i="35" s="1"/>
  <c r="S3" i="35"/>
  <c r="S4" i="35"/>
  <c r="S7" i="35"/>
  <c r="S8" i="35"/>
  <c r="S16" i="35"/>
  <c r="S19" i="35"/>
  <c r="S20" i="35"/>
  <c r="S21" i="35"/>
  <c r="S22" i="35"/>
  <c r="S23" i="35"/>
  <c r="S24" i="35"/>
  <c r="S25" i="35"/>
  <c r="S26" i="35"/>
  <c r="S27" i="35"/>
  <c r="S28" i="35"/>
  <c r="S29" i="35"/>
  <c r="S30" i="35"/>
  <c r="S31" i="35"/>
  <c r="S32" i="35"/>
  <c r="S33" i="35"/>
  <c r="S34" i="35"/>
  <c r="S35" i="35"/>
  <c r="S36" i="35"/>
  <c r="S37" i="35"/>
  <c r="S38" i="35"/>
  <c r="S39" i="35"/>
  <c r="S40" i="35"/>
  <c r="S41" i="35"/>
  <c r="S42" i="35"/>
  <c r="S43" i="35"/>
  <c r="S44" i="35"/>
  <c r="S45" i="35"/>
  <c r="S46" i="35"/>
  <c r="S47" i="35"/>
  <c r="S48" i="35"/>
  <c r="S49" i="35"/>
  <c r="S50" i="35"/>
  <c r="S51" i="35"/>
  <c r="S52" i="35"/>
  <c r="S53" i="35"/>
  <c r="S54" i="35"/>
  <c r="O4" i="35"/>
  <c r="O8" i="35"/>
  <c r="O15" i="35"/>
  <c r="O16" i="35"/>
  <c r="O19" i="35"/>
  <c r="O21" i="35"/>
  <c r="O22" i="35"/>
  <c r="O23" i="35"/>
  <c r="O24" i="35"/>
  <c r="O25" i="35"/>
  <c r="O26" i="35"/>
  <c r="O27" i="35"/>
  <c r="O28" i="35"/>
  <c r="O29" i="35"/>
  <c r="O30" i="35"/>
  <c r="O31" i="35"/>
  <c r="O32" i="35"/>
  <c r="O33" i="35"/>
  <c r="O34" i="35"/>
  <c r="O35" i="35"/>
  <c r="O36" i="35"/>
  <c r="O37" i="35"/>
  <c r="O38" i="35"/>
  <c r="O39" i="35"/>
  <c r="O40" i="35"/>
  <c r="O41" i="35"/>
  <c r="O42" i="35"/>
  <c r="O43" i="35"/>
  <c r="O44" i="35"/>
  <c r="O45" i="35"/>
  <c r="O46" i="35"/>
  <c r="O47" i="35"/>
  <c r="O48" i="35"/>
  <c r="O49" i="35"/>
  <c r="O50" i="35"/>
  <c r="O51" i="35"/>
  <c r="O52" i="35"/>
  <c r="O53" i="35"/>
  <c r="O54" i="35"/>
  <c r="H29" i="35"/>
  <c r="I29" i="35" s="1"/>
  <c r="J29" i="35" s="1"/>
  <c r="H30" i="35"/>
  <c r="I30" i="35" s="1"/>
  <c r="J30" i="35" s="1"/>
  <c r="H31" i="35"/>
  <c r="I31" i="35" s="1"/>
  <c r="J31" i="35" s="1"/>
  <c r="H32" i="35"/>
  <c r="I32" i="35" s="1"/>
  <c r="J32" i="35" s="1"/>
  <c r="H33" i="35"/>
  <c r="I33" i="35" s="1"/>
  <c r="J33" i="35" s="1"/>
  <c r="H34" i="35"/>
  <c r="I34" i="35" s="1"/>
  <c r="J34" i="35" s="1"/>
  <c r="H35" i="35"/>
  <c r="I35" i="35" s="1"/>
  <c r="J35" i="35" s="1"/>
  <c r="H36" i="35"/>
  <c r="I36" i="35" s="1"/>
  <c r="J36" i="35" s="1"/>
  <c r="H37" i="35"/>
  <c r="I37" i="35" s="1"/>
  <c r="J37" i="35" s="1"/>
  <c r="H38" i="35"/>
  <c r="I38" i="35" s="1"/>
  <c r="J38" i="35" s="1"/>
  <c r="H39" i="35"/>
  <c r="I39" i="35" s="1"/>
  <c r="J39" i="35" s="1"/>
  <c r="H40" i="35"/>
  <c r="I40" i="35" s="1"/>
  <c r="J40" i="35" s="1"/>
  <c r="H41" i="35"/>
  <c r="I41" i="35" s="1"/>
  <c r="J41" i="35" s="1"/>
  <c r="H42" i="35"/>
  <c r="I42" i="35" s="1"/>
  <c r="J42" i="35" s="1"/>
  <c r="H43" i="35"/>
  <c r="I43" i="35" s="1"/>
  <c r="J43" i="35" s="1"/>
  <c r="H44" i="35"/>
  <c r="I44" i="35" s="1"/>
  <c r="J44" i="35" s="1"/>
  <c r="H45" i="35"/>
  <c r="I45" i="35" s="1"/>
  <c r="J45" i="35" s="1"/>
  <c r="H46" i="35"/>
  <c r="I46" i="35" s="1"/>
  <c r="J46" i="35" s="1"/>
  <c r="H47" i="35"/>
  <c r="I47" i="35" s="1"/>
  <c r="J47" i="35" s="1"/>
  <c r="H48" i="35"/>
  <c r="I48" i="35" s="1"/>
  <c r="J48" i="35" s="1"/>
  <c r="H49" i="35"/>
  <c r="I49" i="35" s="1"/>
  <c r="J49" i="35" s="1"/>
  <c r="H50" i="35"/>
  <c r="I50" i="35" s="1"/>
  <c r="J50" i="35" s="1"/>
  <c r="H51" i="35"/>
  <c r="I51" i="35" s="1"/>
  <c r="J51" i="35" s="1"/>
  <c r="H52" i="35"/>
  <c r="I52" i="35" s="1"/>
  <c r="J52" i="35" s="1"/>
  <c r="H53" i="35"/>
  <c r="I53" i="35" s="1"/>
  <c r="J53" i="35" s="1"/>
  <c r="H54" i="35"/>
  <c r="I54" i="35" s="1"/>
  <c r="J54" i="35" s="1"/>
  <c r="H4" i="35"/>
  <c r="I4" i="35" s="1"/>
  <c r="J4" i="35" s="1"/>
  <c r="H8" i="35"/>
  <c r="I8" i="35" s="1"/>
  <c r="J8" i="35" s="1"/>
  <c r="H16" i="35"/>
  <c r="I16" i="35" s="1"/>
  <c r="J16" i="35" s="1"/>
  <c r="H20" i="35"/>
  <c r="I20" i="35" s="1"/>
  <c r="J20" i="35" s="1"/>
  <c r="H21" i="35"/>
  <c r="I21" i="35" s="1"/>
  <c r="J21" i="35" s="1"/>
  <c r="H22" i="35"/>
  <c r="I22" i="35" s="1"/>
  <c r="J22" i="35" s="1"/>
  <c r="H23" i="35"/>
  <c r="I23" i="35" s="1"/>
  <c r="J23" i="35" s="1"/>
  <c r="H24" i="35"/>
  <c r="I24" i="35" s="1"/>
  <c r="J24" i="35" s="1"/>
  <c r="H25" i="35"/>
  <c r="I25" i="35" s="1"/>
  <c r="J25" i="35" s="1"/>
  <c r="H26" i="35"/>
  <c r="I26" i="35" s="1"/>
  <c r="J26" i="35" s="1"/>
  <c r="H27" i="35"/>
  <c r="I27" i="35" s="1"/>
  <c r="J27" i="35" s="1"/>
  <c r="H28" i="35"/>
  <c r="I28" i="35" s="1"/>
  <c r="J28" i="35" s="1"/>
  <c r="S2" i="35"/>
  <c r="J71" i="34"/>
  <c r="J70" i="34"/>
  <c r="S61" i="34"/>
  <c r="O61" i="34"/>
  <c r="H61" i="34"/>
  <c r="I61" i="34" s="1"/>
  <c r="J61" i="34" s="1"/>
  <c r="O55" i="34"/>
  <c r="H55" i="34"/>
  <c r="I55" i="34" s="1"/>
  <c r="J55" i="34" s="1"/>
  <c r="S49" i="34"/>
  <c r="O49" i="34"/>
  <c r="H49" i="34"/>
  <c r="I49" i="34" s="1"/>
  <c r="J49" i="34" s="1"/>
  <c r="O66" i="34"/>
  <c r="H66" i="34"/>
  <c r="I66" i="34" s="1"/>
  <c r="J66" i="34" s="1"/>
  <c r="O65" i="34"/>
  <c r="H65" i="34"/>
  <c r="I65" i="34" s="1"/>
  <c r="J65" i="34" s="1"/>
  <c r="O64" i="34"/>
  <c r="O63" i="34"/>
  <c r="H63" i="34"/>
  <c r="I63" i="34" s="1"/>
  <c r="J63" i="34" s="1"/>
  <c r="O62" i="34"/>
  <c r="H62" i="34"/>
  <c r="I62" i="34" s="1"/>
  <c r="J62" i="34" s="1"/>
  <c r="H59" i="34"/>
  <c r="I59" i="34" s="1"/>
  <c r="J59" i="34" s="1"/>
  <c r="H46" i="34"/>
  <c r="I46" i="34" s="1"/>
  <c r="J46" i="34" s="1"/>
  <c r="H45" i="34"/>
  <c r="I45" i="34" s="1"/>
  <c r="J45" i="34" s="1"/>
  <c r="H44" i="34"/>
  <c r="I44" i="34" s="1"/>
  <c r="J44" i="34" s="1"/>
  <c r="H43" i="34"/>
  <c r="I43" i="34" s="1"/>
  <c r="J43" i="34" s="1"/>
  <c r="H42" i="34"/>
  <c r="I42" i="34" s="1"/>
  <c r="J42" i="34" s="1"/>
  <c r="H41" i="34"/>
  <c r="I41" i="34" s="1"/>
  <c r="J41" i="34" s="1"/>
  <c r="H40" i="34"/>
  <c r="I40" i="34" s="1"/>
  <c r="J40" i="34" s="1"/>
  <c r="O36" i="34"/>
  <c r="H36" i="34"/>
  <c r="I36" i="34" s="1"/>
  <c r="J36" i="34" s="1"/>
  <c r="O35" i="34"/>
  <c r="H35" i="34"/>
  <c r="I35" i="34" s="1"/>
  <c r="J35" i="34" s="1"/>
  <c r="R69" i="34"/>
  <c r="Q69" i="34"/>
  <c r="H26" i="34"/>
  <c r="I26" i="34" s="1"/>
  <c r="J26" i="34" s="1"/>
  <c r="H25" i="34"/>
  <c r="I25" i="34" s="1"/>
  <c r="J25" i="34" s="1"/>
  <c r="H24" i="34"/>
  <c r="I24" i="34" s="1"/>
  <c r="J24" i="34" s="1"/>
  <c r="H23" i="34"/>
  <c r="I23" i="34" s="1"/>
  <c r="J23" i="34" s="1"/>
  <c r="H22" i="34"/>
  <c r="I22" i="34" s="1"/>
  <c r="J22" i="34" s="1"/>
  <c r="H21" i="34"/>
  <c r="I21" i="34" s="1"/>
  <c r="J21" i="34" s="1"/>
  <c r="H20" i="34"/>
  <c r="I20" i="34" s="1"/>
  <c r="J20" i="34" s="1"/>
  <c r="O18" i="34"/>
  <c r="H18" i="34"/>
  <c r="I18" i="34" s="1"/>
  <c r="J18" i="34" s="1"/>
  <c r="O16" i="34"/>
  <c r="H16" i="34"/>
  <c r="I16" i="34" s="1"/>
  <c r="J16" i="34" s="1"/>
  <c r="O15" i="34"/>
  <c r="H15" i="34"/>
  <c r="I15" i="34" s="1"/>
  <c r="J15" i="34" s="1"/>
  <c r="O14" i="34"/>
  <c r="H14" i="34"/>
  <c r="I14" i="34" s="1"/>
  <c r="J14" i="34" s="1"/>
  <c r="H12" i="34"/>
  <c r="I12" i="34" s="1"/>
  <c r="J12" i="34" s="1"/>
  <c r="O3" i="34"/>
  <c r="H3" i="34"/>
  <c r="I3" i="34" s="1"/>
  <c r="J3" i="34" s="1"/>
  <c r="S4" i="34"/>
  <c r="S5" i="34"/>
  <c r="S6" i="34"/>
  <c r="S7" i="34"/>
  <c r="S8" i="34"/>
  <c r="S9" i="34"/>
  <c r="T69" i="34" s="1"/>
  <c r="S10" i="34"/>
  <c r="S11" i="34"/>
  <c r="S13" i="34"/>
  <c r="S17" i="34"/>
  <c r="S19" i="34"/>
  <c r="S27" i="34"/>
  <c r="S28" i="34"/>
  <c r="S29" i="34"/>
  <c r="S30" i="34"/>
  <c r="S31" i="34"/>
  <c r="S32" i="34"/>
  <c r="S33" i="34"/>
  <c r="S37" i="34"/>
  <c r="S38" i="34"/>
  <c r="S39" i="34"/>
  <c r="S47" i="34"/>
  <c r="S48" i="34"/>
  <c r="S50" i="34"/>
  <c r="S51" i="34"/>
  <c r="S52" i="34"/>
  <c r="S53" i="34"/>
  <c r="S54" i="34"/>
  <c r="S56" i="34"/>
  <c r="S57" i="34"/>
  <c r="S58" i="34"/>
  <c r="S60" i="34"/>
  <c r="S64" i="34"/>
  <c r="O8" i="34"/>
  <c r="O10" i="34"/>
  <c r="O13" i="34"/>
  <c r="O17" i="34"/>
  <c r="O32" i="34"/>
  <c r="O34" i="34"/>
  <c r="O37" i="34"/>
  <c r="O47" i="34"/>
  <c r="O48" i="34"/>
  <c r="O53" i="34"/>
  <c r="O54" i="34"/>
  <c r="O57" i="34"/>
  <c r="O60" i="34"/>
  <c r="O67" i="34"/>
  <c r="H60" i="34"/>
  <c r="I60" i="34" s="1"/>
  <c r="J60" i="34" s="1"/>
  <c r="H64" i="34"/>
  <c r="I64" i="34" s="1"/>
  <c r="J64" i="34" s="1"/>
  <c r="H10" i="34"/>
  <c r="I10" i="34" s="1"/>
  <c r="J10" i="34" s="1"/>
  <c r="H11" i="34"/>
  <c r="I11" i="34" s="1"/>
  <c r="J11" i="34" s="1"/>
  <c r="H13" i="34"/>
  <c r="I13" i="34" s="1"/>
  <c r="J13" i="34" s="1"/>
  <c r="H17" i="34"/>
  <c r="I17" i="34" s="1"/>
  <c r="J17" i="34" s="1"/>
  <c r="H19" i="34"/>
  <c r="I19" i="34" s="1"/>
  <c r="J19" i="34" s="1"/>
  <c r="H32" i="34"/>
  <c r="I32" i="34" s="1"/>
  <c r="J32" i="34" s="1"/>
  <c r="H34" i="34"/>
  <c r="I34" i="34" s="1"/>
  <c r="J34" i="34" s="1"/>
  <c r="H37" i="34"/>
  <c r="I37" i="34" s="1"/>
  <c r="J37" i="34" s="1"/>
  <c r="H39" i="34"/>
  <c r="I39" i="34" s="1"/>
  <c r="J39" i="34" s="1"/>
  <c r="H48" i="34"/>
  <c r="I48" i="34" s="1"/>
  <c r="J48" i="34" s="1"/>
  <c r="H54" i="34"/>
  <c r="I54" i="34" s="1"/>
  <c r="J54" i="34" s="1"/>
  <c r="H57" i="34"/>
  <c r="I57" i="34" s="1"/>
  <c r="J57" i="34" s="1"/>
  <c r="H58" i="34"/>
  <c r="I58" i="34" s="1"/>
  <c r="J58" i="34" s="1"/>
  <c r="S2" i="34"/>
  <c r="O2" i="34"/>
  <c r="H2" i="34"/>
  <c r="I2" i="34" s="1"/>
  <c r="J2" i="34" s="1"/>
  <c r="J95" i="32"/>
  <c r="J94" i="32"/>
  <c r="O89" i="32"/>
  <c r="H89" i="32"/>
  <c r="I89" i="32" s="1"/>
  <c r="J89" i="32" s="1"/>
  <c r="S81" i="32"/>
  <c r="O81" i="32"/>
  <c r="H81" i="32"/>
  <c r="I81" i="32" s="1"/>
  <c r="J81" i="32" s="1"/>
  <c r="O88" i="32"/>
  <c r="H88" i="32"/>
  <c r="I88" i="32" s="1"/>
  <c r="J88" i="32" s="1"/>
  <c r="O87" i="32"/>
  <c r="H87" i="32"/>
  <c r="I87" i="32" s="1"/>
  <c r="J87" i="32" s="1"/>
  <c r="O85" i="32"/>
  <c r="H85" i="32"/>
  <c r="I85" i="32" s="1"/>
  <c r="J85" i="32" s="1"/>
  <c r="O84" i="32"/>
  <c r="H84" i="32"/>
  <c r="I84" i="32" s="1"/>
  <c r="J84" i="32" s="1"/>
  <c r="O83" i="32"/>
  <c r="H83" i="32"/>
  <c r="I83" i="32" s="1"/>
  <c r="J83" i="32" s="1"/>
  <c r="O80" i="32"/>
  <c r="O82" i="32"/>
  <c r="O77" i="32"/>
  <c r="H77" i="32"/>
  <c r="I77" i="32" s="1"/>
  <c r="J77" i="32" s="1"/>
  <c r="O76" i="32"/>
  <c r="H76" i="32"/>
  <c r="I76" i="32" s="1"/>
  <c r="J76" i="32" s="1"/>
  <c r="O75" i="32"/>
  <c r="H75" i="32"/>
  <c r="I75" i="32" s="1"/>
  <c r="J75" i="32" s="1"/>
  <c r="S73" i="32"/>
  <c r="O73" i="32"/>
  <c r="S71" i="32"/>
  <c r="O69" i="32"/>
  <c r="H69" i="32"/>
  <c r="I69" i="32" s="1"/>
  <c r="J69" i="32" s="1"/>
  <c r="O68" i="32"/>
  <c r="H68" i="32"/>
  <c r="I68" i="32" s="1"/>
  <c r="J68" i="32" s="1"/>
  <c r="O67" i="32"/>
  <c r="H67" i="32"/>
  <c r="I67" i="32" s="1"/>
  <c r="J67" i="32" s="1"/>
  <c r="O66" i="32"/>
  <c r="H66" i="32"/>
  <c r="I66" i="32" s="1"/>
  <c r="J66" i="32" s="1"/>
  <c r="S62" i="32"/>
  <c r="O62" i="32"/>
  <c r="H62" i="32"/>
  <c r="I62" i="32" s="1"/>
  <c r="J62" i="32" s="1"/>
  <c r="S42" i="32"/>
  <c r="O42" i="32"/>
  <c r="H42" i="32"/>
  <c r="I42" i="32" s="1"/>
  <c r="J42" i="32" s="1"/>
  <c r="S38" i="32"/>
  <c r="O38" i="32"/>
  <c r="H38" i="32"/>
  <c r="I38" i="32" s="1"/>
  <c r="J38" i="32" s="1"/>
  <c r="H31" i="32"/>
  <c r="H32" i="32"/>
  <c r="H33" i="32"/>
  <c r="O58" i="32"/>
  <c r="H58" i="32"/>
  <c r="I58" i="32" s="1"/>
  <c r="J58" i="32" s="1"/>
  <c r="O57" i="32"/>
  <c r="H57" i="32"/>
  <c r="I57" i="32" s="1"/>
  <c r="J57" i="32" s="1"/>
  <c r="O55" i="32"/>
  <c r="H55" i="32"/>
  <c r="I55" i="32" s="1"/>
  <c r="J55" i="32" s="1"/>
  <c r="O56" i="32"/>
  <c r="H56" i="32"/>
  <c r="I56" i="32" s="1"/>
  <c r="J56" i="32" s="1"/>
  <c r="O54" i="32"/>
  <c r="H54" i="32"/>
  <c r="I54" i="32" s="1"/>
  <c r="J54" i="32" s="1"/>
  <c r="O51" i="32"/>
  <c r="H51" i="32"/>
  <c r="I51" i="32" s="1"/>
  <c r="J51" i="32" s="1"/>
  <c r="O50" i="32"/>
  <c r="H50" i="32"/>
  <c r="I50" i="32" s="1"/>
  <c r="J50" i="32" s="1"/>
  <c r="O49" i="32"/>
  <c r="H49" i="32"/>
  <c r="I49" i="32" s="1"/>
  <c r="J49" i="32" s="1"/>
  <c r="O48" i="32"/>
  <c r="H48" i="32"/>
  <c r="I48" i="32" s="1"/>
  <c r="J48" i="32" s="1"/>
  <c r="O46" i="32"/>
  <c r="H46" i="32"/>
  <c r="I46" i="32" s="1"/>
  <c r="J46" i="32" s="1"/>
  <c r="O45" i="32"/>
  <c r="H45" i="32"/>
  <c r="I45" i="32" s="1"/>
  <c r="J45" i="32" s="1"/>
  <c r="S44" i="32"/>
  <c r="O44" i="32"/>
  <c r="H44" i="32"/>
  <c r="I44" i="32" s="1"/>
  <c r="J44" i="32" s="1"/>
  <c r="O43" i="32"/>
  <c r="H43" i="32"/>
  <c r="I43" i="32" s="1"/>
  <c r="J43" i="32" s="1"/>
  <c r="R58" i="35" l="1"/>
  <c r="S69" i="34"/>
  <c r="R70" i="34"/>
  <c r="S22" i="32"/>
  <c r="O22" i="32"/>
  <c r="H22" i="32"/>
  <c r="I22" i="32" s="1"/>
  <c r="J22" i="32" s="1"/>
  <c r="BM26" i="1"/>
  <c r="BL26" i="1"/>
  <c r="V57" i="31"/>
  <c r="U57" i="31"/>
  <c r="U3" i="31"/>
  <c r="U6" i="31"/>
  <c r="U7" i="31"/>
  <c r="U8" i="31"/>
  <c r="U10" i="31"/>
  <c r="U11" i="31"/>
  <c r="U13" i="31"/>
  <c r="U14" i="31"/>
  <c r="U17" i="31"/>
  <c r="U23" i="31"/>
  <c r="U24" i="31"/>
  <c r="U25" i="31"/>
  <c r="U26" i="31"/>
  <c r="U27" i="31"/>
  <c r="U28" i="31"/>
  <c r="U29" i="31"/>
  <c r="U30" i="31"/>
  <c r="U33" i="31"/>
  <c r="U34" i="31"/>
  <c r="U35" i="31"/>
  <c r="U36" i="31"/>
  <c r="U37" i="31"/>
  <c r="U38" i="31"/>
  <c r="U2" i="31"/>
  <c r="S3" i="32"/>
  <c r="S5" i="32"/>
  <c r="S6" i="32"/>
  <c r="S7" i="32"/>
  <c r="S10" i="32"/>
  <c r="S11" i="32"/>
  <c r="S12" i="32"/>
  <c r="S15" i="32"/>
  <c r="S17" i="32"/>
  <c r="S19" i="32"/>
  <c r="S20" i="32"/>
  <c r="S21" i="32"/>
  <c r="S30" i="32"/>
  <c r="S32" i="32"/>
  <c r="S34" i="32"/>
  <c r="S2" i="32"/>
  <c r="BL25" i="1"/>
  <c r="BM25" i="1"/>
  <c r="V81" i="30"/>
  <c r="U81" i="30"/>
  <c r="U10" i="30"/>
  <c r="U15" i="30"/>
  <c r="U17" i="30"/>
  <c r="U23" i="30"/>
  <c r="U27" i="30"/>
  <c r="U35" i="30"/>
  <c r="U36" i="30"/>
  <c r="U41" i="30"/>
  <c r="U42" i="30"/>
  <c r="U44" i="30"/>
  <c r="U51" i="30"/>
  <c r="U53" i="30"/>
  <c r="U57" i="30"/>
  <c r="U58" i="30"/>
  <c r="U60" i="30"/>
  <c r="U64" i="30"/>
  <c r="U65" i="30"/>
  <c r="U67" i="30"/>
  <c r="U2" i="30"/>
  <c r="BD25" i="1"/>
  <c r="BD26" i="1"/>
  <c r="BC25" i="1"/>
  <c r="BC26" i="1"/>
  <c r="H30" i="32"/>
  <c r="I30" i="32" s="1"/>
  <c r="J30" i="32" s="1"/>
  <c r="O33" i="32"/>
  <c r="I33" i="32"/>
  <c r="J33" i="32" s="1"/>
  <c r="O31" i="32"/>
  <c r="I31" i="32"/>
  <c r="J31" i="32" s="1"/>
  <c r="O29" i="32"/>
  <c r="H29" i="32"/>
  <c r="I29" i="32" s="1"/>
  <c r="J29" i="32" s="1"/>
  <c r="O28" i="32"/>
  <c r="H28" i="32"/>
  <c r="I28" i="32" s="1"/>
  <c r="J28" i="32" s="1"/>
  <c r="O27" i="32"/>
  <c r="H27" i="32"/>
  <c r="I27" i="32" s="1"/>
  <c r="J27" i="32" s="1"/>
  <c r="O26" i="32"/>
  <c r="H26" i="32"/>
  <c r="I26" i="32" s="1"/>
  <c r="J26" i="32" s="1"/>
  <c r="O24" i="32"/>
  <c r="H24" i="32"/>
  <c r="I24" i="32" s="1"/>
  <c r="J24" i="32" s="1"/>
  <c r="O23" i="32"/>
  <c r="H23" i="32"/>
  <c r="I23" i="32" s="1"/>
  <c r="J23" i="32" s="1"/>
  <c r="O25" i="32"/>
  <c r="H25" i="32"/>
  <c r="I25" i="32" s="1"/>
  <c r="J25" i="32" s="1"/>
  <c r="O20" i="32"/>
  <c r="H20" i="32"/>
  <c r="I20" i="32" s="1"/>
  <c r="J20" i="32" s="1"/>
  <c r="O18" i="32"/>
  <c r="H18" i="32"/>
  <c r="I18" i="32" s="1"/>
  <c r="J18" i="32" s="1"/>
  <c r="O12" i="32"/>
  <c r="H12" i="32"/>
  <c r="I12" i="32" s="1"/>
  <c r="J12" i="32" s="1"/>
  <c r="O6" i="32"/>
  <c r="H6" i="32"/>
  <c r="I6" i="32" s="1"/>
  <c r="J6" i="32" s="1"/>
  <c r="O3" i="32"/>
  <c r="H3" i="32"/>
  <c r="I3" i="32" s="1"/>
  <c r="J3" i="32" s="1"/>
  <c r="R93" i="32"/>
  <c r="Q93" i="32"/>
  <c r="O16" i="32"/>
  <c r="H16" i="32"/>
  <c r="I16" i="32" s="1"/>
  <c r="J16" i="32" s="1"/>
  <c r="O14" i="32"/>
  <c r="H14" i="32"/>
  <c r="I14" i="32" s="1"/>
  <c r="J14" i="32" s="1"/>
  <c r="O13" i="32"/>
  <c r="H13" i="32"/>
  <c r="I13" i="32" s="1"/>
  <c r="J13" i="32" s="1"/>
  <c r="S35" i="32"/>
  <c r="S36" i="32"/>
  <c r="S37" i="32"/>
  <c r="S39" i="32"/>
  <c r="S40" i="32"/>
  <c r="S41" i="32"/>
  <c r="S47" i="32"/>
  <c r="S52" i="32"/>
  <c r="S53" i="32"/>
  <c r="S59" i="32"/>
  <c r="S60" i="32"/>
  <c r="S61" i="32"/>
  <c r="S63" i="32"/>
  <c r="S64" i="32"/>
  <c r="S65" i="32"/>
  <c r="S70" i="32"/>
  <c r="S72" i="32"/>
  <c r="S74" i="32"/>
  <c r="S78" i="32"/>
  <c r="S79" i="32"/>
  <c r="S80" i="32"/>
  <c r="S82" i="32"/>
  <c r="S86" i="32"/>
  <c r="O9" i="32"/>
  <c r="H9" i="32"/>
  <c r="I9" i="32" s="1"/>
  <c r="J9" i="32" s="1"/>
  <c r="O8" i="32"/>
  <c r="H8" i="32"/>
  <c r="I8" i="32" s="1"/>
  <c r="J8" i="32" s="1"/>
  <c r="O5" i="32"/>
  <c r="H5" i="32"/>
  <c r="I5" i="32" s="1"/>
  <c r="J5" i="32" s="1"/>
  <c r="O4" i="32"/>
  <c r="H4" i="32"/>
  <c r="I4" i="32" s="1"/>
  <c r="J4" i="32" s="1"/>
  <c r="O7" i="32"/>
  <c r="O10" i="32"/>
  <c r="O11" i="32"/>
  <c r="O15" i="32"/>
  <c r="O17" i="32"/>
  <c r="O21" i="32"/>
  <c r="O30" i="32"/>
  <c r="O32" i="32"/>
  <c r="O37" i="32"/>
  <c r="O40" i="32"/>
  <c r="O41" i="32"/>
  <c r="O47" i="32"/>
  <c r="O53" i="32"/>
  <c r="O60" i="32"/>
  <c r="O61" i="32"/>
  <c r="O63" i="32"/>
  <c r="O65" i="32"/>
  <c r="O74" i="32"/>
  <c r="O78" i="32"/>
  <c r="O86" i="32"/>
  <c r="H7" i="32"/>
  <c r="I7" i="32" s="1"/>
  <c r="J7" i="32" s="1"/>
  <c r="H10" i="32"/>
  <c r="I10" i="32" s="1"/>
  <c r="J10" i="32" s="1"/>
  <c r="H11" i="32"/>
  <c r="I11" i="32" s="1"/>
  <c r="J11" i="32" s="1"/>
  <c r="H15" i="32"/>
  <c r="I15" i="32" s="1"/>
  <c r="J15" i="32" s="1"/>
  <c r="H17" i="32"/>
  <c r="I17" i="32" s="1"/>
  <c r="J17" i="32" s="1"/>
  <c r="H21" i="32"/>
  <c r="I21" i="32" s="1"/>
  <c r="J21" i="32" s="1"/>
  <c r="I32" i="32"/>
  <c r="J32" i="32" s="1"/>
  <c r="H37" i="32"/>
  <c r="I37" i="32" s="1"/>
  <c r="J37" i="32" s="1"/>
  <c r="H40" i="32"/>
  <c r="I40" i="32" s="1"/>
  <c r="J40" i="32" s="1"/>
  <c r="H41" i="32"/>
  <c r="I41" i="32" s="1"/>
  <c r="J41" i="32" s="1"/>
  <c r="H47" i="32"/>
  <c r="I47" i="32" s="1"/>
  <c r="J47" i="32" s="1"/>
  <c r="H53" i="32"/>
  <c r="I53" i="32" s="1"/>
  <c r="J53" i="32" s="1"/>
  <c r="H61" i="32"/>
  <c r="I61" i="32" s="1"/>
  <c r="J61" i="32" s="1"/>
  <c r="H63" i="32"/>
  <c r="I63" i="32" s="1"/>
  <c r="J63" i="32" s="1"/>
  <c r="H65" i="32"/>
  <c r="I65" i="32" s="1"/>
  <c r="J65" i="32" s="1"/>
  <c r="H74" i="32"/>
  <c r="I74" i="32" s="1"/>
  <c r="J74" i="32" s="1"/>
  <c r="H78" i="32"/>
  <c r="I78" i="32" s="1"/>
  <c r="J78" i="32" s="1"/>
  <c r="H80" i="32"/>
  <c r="I80" i="32" s="1"/>
  <c r="J80" i="32" s="1"/>
  <c r="H82" i="32"/>
  <c r="I82" i="32" s="1"/>
  <c r="J82" i="32" s="1"/>
  <c r="H86" i="32"/>
  <c r="I86" i="32" s="1"/>
  <c r="J86" i="32" s="1"/>
  <c r="O2" i="32"/>
  <c r="H2" i="32"/>
  <c r="I2" i="32" s="1"/>
  <c r="J2" i="32" s="1"/>
  <c r="L59" i="31"/>
  <c r="L58" i="31"/>
  <c r="Q40" i="31"/>
  <c r="J40" i="31"/>
  <c r="K40" i="31" s="1"/>
  <c r="L40" i="31" s="1"/>
  <c r="Q39" i="31"/>
  <c r="J39" i="31"/>
  <c r="K39" i="31" s="1"/>
  <c r="L39" i="31" s="1"/>
  <c r="Q37" i="31"/>
  <c r="J37" i="31"/>
  <c r="K37" i="31" s="1"/>
  <c r="L37" i="31" s="1"/>
  <c r="Q32" i="31"/>
  <c r="J32" i="31"/>
  <c r="K32" i="31" s="1"/>
  <c r="L32" i="31" s="1"/>
  <c r="Q31" i="31"/>
  <c r="J31" i="31"/>
  <c r="K31" i="31" s="1"/>
  <c r="L31" i="31" s="1"/>
  <c r="J36" i="31"/>
  <c r="K36" i="31" s="1"/>
  <c r="L36" i="31" s="1"/>
  <c r="Q36" i="31"/>
  <c r="J38" i="31"/>
  <c r="K38" i="31" s="1"/>
  <c r="L38" i="31" s="1"/>
  <c r="Q38" i="31"/>
  <c r="J41" i="31"/>
  <c r="K41" i="31" s="1"/>
  <c r="L41" i="31" s="1"/>
  <c r="Q41" i="31"/>
  <c r="J42" i="31"/>
  <c r="K42" i="31" s="1"/>
  <c r="L42" i="31" s="1"/>
  <c r="Q42" i="31"/>
  <c r="J43" i="31"/>
  <c r="K43" i="31" s="1"/>
  <c r="L43" i="31" s="1"/>
  <c r="Q43" i="31"/>
  <c r="J44" i="31"/>
  <c r="K44" i="31" s="1"/>
  <c r="L44" i="31" s="1"/>
  <c r="Q44" i="31"/>
  <c r="J45" i="31"/>
  <c r="K45" i="31" s="1"/>
  <c r="L45" i="31" s="1"/>
  <c r="Q45" i="31"/>
  <c r="J46" i="31"/>
  <c r="K46" i="31" s="1"/>
  <c r="L46" i="31" s="1"/>
  <c r="Q46" i="31"/>
  <c r="J47" i="31"/>
  <c r="K47" i="31" s="1"/>
  <c r="L47" i="31" s="1"/>
  <c r="Q47" i="31"/>
  <c r="J48" i="31"/>
  <c r="K48" i="31" s="1"/>
  <c r="L48" i="31" s="1"/>
  <c r="Q48" i="31"/>
  <c r="J49" i="31"/>
  <c r="K49" i="31" s="1"/>
  <c r="L49" i="31" s="1"/>
  <c r="Q49" i="31"/>
  <c r="J50" i="31"/>
  <c r="K50" i="31" s="1"/>
  <c r="L50" i="31" s="1"/>
  <c r="Q50" i="31"/>
  <c r="J51" i="31"/>
  <c r="K51" i="31" s="1"/>
  <c r="L51" i="31" s="1"/>
  <c r="Q51" i="31"/>
  <c r="J52" i="31"/>
  <c r="K52" i="31" s="1"/>
  <c r="L52" i="31" s="1"/>
  <c r="Q52" i="31"/>
  <c r="J53" i="31"/>
  <c r="K53" i="31" s="1"/>
  <c r="L53" i="31" s="1"/>
  <c r="Q53" i="31"/>
  <c r="J54" i="31"/>
  <c r="K54" i="31" s="1"/>
  <c r="L54" i="31" s="1"/>
  <c r="Q54" i="31"/>
  <c r="J55" i="31"/>
  <c r="K55" i="31" s="1"/>
  <c r="L55" i="31" s="1"/>
  <c r="Q55" i="31"/>
  <c r="J56" i="31"/>
  <c r="K56" i="31" s="1"/>
  <c r="L56" i="31" s="1"/>
  <c r="Q56" i="31"/>
  <c r="Q65" i="30"/>
  <c r="J65" i="30"/>
  <c r="K65" i="30" s="1"/>
  <c r="L65" i="30" s="1"/>
  <c r="Q58" i="30"/>
  <c r="J58" i="30"/>
  <c r="K58" i="30" s="1"/>
  <c r="L58" i="30" s="1"/>
  <c r="Q56" i="30"/>
  <c r="J56" i="30"/>
  <c r="K56" i="30" s="1"/>
  <c r="L56" i="30" s="1"/>
  <c r="Q74" i="30"/>
  <c r="J74" i="30"/>
  <c r="K74" i="30" s="1"/>
  <c r="L74" i="30" s="1"/>
  <c r="Q73" i="30"/>
  <c r="J73" i="30"/>
  <c r="K73" i="30" s="1"/>
  <c r="L73" i="30" s="1"/>
  <c r="Q72" i="30"/>
  <c r="J72" i="30"/>
  <c r="K72" i="30" s="1"/>
  <c r="L72" i="30" s="1"/>
  <c r="Q71" i="30"/>
  <c r="J71" i="30"/>
  <c r="K71" i="30" s="1"/>
  <c r="L71" i="30" s="1"/>
  <c r="Q70" i="30"/>
  <c r="J70" i="30"/>
  <c r="K70" i="30" s="1"/>
  <c r="L70" i="30" s="1"/>
  <c r="Q69" i="30"/>
  <c r="J69" i="30"/>
  <c r="K69" i="30" s="1"/>
  <c r="L69" i="30" s="1"/>
  <c r="Q68" i="30"/>
  <c r="J68" i="30"/>
  <c r="K68" i="30" s="1"/>
  <c r="L68" i="30" s="1"/>
  <c r="Q66" i="30"/>
  <c r="J66" i="30"/>
  <c r="K66" i="30" s="1"/>
  <c r="L66" i="30" s="1"/>
  <c r="Q63" i="30"/>
  <c r="J63" i="30"/>
  <c r="K63" i="30" s="1"/>
  <c r="L63" i="30" s="1"/>
  <c r="Q62" i="30"/>
  <c r="J62" i="30"/>
  <c r="K62" i="30" s="1"/>
  <c r="L62" i="30" s="1"/>
  <c r="Q61" i="30"/>
  <c r="J61" i="30"/>
  <c r="K61" i="30" s="1"/>
  <c r="L61" i="30" s="1"/>
  <c r="Q59" i="30"/>
  <c r="J59" i="30"/>
  <c r="K59" i="30" s="1"/>
  <c r="L59" i="30" s="1"/>
  <c r="Q55" i="30"/>
  <c r="J55" i="30"/>
  <c r="K55" i="30" s="1"/>
  <c r="L55" i="30" s="1"/>
  <c r="Q54" i="30"/>
  <c r="J54" i="30"/>
  <c r="K54" i="30" s="1"/>
  <c r="L54" i="30" s="1"/>
  <c r="Q52" i="30"/>
  <c r="J52" i="30"/>
  <c r="K52" i="30" s="1"/>
  <c r="L52" i="30" s="1"/>
  <c r="J50" i="30"/>
  <c r="K50" i="30" s="1"/>
  <c r="L50" i="30" s="1"/>
  <c r="J49" i="30"/>
  <c r="K49" i="30" s="1"/>
  <c r="L49" i="30" s="1"/>
  <c r="J46" i="30"/>
  <c r="K46" i="30" s="1"/>
  <c r="L46" i="30" s="1"/>
  <c r="Q42" i="30"/>
  <c r="J42" i="30"/>
  <c r="K42" i="30" s="1"/>
  <c r="L42" i="30" s="1"/>
  <c r="J48" i="30"/>
  <c r="K48" i="30" s="1"/>
  <c r="L48" i="30" s="1"/>
  <c r="J47" i="30"/>
  <c r="K47" i="30" s="1"/>
  <c r="L47" i="30" s="1"/>
  <c r="J45" i="30"/>
  <c r="K45" i="30" s="1"/>
  <c r="L45" i="30" s="1"/>
  <c r="Q43" i="30"/>
  <c r="J43" i="30"/>
  <c r="K43" i="30" s="1"/>
  <c r="L43" i="30" s="1"/>
  <c r="Q40" i="30"/>
  <c r="J40" i="30"/>
  <c r="K40" i="30" s="1"/>
  <c r="L40" i="30" s="1"/>
  <c r="Q39" i="30"/>
  <c r="J39" i="30"/>
  <c r="K39" i="30" s="1"/>
  <c r="L39" i="30" s="1"/>
  <c r="Q38" i="30"/>
  <c r="J38" i="30"/>
  <c r="K38" i="30" s="1"/>
  <c r="L38" i="30" s="1"/>
  <c r="Q37" i="30"/>
  <c r="J37" i="30"/>
  <c r="K37" i="30" s="1"/>
  <c r="L37" i="30" s="1"/>
  <c r="J36" i="30"/>
  <c r="K36" i="30" s="1"/>
  <c r="L36" i="30" s="1"/>
  <c r="J41" i="30"/>
  <c r="K41" i="30" s="1"/>
  <c r="L41" i="30" s="1"/>
  <c r="J44" i="30"/>
  <c r="K44" i="30" s="1"/>
  <c r="L44" i="30" s="1"/>
  <c r="J51" i="30"/>
  <c r="K51" i="30" s="1"/>
  <c r="L51" i="30" s="1"/>
  <c r="J53" i="30"/>
  <c r="K53" i="30" s="1"/>
  <c r="L53" i="30" s="1"/>
  <c r="J57" i="30"/>
  <c r="K57" i="30" s="1"/>
  <c r="L57" i="30" s="1"/>
  <c r="J60" i="30"/>
  <c r="K60" i="30" s="1"/>
  <c r="L60" i="30" s="1"/>
  <c r="J64" i="30"/>
  <c r="K64" i="30" s="1"/>
  <c r="L64" i="30" s="1"/>
  <c r="J67" i="30"/>
  <c r="K67" i="30" s="1"/>
  <c r="L67" i="30" s="1"/>
  <c r="Q36" i="30"/>
  <c r="Q41" i="30"/>
  <c r="Q51" i="30"/>
  <c r="Q53" i="30"/>
  <c r="Q57" i="30"/>
  <c r="Q60" i="30"/>
  <c r="Q64" i="30"/>
  <c r="Q67" i="30"/>
  <c r="T93" i="32" l="1"/>
  <c r="S93" i="32"/>
  <c r="R94" i="32"/>
  <c r="Q22" i="31"/>
  <c r="J22" i="31"/>
  <c r="K22" i="31" s="1"/>
  <c r="L22" i="31" s="1"/>
  <c r="Q21" i="31"/>
  <c r="J21" i="31"/>
  <c r="K21" i="31" s="1"/>
  <c r="L21" i="31" s="1"/>
  <c r="Q20" i="31"/>
  <c r="J20" i="31"/>
  <c r="K20" i="31" s="1"/>
  <c r="L20" i="31" s="1"/>
  <c r="Q19" i="31"/>
  <c r="J19" i="31"/>
  <c r="K19" i="31" s="1"/>
  <c r="L19" i="31" s="1"/>
  <c r="Q16" i="31"/>
  <c r="J16" i="31"/>
  <c r="K16" i="31" s="1"/>
  <c r="L16" i="31" s="1"/>
  <c r="Q15" i="31"/>
  <c r="J15" i="31"/>
  <c r="K15" i="31" s="1"/>
  <c r="L15" i="31" s="1"/>
  <c r="Q12" i="31"/>
  <c r="J12" i="31"/>
  <c r="K12" i="31" s="1"/>
  <c r="L12" i="31" s="1"/>
  <c r="J8" i="31"/>
  <c r="K8" i="31" s="1"/>
  <c r="L8" i="31" s="1"/>
  <c r="Q8" i="31"/>
  <c r="T57" i="31"/>
  <c r="S57" i="31"/>
  <c r="J5" i="31"/>
  <c r="K5" i="31" s="1"/>
  <c r="L5" i="31" s="1"/>
  <c r="J4" i="31"/>
  <c r="K4" i="31" s="1"/>
  <c r="L4" i="31" s="1"/>
  <c r="J3" i="31"/>
  <c r="K3" i="31" s="1"/>
  <c r="L3" i="31" s="1"/>
  <c r="J10" i="31"/>
  <c r="K10" i="31" s="1"/>
  <c r="L10" i="31" s="1"/>
  <c r="J11" i="31"/>
  <c r="K11" i="31" s="1"/>
  <c r="L11" i="31" s="1"/>
  <c r="J13" i="31"/>
  <c r="K13" i="31" s="1"/>
  <c r="L13" i="31" s="1"/>
  <c r="J14" i="31"/>
  <c r="K14" i="31" s="1"/>
  <c r="L14" i="31" s="1"/>
  <c r="J17" i="31"/>
  <c r="K17" i="31" s="1"/>
  <c r="L17" i="31" s="1"/>
  <c r="J18" i="31"/>
  <c r="K18" i="31" s="1"/>
  <c r="L18" i="31" s="1"/>
  <c r="J26" i="31"/>
  <c r="K26" i="31" s="1"/>
  <c r="L26" i="31" s="1"/>
  <c r="J30" i="31"/>
  <c r="K30" i="31" s="1"/>
  <c r="L30" i="31" s="1"/>
  <c r="Q30" i="31"/>
  <c r="Q9" i="31"/>
  <c r="Q10" i="31"/>
  <c r="Q11" i="31"/>
  <c r="Q14" i="31"/>
  <c r="Q17" i="31"/>
  <c r="Q18" i="31"/>
  <c r="Q2" i="31"/>
  <c r="J2" i="31"/>
  <c r="K2" i="31" s="1"/>
  <c r="L2" i="31" s="1"/>
  <c r="Q34" i="30"/>
  <c r="J34" i="30"/>
  <c r="K34" i="30" s="1"/>
  <c r="L34" i="30" s="1"/>
  <c r="Q32" i="30"/>
  <c r="J32" i="30"/>
  <c r="K32" i="30" s="1"/>
  <c r="L32" i="30" s="1"/>
  <c r="Q30" i="30"/>
  <c r="J30" i="30"/>
  <c r="K30" i="30" s="1"/>
  <c r="L30" i="30" s="1"/>
  <c r="Q28" i="30"/>
  <c r="J28" i="30"/>
  <c r="K28" i="30" s="1"/>
  <c r="L28" i="30" s="1"/>
  <c r="Q33" i="30"/>
  <c r="J33" i="30"/>
  <c r="K33" i="30" s="1"/>
  <c r="L33" i="30" s="1"/>
  <c r="Q31" i="30"/>
  <c r="J31" i="30"/>
  <c r="K31" i="30" s="1"/>
  <c r="L31" i="30" s="1"/>
  <c r="Q27" i="30"/>
  <c r="J27" i="30"/>
  <c r="K27" i="30" s="1"/>
  <c r="L27" i="30" s="1"/>
  <c r="Q26" i="30"/>
  <c r="J26" i="30"/>
  <c r="K26" i="30" s="1"/>
  <c r="L26" i="30" s="1"/>
  <c r="Q24" i="30"/>
  <c r="J24" i="30"/>
  <c r="K24" i="30" s="1"/>
  <c r="L24" i="30" s="1"/>
  <c r="Q25" i="30"/>
  <c r="J25" i="30"/>
  <c r="K25" i="30" s="1"/>
  <c r="L25" i="30" s="1"/>
  <c r="J21" i="30"/>
  <c r="K21" i="30" s="1"/>
  <c r="L21" i="30" s="1"/>
  <c r="J22" i="30"/>
  <c r="K22" i="30" s="1"/>
  <c r="L22" i="30" s="1"/>
  <c r="J23" i="30"/>
  <c r="K23" i="30" s="1"/>
  <c r="L23" i="30" s="1"/>
  <c r="J29" i="30"/>
  <c r="K29" i="30" s="1"/>
  <c r="L29" i="30" s="1"/>
  <c r="Q22" i="30"/>
  <c r="Q20" i="30"/>
  <c r="J20" i="30"/>
  <c r="K20" i="30" s="1"/>
  <c r="L20" i="30" s="1"/>
  <c r="J19" i="30"/>
  <c r="K19" i="30" s="1"/>
  <c r="L19" i="30" s="1"/>
  <c r="Q18" i="30"/>
  <c r="T81" i="30"/>
  <c r="S81" i="30"/>
  <c r="Q21" i="30"/>
  <c r="Q19" i="30"/>
  <c r="J18" i="30"/>
  <c r="K18" i="30" s="1"/>
  <c r="L18" i="30" s="1"/>
  <c r="Q16" i="30"/>
  <c r="J16" i="30"/>
  <c r="K16" i="30" s="1"/>
  <c r="L16" i="30" s="1"/>
  <c r="Q13" i="30"/>
  <c r="J13" i="30"/>
  <c r="K13" i="30" s="1"/>
  <c r="L13" i="30" s="1"/>
  <c r="Q11" i="30"/>
  <c r="J11" i="30"/>
  <c r="K11" i="30" s="1"/>
  <c r="L11" i="30" s="1"/>
  <c r="Q12" i="30"/>
  <c r="J12" i="30"/>
  <c r="K12" i="30" s="1"/>
  <c r="L12" i="30" s="1"/>
  <c r="Q7" i="30"/>
  <c r="J7" i="30"/>
  <c r="K7" i="30" s="1"/>
  <c r="L7" i="30" s="1"/>
  <c r="Q8" i="30"/>
  <c r="J8" i="30"/>
  <c r="K8" i="30" s="1"/>
  <c r="L8" i="30" s="1"/>
  <c r="Q5" i="30"/>
  <c r="J5" i="30"/>
  <c r="K5" i="30" s="1"/>
  <c r="L5" i="30" s="1"/>
  <c r="J3" i="30"/>
  <c r="K3" i="30" s="1"/>
  <c r="L3" i="30" s="1"/>
  <c r="J4" i="30"/>
  <c r="K4" i="30" s="1"/>
  <c r="L4" i="30" s="1"/>
  <c r="J6" i="30"/>
  <c r="K6" i="30" s="1"/>
  <c r="L6" i="30" s="1"/>
  <c r="J9" i="30"/>
  <c r="K9" i="30" s="1"/>
  <c r="L9" i="30" s="1"/>
  <c r="J10" i="30"/>
  <c r="K10" i="30" s="1"/>
  <c r="L10" i="30" s="1"/>
  <c r="J15" i="30"/>
  <c r="K15" i="30" s="1"/>
  <c r="L15" i="30" s="1"/>
  <c r="J17" i="30"/>
  <c r="K17" i="30" s="1"/>
  <c r="L17" i="30" s="1"/>
  <c r="J2" i="30"/>
  <c r="K2" i="30" s="1"/>
  <c r="L2" i="30" s="1"/>
  <c r="Q3" i="30"/>
  <c r="Q9" i="30"/>
  <c r="Q6" i="30"/>
  <c r="Q4" i="30"/>
  <c r="Q10" i="30"/>
  <c r="Q14" i="30"/>
  <c r="Q15" i="30"/>
  <c r="Q17" i="30"/>
  <c r="Q23" i="30"/>
  <c r="Q29" i="30"/>
  <c r="Q2" i="30"/>
  <c r="L83" i="30" l="1"/>
  <c r="L82" i="30"/>
  <c r="T58" i="31"/>
  <c r="T82" i="30"/>
  <c r="O22" i="29"/>
  <c r="O21" i="29"/>
  <c r="O20" i="29"/>
  <c r="O19" i="29"/>
  <c r="O12" i="29"/>
  <c r="O11" i="29"/>
  <c r="O13" i="29"/>
  <c r="O14" i="29"/>
  <c r="O18" i="29"/>
  <c r="O23" i="29"/>
  <c r="O24" i="29"/>
  <c r="S30" i="28"/>
  <c r="S27" i="28"/>
  <c r="O29" i="28"/>
  <c r="H29" i="28"/>
  <c r="I29" i="28" s="1"/>
  <c r="J29" i="28" s="1"/>
  <c r="O28" i="28"/>
  <c r="H28" i="28"/>
  <c r="I28" i="28" s="1"/>
  <c r="J28" i="28" s="1"/>
  <c r="H4" i="29" l="1"/>
  <c r="I4" i="29" s="1"/>
  <c r="J4" i="29" s="1"/>
  <c r="H5" i="29"/>
  <c r="I5" i="29" s="1"/>
  <c r="J5" i="29" s="1"/>
  <c r="H6" i="29"/>
  <c r="I6" i="29" s="1"/>
  <c r="J6" i="29" s="1"/>
  <c r="H7" i="29"/>
  <c r="I7" i="29" s="1"/>
  <c r="J7" i="29" s="1"/>
  <c r="H8" i="29"/>
  <c r="I8" i="29" s="1"/>
  <c r="J8" i="29" s="1"/>
  <c r="O5" i="29"/>
  <c r="O6" i="29"/>
  <c r="O7" i="29"/>
  <c r="O4" i="29"/>
  <c r="BM24" i="1" l="1"/>
  <c r="BL24" i="1"/>
  <c r="BD24" i="1"/>
  <c r="BC24" i="1"/>
  <c r="K19" i="24"/>
  <c r="L19" i="24" s="1"/>
  <c r="K20" i="24"/>
  <c r="L20" i="24" s="1"/>
  <c r="J20" i="24"/>
  <c r="J21" i="24"/>
  <c r="K21" i="24" s="1"/>
  <c r="L21" i="24" s="1"/>
  <c r="J19" i="24"/>
  <c r="U20" i="24"/>
  <c r="U19" i="24"/>
  <c r="U18" i="24"/>
  <c r="U17" i="24"/>
  <c r="S4" i="28"/>
  <c r="S10" i="28"/>
  <c r="S11" i="28"/>
  <c r="S12" i="28"/>
  <c r="S13" i="28"/>
  <c r="S14" i="28"/>
  <c r="S17" i="28"/>
  <c r="S18" i="28"/>
  <c r="S19" i="28"/>
  <c r="S20" i="28"/>
  <c r="S23" i="28"/>
  <c r="S24" i="28"/>
  <c r="S25" i="28"/>
  <c r="S26" i="28"/>
  <c r="S37" i="28"/>
  <c r="S38" i="28"/>
  <c r="S39" i="28"/>
  <c r="S40" i="28"/>
  <c r="S41" i="28"/>
  <c r="S42" i="28"/>
  <c r="S46" i="28"/>
  <c r="S47" i="28"/>
  <c r="S48" i="28"/>
  <c r="S49" i="28"/>
  <c r="S2" i="28"/>
  <c r="T53" i="28" s="1"/>
  <c r="Q53" i="28"/>
  <c r="R53" i="28"/>
  <c r="O50" i="28"/>
  <c r="H50" i="28"/>
  <c r="I50" i="28" s="1"/>
  <c r="J50" i="28" s="1"/>
  <c r="O46" i="28"/>
  <c r="H46" i="28"/>
  <c r="I46" i="28" s="1"/>
  <c r="J46" i="28" s="1"/>
  <c r="O43" i="28"/>
  <c r="H43" i="28"/>
  <c r="I43" i="28" s="1"/>
  <c r="J43" i="28" s="1"/>
  <c r="O42" i="28"/>
  <c r="O47" i="28"/>
  <c r="O48" i="28"/>
  <c r="O49" i="28"/>
  <c r="S53" i="28" l="1"/>
  <c r="H49" i="28"/>
  <c r="I49" i="28" s="1"/>
  <c r="J49" i="28" s="1"/>
  <c r="H42" i="28"/>
  <c r="I42" i="28" s="1"/>
  <c r="J42" i="28" s="1"/>
  <c r="H47" i="28"/>
  <c r="I47" i="28" s="1"/>
  <c r="J47" i="28" s="1"/>
  <c r="H48" i="28"/>
  <c r="I48" i="28" s="1"/>
  <c r="J48" i="28" s="1"/>
  <c r="O26" i="28"/>
  <c r="H27" i="28"/>
  <c r="I27" i="28" s="1"/>
  <c r="J27" i="28" s="1"/>
  <c r="H31" i="28"/>
  <c r="I31" i="28" s="1"/>
  <c r="J31" i="28" s="1"/>
  <c r="H32" i="28"/>
  <c r="I32" i="28" s="1"/>
  <c r="J32" i="28" s="1"/>
  <c r="H33" i="28"/>
  <c r="I33" i="28" s="1"/>
  <c r="J33" i="28" s="1"/>
  <c r="H34" i="28"/>
  <c r="I34" i="28" s="1"/>
  <c r="J34" i="28" s="1"/>
  <c r="H35" i="28"/>
  <c r="I35" i="28" s="1"/>
  <c r="J35" i="28" s="1"/>
  <c r="H36" i="28"/>
  <c r="I36" i="28" s="1"/>
  <c r="J36" i="28" s="1"/>
  <c r="O24" i="28"/>
  <c r="O25" i="28"/>
  <c r="O27" i="28"/>
  <c r="O31" i="28"/>
  <c r="O32" i="28"/>
  <c r="O33" i="28"/>
  <c r="O34" i="28"/>
  <c r="O35" i="28"/>
  <c r="O36" i="28"/>
  <c r="O22" i="28"/>
  <c r="H22" i="28"/>
  <c r="I22" i="28" s="1"/>
  <c r="J22" i="28" s="1"/>
  <c r="O21" i="28"/>
  <c r="H21" i="28"/>
  <c r="I21" i="28" s="1"/>
  <c r="J21" i="28" s="1"/>
  <c r="O20" i="28"/>
  <c r="H20" i="28"/>
  <c r="I20" i="28" s="1"/>
  <c r="J20" i="28" s="1"/>
  <c r="Q54" i="28" l="1"/>
  <c r="H15" i="28"/>
  <c r="I15" i="28" s="1"/>
  <c r="J15" i="28" s="1"/>
  <c r="O14" i="28"/>
  <c r="O13" i="28"/>
  <c r="O15" i="28"/>
  <c r="O16" i="28"/>
  <c r="O17" i="28"/>
  <c r="O18" i="28"/>
  <c r="O19" i="28"/>
  <c r="O23" i="28"/>
  <c r="O3" i="28"/>
  <c r="O4" i="28"/>
  <c r="O5" i="28"/>
  <c r="O6" i="28"/>
  <c r="O7" i="28"/>
  <c r="O8" i="28"/>
  <c r="O9" i="28"/>
  <c r="O2" i="28"/>
  <c r="H16" i="28" l="1"/>
  <c r="I16" i="28" s="1"/>
  <c r="J16" i="28" s="1"/>
  <c r="H14" i="28"/>
  <c r="I14" i="28" s="1"/>
  <c r="J14" i="28" s="1"/>
  <c r="H9" i="28"/>
  <c r="I9" i="28" s="1"/>
  <c r="J9" i="28" s="1"/>
  <c r="H8" i="28"/>
  <c r="I8" i="28" s="1"/>
  <c r="J8" i="28" s="1"/>
  <c r="H7" i="28"/>
  <c r="I7" i="28" s="1"/>
  <c r="J7" i="28" s="1"/>
  <c r="H6" i="28"/>
  <c r="I6" i="28" s="1"/>
  <c r="J6" i="28" s="1"/>
  <c r="H5" i="28"/>
  <c r="I5" i="28" s="1"/>
  <c r="J5" i="28" s="1"/>
  <c r="H3" i="28"/>
  <c r="I3" i="28" s="1"/>
  <c r="J3" i="28" s="1"/>
  <c r="H4" i="28"/>
  <c r="I4" i="28" s="1"/>
  <c r="J4" i="28" s="1"/>
  <c r="H13" i="28"/>
  <c r="I13" i="28" s="1"/>
  <c r="J13" i="28" s="1"/>
  <c r="H2" i="28"/>
  <c r="I2" i="28" s="1"/>
  <c r="J2" i="28" s="1"/>
  <c r="BM18" i="1" l="1"/>
  <c r="BL18" i="1"/>
  <c r="BD18" i="1"/>
  <c r="BC18" i="1"/>
  <c r="V29" i="27"/>
  <c r="U29" i="27"/>
  <c r="U7" i="27"/>
  <c r="U9" i="27"/>
  <c r="U10" i="27"/>
  <c r="U11" i="27"/>
  <c r="U14" i="27"/>
  <c r="U18" i="27"/>
  <c r="U19" i="27"/>
  <c r="U24" i="27"/>
  <c r="U2" i="27"/>
  <c r="S28" i="27"/>
  <c r="T28" i="27"/>
  <c r="Q27" i="27"/>
  <c r="J27" i="27"/>
  <c r="K27" i="27" s="1"/>
  <c r="L27" i="27" s="1"/>
  <c r="Q26" i="27"/>
  <c r="J26" i="27"/>
  <c r="K26" i="27" s="1"/>
  <c r="L26" i="27" s="1"/>
  <c r="Q25" i="27"/>
  <c r="K25" i="27"/>
  <c r="L25" i="27" s="1"/>
  <c r="J25" i="27"/>
  <c r="Q23" i="27"/>
  <c r="J23" i="27"/>
  <c r="K23" i="27" s="1"/>
  <c r="L23" i="27" s="1"/>
  <c r="J19" i="27"/>
  <c r="K19" i="27" s="1"/>
  <c r="L19" i="27" s="1"/>
  <c r="Q19" i="27"/>
  <c r="Q22" i="27"/>
  <c r="J22" i="27"/>
  <c r="K22" i="27" s="1"/>
  <c r="L22" i="27" s="1"/>
  <c r="Q21" i="27"/>
  <c r="J21" i="27"/>
  <c r="K21" i="27" s="1"/>
  <c r="L21" i="27" s="1"/>
  <c r="Q20" i="27"/>
  <c r="J20" i="27"/>
  <c r="K20" i="27" s="1"/>
  <c r="L20" i="27" s="1"/>
  <c r="S29" i="27" l="1"/>
  <c r="W58" i="2"/>
  <c r="V59" i="2" s="1"/>
  <c r="V58" i="2"/>
  <c r="Z57" i="2"/>
  <c r="AA57" i="2" s="1"/>
  <c r="Y57" i="2"/>
  <c r="K54" i="2"/>
  <c r="L54" i="2" s="1"/>
  <c r="M54" i="2" s="1"/>
  <c r="K53" i="2"/>
  <c r="L53" i="2" s="1"/>
  <c r="M53" i="2" s="1"/>
  <c r="L52" i="2"/>
  <c r="M52" i="2" s="1"/>
  <c r="K52" i="2"/>
  <c r="K51" i="2"/>
  <c r="L51" i="2" s="1"/>
  <c r="M51" i="2" s="1"/>
  <c r="K50" i="2"/>
  <c r="L50" i="2" s="1"/>
  <c r="M50" i="2" s="1"/>
  <c r="X49" i="2"/>
  <c r="Y60" i="2" s="1"/>
  <c r="K49" i="2"/>
  <c r="L49" i="2" s="1"/>
  <c r="M49" i="2" s="1"/>
  <c r="R48" i="2"/>
  <c r="K48" i="2"/>
  <c r="L48" i="2" s="1"/>
  <c r="M48" i="2" s="1"/>
  <c r="R47" i="2"/>
  <c r="K47" i="2"/>
  <c r="L47" i="2" s="1"/>
  <c r="M47" i="2" s="1"/>
  <c r="X46" i="2"/>
  <c r="R46" i="2"/>
  <c r="K46" i="2"/>
  <c r="L46" i="2" s="1"/>
  <c r="M46" i="2" s="1"/>
  <c r="X45" i="2"/>
  <c r="K45" i="2"/>
  <c r="L45" i="2" s="1"/>
  <c r="M45" i="2" s="1"/>
  <c r="Z44" i="2"/>
  <c r="AA44" i="2" s="1"/>
  <c r="Y44" i="2"/>
  <c r="L44" i="2"/>
  <c r="M44" i="2" s="1"/>
  <c r="K44" i="2"/>
  <c r="L43" i="2"/>
  <c r="M43" i="2" s="1"/>
  <c r="K43" i="2"/>
  <c r="K42" i="2"/>
  <c r="L42" i="2" s="1"/>
  <c r="M42" i="2" s="1"/>
  <c r="K41" i="2"/>
  <c r="L41" i="2" s="1"/>
  <c r="M41" i="2" s="1"/>
  <c r="L40" i="2"/>
  <c r="M40" i="2" s="1"/>
  <c r="K40" i="2"/>
  <c r="L39" i="2"/>
  <c r="M39" i="2" s="1"/>
  <c r="K39" i="2"/>
  <c r="R38" i="2"/>
  <c r="L38" i="2"/>
  <c r="M38" i="2" s="1"/>
  <c r="K38" i="2"/>
  <c r="R37" i="2"/>
  <c r="K37" i="2"/>
  <c r="L37" i="2" s="1"/>
  <c r="M37" i="2" s="1"/>
  <c r="X36" i="2"/>
  <c r="R36" i="2"/>
  <c r="K36" i="2"/>
  <c r="L36" i="2" s="1"/>
  <c r="M36" i="2" s="1"/>
  <c r="X34" i="2"/>
  <c r="R34" i="2"/>
  <c r="L34" i="2"/>
  <c r="M34" i="2" s="1"/>
  <c r="K34" i="2"/>
  <c r="L33" i="2"/>
  <c r="M33" i="2" s="1"/>
  <c r="K33" i="2"/>
  <c r="M32" i="2"/>
  <c r="L32" i="2"/>
  <c r="K32" i="2"/>
  <c r="K31" i="2"/>
  <c r="L31" i="2" s="1"/>
  <c r="M31" i="2" s="1"/>
  <c r="R30" i="2"/>
  <c r="M30" i="2"/>
  <c r="L30" i="2"/>
  <c r="K30" i="2"/>
  <c r="R29" i="2"/>
  <c r="L29" i="2"/>
  <c r="M29" i="2" s="1"/>
  <c r="K29" i="2"/>
  <c r="R28" i="2"/>
  <c r="K28" i="2"/>
  <c r="L28" i="2" s="1"/>
  <c r="M28" i="2" s="1"/>
  <c r="X27" i="2"/>
  <c r="R27" i="2"/>
  <c r="K27" i="2"/>
  <c r="L27" i="2" s="1"/>
  <c r="M27" i="2" s="1"/>
  <c r="X25" i="2"/>
  <c r="X23" i="2"/>
  <c r="R23" i="2"/>
  <c r="L23" i="2"/>
  <c r="M23" i="2" s="1"/>
  <c r="K23" i="2"/>
  <c r="AA18" i="2"/>
  <c r="Z18" i="2"/>
  <c r="Y18" i="2"/>
  <c r="Y58" i="2" s="1"/>
  <c r="X18" i="2"/>
  <c r="L18" i="2"/>
  <c r="M18" i="2" s="1"/>
  <c r="K18" i="2"/>
  <c r="X13" i="2"/>
  <c r="K13" i="2"/>
  <c r="L13" i="2" s="1"/>
  <c r="M13" i="2" s="1"/>
  <c r="X11" i="2"/>
  <c r="K11" i="2"/>
  <c r="L11" i="2" s="1"/>
  <c r="M11" i="2" s="1"/>
  <c r="K9" i="2"/>
  <c r="L9" i="2" s="1"/>
  <c r="M9" i="2" s="1"/>
  <c r="L8" i="2"/>
  <c r="M8" i="2" s="1"/>
  <c r="K8" i="2"/>
  <c r="L7" i="2"/>
  <c r="M7" i="2" s="1"/>
  <c r="K7" i="2"/>
  <c r="K6" i="2"/>
  <c r="L6" i="2" s="1"/>
  <c r="M6" i="2" s="1"/>
  <c r="X5" i="2"/>
  <c r="K5" i="2"/>
  <c r="L5" i="2" s="1"/>
  <c r="Q24" i="27"/>
  <c r="J24" i="27"/>
  <c r="K24" i="27" s="1"/>
  <c r="L24" i="27" s="1"/>
  <c r="Q18" i="27"/>
  <c r="J18" i="27"/>
  <c r="K18" i="27" s="1"/>
  <c r="L18" i="27" s="1"/>
  <c r="Q17" i="27"/>
  <c r="K17" i="27"/>
  <c r="L17" i="27" s="1"/>
  <c r="J17" i="27"/>
  <c r="Q16" i="27"/>
  <c r="J16" i="27"/>
  <c r="K16" i="27" s="1"/>
  <c r="L16" i="27" s="1"/>
  <c r="Q15" i="27"/>
  <c r="L15" i="27"/>
  <c r="K15" i="27"/>
  <c r="J15" i="27"/>
  <c r="Q14" i="27"/>
  <c r="K14" i="27"/>
  <c r="L14" i="27" s="1"/>
  <c r="J14" i="27"/>
  <c r="Q13" i="27"/>
  <c r="J13" i="27"/>
  <c r="K13" i="27" s="1"/>
  <c r="L13" i="27" s="1"/>
  <c r="Q12" i="27"/>
  <c r="L12" i="27"/>
  <c r="K12" i="27"/>
  <c r="J12" i="27"/>
  <c r="Q11" i="27"/>
  <c r="K11" i="27"/>
  <c r="L11" i="27" s="1"/>
  <c r="J11" i="27"/>
  <c r="Q10" i="27"/>
  <c r="J10" i="27"/>
  <c r="K10" i="27" s="1"/>
  <c r="L10" i="27" s="1"/>
  <c r="Q8" i="27"/>
  <c r="L8" i="27"/>
  <c r="K8" i="27"/>
  <c r="J8" i="27"/>
  <c r="Q7" i="27"/>
  <c r="K7" i="27"/>
  <c r="L7" i="27" s="1"/>
  <c r="J7" i="27"/>
  <c r="Q6" i="27"/>
  <c r="J6" i="27"/>
  <c r="K6" i="27" s="1"/>
  <c r="L6" i="27" s="1"/>
  <c r="Q5" i="27"/>
  <c r="L5" i="27"/>
  <c r="K5" i="27"/>
  <c r="J5" i="27"/>
  <c r="Q4" i="27"/>
  <c r="K4" i="27"/>
  <c r="L4" i="27" s="1"/>
  <c r="J4" i="27"/>
  <c r="Q3" i="27"/>
  <c r="J3" i="27"/>
  <c r="K3" i="27" s="1"/>
  <c r="L3" i="27" s="1"/>
  <c r="Q2" i="27"/>
  <c r="L2" i="27"/>
  <c r="K2" i="27"/>
  <c r="J2" i="27"/>
  <c r="AO73" i="25"/>
  <c r="S68" i="25"/>
  <c r="R69" i="25" s="1"/>
  <c r="R68" i="25"/>
  <c r="U67" i="25"/>
  <c r="P67" i="25"/>
  <c r="I67" i="25"/>
  <c r="J67" i="25" s="1"/>
  <c r="K67" i="25" s="1"/>
  <c r="U66" i="25"/>
  <c r="U65" i="25"/>
  <c r="P64" i="25"/>
  <c r="K64" i="25"/>
  <c r="J64" i="25"/>
  <c r="I64" i="25"/>
  <c r="U63" i="25"/>
  <c r="P63" i="25"/>
  <c r="K63" i="25"/>
  <c r="J63" i="25"/>
  <c r="I63" i="25"/>
  <c r="U62" i="25"/>
  <c r="U61" i="25"/>
  <c r="U60" i="25"/>
  <c r="J59" i="25"/>
  <c r="K59" i="25" s="1"/>
  <c r="I59" i="25"/>
  <c r="U58" i="25"/>
  <c r="I58" i="25"/>
  <c r="J58" i="25" s="1"/>
  <c r="K58" i="25" s="1"/>
  <c r="U57" i="25"/>
  <c r="P56" i="25"/>
  <c r="I56" i="25"/>
  <c r="J56" i="25" s="1"/>
  <c r="K56" i="25" s="1"/>
  <c r="U55" i="25"/>
  <c r="P55" i="25"/>
  <c r="I55" i="25"/>
  <c r="J55" i="25" s="1"/>
  <c r="K55" i="25" s="1"/>
  <c r="U54" i="25"/>
  <c r="P54" i="25"/>
  <c r="U53" i="25"/>
  <c r="P53" i="25"/>
  <c r="I53" i="25"/>
  <c r="J53" i="25" s="1"/>
  <c r="K53" i="25" s="1"/>
  <c r="U52" i="25"/>
  <c r="P52" i="25"/>
  <c r="I52" i="25"/>
  <c r="J52" i="25" s="1"/>
  <c r="K52" i="25" s="1"/>
  <c r="P51" i="25"/>
  <c r="K51" i="25"/>
  <c r="J51" i="25"/>
  <c r="I51" i="25"/>
  <c r="P50" i="25"/>
  <c r="J50" i="25"/>
  <c r="K50" i="25" s="1"/>
  <c r="I50" i="25"/>
  <c r="U49" i="25"/>
  <c r="P49" i="25"/>
  <c r="J49" i="25"/>
  <c r="K49" i="25" s="1"/>
  <c r="I49" i="25"/>
  <c r="U48" i="25"/>
  <c r="P48" i="25"/>
  <c r="J48" i="25"/>
  <c r="K48" i="25" s="1"/>
  <c r="I48" i="25"/>
  <c r="U47" i="25"/>
  <c r="P47" i="25"/>
  <c r="K47" i="25"/>
  <c r="J47" i="25"/>
  <c r="I47" i="25"/>
  <c r="U46" i="25"/>
  <c r="P46" i="25"/>
  <c r="U45" i="25"/>
  <c r="P45" i="25"/>
  <c r="J45" i="25"/>
  <c r="K45" i="25" s="1"/>
  <c r="I45" i="25"/>
  <c r="U44" i="25"/>
  <c r="P44" i="25"/>
  <c r="K44" i="25"/>
  <c r="J44" i="25"/>
  <c r="I44" i="25"/>
  <c r="U43" i="25"/>
  <c r="P43" i="25"/>
  <c r="K43" i="25"/>
  <c r="J43" i="25"/>
  <c r="I43" i="25"/>
  <c r="U42" i="25"/>
  <c r="P42" i="25"/>
  <c r="P41" i="25"/>
  <c r="J41" i="25"/>
  <c r="K41" i="25" s="1"/>
  <c r="I41" i="25"/>
  <c r="P40" i="25"/>
  <c r="I40" i="25"/>
  <c r="J40" i="25" s="1"/>
  <c r="K40" i="25" s="1"/>
  <c r="P39" i="25"/>
  <c r="J39" i="25"/>
  <c r="K39" i="25" s="1"/>
  <c r="I39" i="25"/>
  <c r="U38" i="25"/>
  <c r="P38" i="25"/>
  <c r="K38" i="25"/>
  <c r="J38" i="25"/>
  <c r="I38" i="25"/>
  <c r="U37" i="25"/>
  <c r="P36" i="25"/>
  <c r="K36" i="25"/>
  <c r="J36" i="25"/>
  <c r="I36" i="25"/>
  <c r="P35" i="25"/>
  <c r="J35" i="25"/>
  <c r="K35" i="25" s="1"/>
  <c r="I35" i="25"/>
  <c r="U34" i="25"/>
  <c r="P34" i="25"/>
  <c r="J34" i="25"/>
  <c r="K34" i="25" s="1"/>
  <c r="I34" i="25"/>
  <c r="P33" i="25"/>
  <c r="I33" i="25"/>
  <c r="J33" i="25" s="1"/>
  <c r="K33" i="25" s="1"/>
  <c r="P32" i="25"/>
  <c r="K32" i="25"/>
  <c r="I32" i="25"/>
  <c r="J32" i="25" s="1"/>
  <c r="P31" i="25"/>
  <c r="J31" i="25"/>
  <c r="K31" i="25" s="1"/>
  <c r="I31" i="25"/>
  <c r="U30" i="25"/>
  <c r="P30" i="25"/>
  <c r="J30" i="25"/>
  <c r="K30" i="25" s="1"/>
  <c r="I30" i="25"/>
  <c r="P29" i="25"/>
  <c r="J29" i="25"/>
  <c r="K29" i="25" s="1"/>
  <c r="I29" i="25"/>
  <c r="P28" i="25"/>
  <c r="I28" i="25"/>
  <c r="J28" i="25" s="1"/>
  <c r="K28" i="25" s="1"/>
  <c r="P27" i="25"/>
  <c r="J27" i="25"/>
  <c r="K27" i="25" s="1"/>
  <c r="I27" i="25"/>
  <c r="P26" i="25"/>
  <c r="J26" i="25"/>
  <c r="K26" i="25" s="1"/>
  <c r="I26" i="25"/>
  <c r="P25" i="25"/>
  <c r="I25" i="25"/>
  <c r="J25" i="25" s="1"/>
  <c r="K25" i="25" s="1"/>
  <c r="U24" i="25"/>
  <c r="P24" i="25"/>
  <c r="I24" i="25"/>
  <c r="J24" i="25" s="1"/>
  <c r="K24" i="25" s="1"/>
  <c r="U23" i="25"/>
  <c r="P23" i="25"/>
  <c r="I23" i="25"/>
  <c r="J23" i="25" s="1"/>
  <c r="K23" i="25" s="1"/>
  <c r="U22" i="25"/>
  <c r="P22" i="25"/>
  <c r="I22" i="25"/>
  <c r="J22" i="25" s="1"/>
  <c r="K22" i="25" s="1"/>
  <c r="P21" i="25"/>
  <c r="K21" i="25"/>
  <c r="I21" i="25"/>
  <c r="J21" i="25" s="1"/>
  <c r="U20" i="25"/>
  <c r="P20" i="25"/>
  <c r="I20" i="25"/>
  <c r="J20" i="25" s="1"/>
  <c r="K20" i="25" s="1"/>
  <c r="P19" i="25"/>
  <c r="J19" i="25"/>
  <c r="K19" i="25" s="1"/>
  <c r="I19" i="25"/>
  <c r="P18" i="25"/>
  <c r="J18" i="25"/>
  <c r="K18" i="25" s="1"/>
  <c r="I18" i="25"/>
  <c r="U17" i="25"/>
  <c r="P17" i="25"/>
  <c r="J17" i="25"/>
  <c r="K17" i="25" s="1"/>
  <c r="I17" i="25"/>
  <c r="U16" i="25"/>
  <c r="P16" i="25"/>
  <c r="P15" i="25"/>
  <c r="I15" i="25"/>
  <c r="J15" i="25" s="1"/>
  <c r="K15" i="25" s="1"/>
  <c r="P14" i="25"/>
  <c r="J14" i="25"/>
  <c r="K14" i="25" s="1"/>
  <c r="I14" i="25"/>
  <c r="P13" i="25"/>
  <c r="I13" i="25"/>
  <c r="J13" i="25" s="1"/>
  <c r="K13" i="25" s="1"/>
  <c r="P12" i="25"/>
  <c r="I12" i="25"/>
  <c r="J12" i="25" s="1"/>
  <c r="K12" i="25" s="1"/>
  <c r="P11" i="25"/>
  <c r="J11" i="25"/>
  <c r="K11" i="25" s="1"/>
  <c r="I11" i="25"/>
  <c r="U10" i="25"/>
  <c r="U9" i="25"/>
  <c r="P9" i="25"/>
  <c r="I9" i="25"/>
  <c r="J9" i="25" s="1"/>
  <c r="K9" i="25" s="1"/>
  <c r="U8" i="25"/>
  <c r="P8" i="25"/>
  <c r="I8" i="25"/>
  <c r="J8" i="25" s="1"/>
  <c r="K8" i="25" s="1"/>
  <c r="U7" i="25"/>
  <c r="U6" i="25"/>
  <c r="P6" i="25"/>
  <c r="J6" i="25"/>
  <c r="K6" i="25" s="1"/>
  <c r="I6" i="25"/>
  <c r="U5" i="25"/>
  <c r="U69" i="25" s="1"/>
  <c r="P5" i="25"/>
  <c r="K5" i="25"/>
  <c r="J5" i="25"/>
  <c r="I5" i="25"/>
  <c r="I4" i="25"/>
  <c r="J4" i="25" s="1"/>
  <c r="K4" i="25" s="1"/>
  <c r="U3" i="25"/>
  <c r="J3" i="25"/>
  <c r="K3" i="25" s="1"/>
  <c r="I3" i="25"/>
  <c r="U2" i="25"/>
  <c r="P2" i="25"/>
  <c r="K2" i="25"/>
  <c r="J2" i="25"/>
  <c r="I2" i="25"/>
  <c r="T29" i="24"/>
  <c r="S29" i="24"/>
  <c r="U16" i="24"/>
  <c r="U15" i="24"/>
  <c r="U14" i="24"/>
  <c r="U13" i="24"/>
  <c r="U12" i="24"/>
  <c r="U11" i="24"/>
  <c r="J11" i="24"/>
  <c r="K11" i="24" s="1"/>
  <c r="L11" i="24" s="1"/>
  <c r="U10" i="24"/>
  <c r="Q9" i="24"/>
  <c r="J9" i="24"/>
  <c r="K9" i="24" s="1"/>
  <c r="L9" i="24" s="1"/>
  <c r="U8" i="24"/>
  <c r="Q8" i="24"/>
  <c r="J8" i="24"/>
  <c r="K8" i="24" s="1"/>
  <c r="L8" i="24" s="1"/>
  <c r="Q7" i="24"/>
  <c r="J7" i="24"/>
  <c r="K7" i="24" s="1"/>
  <c r="L7" i="24" s="1"/>
  <c r="U6" i="24"/>
  <c r="Q6" i="24"/>
  <c r="K6" i="24"/>
  <c r="L6" i="24" s="1"/>
  <c r="J6" i="24"/>
  <c r="U5" i="24"/>
  <c r="U4" i="24"/>
  <c r="U3" i="24"/>
  <c r="U2" i="24"/>
  <c r="Q2" i="24"/>
  <c r="R57" i="21"/>
  <c r="S56" i="21"/>
  <c r="R56" i="21"/>
  <c r="X54" i="21"/>
  <c r="X53" i="21"/>
  <c r="P52" i="21"/>
  <c r="I52" i="21"/>
  <c r="J52" i="21" s="1"/>
  <c r="K52" i="21" s="1"/>
  <c r="P51" i="21"/>
  <c r="J51" i="21"/>
  <c r="K51" i="21" s="1"/>
  <c r="I51" i="21"/>
  <c r="P50" i="21"/>
  <c r="J50" i="21"/>
  <c r="K50" i="21" s="1"/>
  <c r="I50" i="21"/>
  <c r="X49" i="21"/>
  <c r="P49" i="21"/>
  <c r="J49" i="21"/>
  <c r="K49" i="21" s="1"/>
  <c r="I49" i="21"/>
  <c r="X48" i="21"/>
  <c r="P47" i="21"/>
  <c r="J47" i="21"/>
  <c r="K47" i="21" s="1"/>
  <c r="I47" i="21"/>
  <c r="X46" i="21"/>
  <c r="P46" i="21"/>
  <c r="J46" i="21"/>
  <c r="K46" i="21" s="1"/>
  <c r="I46" i="21"/>
  <c r="P45" i="21"/>
  <c r="I45" i="21"/>
  <c r="J45" i="21" s="1"/>
  <c r="K45" i="21" s="1"/>
  <c r="P44" i="21"/>
  <c r="K44" i="21"/>
  <c r="I44" i="21"/>
  <c r="J44" i="21" s="1"/>
  <c r="P43" i="21"/>
  <c r="J43" i="21"/>
  <c r="K43" i="21" s="1"/>
  <c r="I43" i="21"/>
  <c r="X42" i="21"/>
  <c r="P42" i="21"/>
  <c r="J42" i="21"/>
  <c r="K42" i="21" s="1"/>
  <c r="I42" i="21"/>
  <c r="X41" i="21"/>
  <c r="X40" i="21"/>
  <c r="P40" i="21"/>
  <c r="I40" i="21"/>
  <c r="J40" i="21" s="1"/>
  <c r="K40" i="21" s="1"/>
  <c r="P39" i="21"/>
  <c r="K39" i="21"/>
  <c r="J39" i="21"/>
  <c r="I39" i="21"/>
  <c r="X38" i="21"/>
  <c r="P38" i="21"/>
  <c r="K38" i="21"/>
  <c r="I38" i="21"/>
  <c r="J38" i="21" s="1"/>
  <c r="X37" i="21"/>
  <c r="X36" i="21"/>
  <c r="P36" i="21"/>
  <c r="J36" i="21"/>
  <c r="K36" i="21" s="1"/>
  <c r="I36" i="21"/>
  <c r="X35" i="21"/>
  <c r="P35" i="21"/>
  <c r="J35" i="21"/>
  <c r="K35" i="21" s="1"/>
  <c r="I35" i="21"/>
  <c r="P34" i="21"/>
  <c r="I34" i="21"/>
  <c r="J34" i="21" s="1"/>
  <c r="K34" i="21" s="1"/>
  <c r="P33" i="21"/>
  <c r="K33" i="21"/>
  <c r="J33" i="21"/>
  <c r="I33" i="21"/>
  <c r="P32" i="21"/>
  <c r="J32" i="21"/>
  <c r="K32" i="21" s="1"/>
  <c r="I32" i="21"/>
  <c r="X31" i="21"/>
  <c r="P31" i="21"/>
  <c r="J31" i="21"/>
  <c r="K31" i="21" s="1"/>
  <c r="I31" i="21"/>
  <c r="K30" i="21"/>
  <c r="J30" i="21"/>
  <c r="I30" i="21"/>
  <c r="X29" i="21"/>
  <c r="J29" i="21"/>
  <c r="K29" i="21" s="1"/>
  <c r="I29" i="21"/>
  <c r="X28" i="21"/>
  <c r="X27" i="21"/>
  <c r="X26" i="21"/>
  <c r="P25" i="21"/>
  <c r="J25" i="21"/>
  <c r="K25" i="21" s="1"/>
  <c r="I25" i="21"/>
  <c r="P24" i="21"/>
  <c r="I24" i="21"/>
  <c r="J24" i="21" s="1"/>
  <c r="K24" i="21" s="1"/>
  <c r="P23" i="21"/>
  <c r="K23" i="21"/>
  <c r="J23" i="21"/>
  <c r="I23" i="21"/>
  <c r="P22" i="21"/>
  <c r="J22" i="21"/>
  <c r="K22" i="21" s="1"/>
  <c r="I22" i="21"/>
  <c r="X21" i="21"/>
  <c r="P21" i="21"/>
  <c r="J21" i="21"/>
  <c r="K21" i="21" s="1"/>
  <c r="I21" i="21"/>
  <c r="X20" i="21"/>
  <c r="P20" i="21"/>
  <c r="J20" i="21"/>
  <c r="K20" i="21" s="1"/>
  <c r="I20" i="21"/>
  <c r="P19" i="21"/>
  <c r="I19" i="21"/>
  <c r="J19" i="21" s="1"/>
  <c r="K19" i="21" s="1"/>
  <c r="X18" i="21"/>
  <c r="P18" i="21"/>
  <c r="J18" i="21"/>
  <c r="K18" i="21" s="1"/>
  <c r="I18" i="21"/>
  <c r="X17" i="21"/>
  <c r="X16" i="21"/>
  <c r="X15" i="21"/>
  <c r="P14" i="21"/>
  <c r="I14" i="21"/>
  <c r="J14" i="21" s="1"/>
  <c r="K14" i="21" s="1"/>
  <c r="P13" i="21"/>
  <c r="K13" i="21"/>
  <c r="I13" i="21"/>
  <c r="J13" i="21" s="1"/>
  <c r="P12" i="21"/>
  <c r="J12" i="21"/>
  <c r="K12" i="21" s="1"/>
  <c r="I12" i="21"/>
  <c r="X11" i="21"/>
  <c r="P11" i="21"/>
  <c r="J11" i="21"/>
  <c r="K11" i="21" s="1"/>
  <c r="I11" i="21"/>
  <c r="X10" i="21"/>
  <c r="X9" i="21"/>
  <c r="X8" i="21"/>
  <c r="P7" i="21"/>
  <c r="J7" i="21"/>
  <c r="K7" i="21" s="1"/>
  <c r="I7" i="21"/>
  <c r="P6" i="21"/>
  <c r="I6" i="21"/>
  <c r="J6" i="21" s="1"/>
  <c r="K6" i="21" s="1"/>
  <c r="P5" i="21"/>
  <c r="I5" i="21"/>
  <c r="J5" i="21" s="1"/>
  <c r="K5" i="21" s="1"/>
  <c r="X4" i="21"/>
  <c r="P4" i="21"/>
  <c r="I4" i="21"/>
  <c r="J4" i="21" s="1"/>
  <c r="K4" i="21" s="1"/>
  <c r="X3" i="21"/>
  <c r="X2" i="21"/>
  <c r="S59" i="20"/>
  <c r="R60" i="20" s="1"/>
  <c r="R59" i="20"/>
  <c r="X58" i="20"/>
  <c r="P58" i="20"/>
  <c r="K58" i="20"/>
  <c r="J58" i="20"/>
  <c r="I58" i="20"/>
  <c r="X57" i="20"/>
  <c r="P57" i="20"/>
  <c r="X56" i="20"/>
  <c r="P56" i="20"/>
  <c r="I56" i="20"/>
  <c r="J56" i="20" s="1"/>
  <c r="K56" i="20" s="1"/>
  <c r="I55" i="20"/>
  <c r="J55" i="20" s="1"/>
  <c r="K55" i="20" s="1"/>
  <c r="I54" i="20"/>
  <c r="J54" i="20" s="1"/>
  <c r="K54" i="20" s="1"/>
  <c r="X53" i="20"/>
  <c r="I53" i="20"/>
  <c r="J53" i="20" s="1"/>
  <c r="K53" i="20" s="1"/>
  <c r="I52" i="20"/>
  <c r="J52" i="20" s="1"/>
  <c r="K52" i="20" s="1"/>
  <c r="J51" i="20"/>
  <c r="K51" i="20" s="1"/>
  <c r="I51" i="20"/>
  <c r="X50" i="20"/>
  <c r="I50" i="20"/>
  <c r="J50" i="20" s="1"/>
  <c r="K50" i="20" s="1"/>
  <c r="X49" i="20"/>
  <c r="P49" i="20"/>
  <c r="I49" i="20"/>
  <c r="J49" i="20" s="1"/>
  <c r="K49" i="20" s="1"/>
  <c r="X48" i="20"/>
  <c r="P48" i="20"/>
  <c r="P47" i="20"/>
  <c r="J47" i="20"/>
  <c r="K47" i="20" s="1"/>
  <c r="I47" i="20"/>
  <c r="P46" i="20"/>
  <c r="J46" i="20"/>
  <c r="K46" i="20" s="1"/>
  <c r="I46" i="20"/>
  <c r="X45" i="20"/>
  <c r="P45" i="20"/>
  <c r="J45" i="20"/>
  <c r="K45" i="20" s="1"/>
  <c r="I45" i="20"/>
  <c r="X44" i="20"/>
  <c r="X43" i="20"/>
  <c r="P42" i="20"/>
  <c r="I42" i="20"/>
  <c r="J42" i="20" s="1"/>
  <c r="K42" i="20" s="1"/>
  <c r="P41" i="20"/>
  <c r="J41" i="20"/>
  <c r="K41" i="20" s="1"/>
  <c r="I41" i="20"/>
  <c r="X40" i="20"/>
  <c r="P40" i="20"/>
  <c r="J40" i="20"/>
  <c r="K40" i="20" s="1"/>
  <c r="I40" i="20"/>
  <c r="X39" i="20"/>
  <c r="X38" i="20"/>
  <c r="X37" i="20"/>
  <c r="P37" i="20"/>
  <c r="J37" i="20"/>
  <c r="K37" i="20" s="1"/>
  <c r="I37" i="20"/>
  <c r="X36" i="20"/>
  <c r="P36" i="20"/>
  <c r="J36" i="20"/>
  <c r="K36" i="20" s="1"/>
  <c r="I36" i="20"/>
  <c r="X35" i="20"/>
  <c r="X60" i="20" s="1"/>
  <c r="P35" i="20"/>
  <c r="X34" i="20"/>
  <c r="P33" i="20"/>
  <c r="J33" i="20"/>
  <c r="K33" i="20" s="1"/>
  <c r="I33" i="20"/>
  <c r="P32" i="20"/>
  <c r="I32" i="20"/>
  <c r="J32" i="20" s="1"/>
  <c r="K32" i="20" s="1"/>
  <c r="P31" i="20"/>
  <c r="I31" i="20"/>
  <c r="J31" i="20" s="1"/>
  <c r="K31" i="20" s="1"/>
  <c r="P30" i="20"/>
  <c r="J30" i="20"/>
  <c r="K30" i="20" s="1"/>
  <c r="I30" i="20"/>
  <c r="X29" i="20"/>
  <c r="P29" i="20"/>
  <c r="J29" i="20"/>
  <c r="K29" i="20" s="1"/>
  <c r="I29" i="20"/>
  <c r="P28" i="20"/>
  <c r="J28" i="20"/>
  <c r="K28" i="20" s="1"/>
  <c r="I28" i="20"/>
  <c r="P27" i="20"/>
  <c r="I27" i="20"/>
  <c r="J27" i="20" s="1"/>
  <c r="K27" i="20" s="1"/>
  <c r="X26" i="20"/>
  <c r="P26" i="20"/>
  <c r="I26" i="20"/>
  <c r="J26" i="20" s="1"/>
  <c r="K26" i="20" s="1"/>
  <c r="X14" i="20"/>
  <c r="X13" i="20"/>
  <c r="X12" i="20"/>
  <c r="X11" i="20"/>
  <c r="X10" i="20"/>
  <c r="P9" i="20"/>
  <c r="P8" i="20"/>
  <c r="I8" i="20"/>
  <c r="J8" i="20" s="1"/>
  <c r="K8" i="20" s="1"/>
  <c r="P7" i="20"/>
  <c r="K7" i="20"/>
  <c r="I7" i="20"/>
  <c r="J7" i="20" s="1"/>
  <c r="X6" i="20"/>
  <c r="P6" i="20"/>
  <c r="I6" i="20"/>
  <c r="J6" i="20" s="1"/>
  <c r="K6" i="20" s="1"/>
  <c r="X5" i="20"/>
  <c r="X4" i="20"/>
  <c r="P3" i="20"/>
  <c r="J3" i="20"/>
  <c r="K3" i="20" s="1"/>
  <c r="I3" i="20"/>
  <c r="X2" i="20"/>
  <c r="P2" i="20"/>
  <c r="J2" i="20"/>
  <c r="K2" i="20" s="1"/>
  <c r="I2" i="20"/>
  <c r="T32" i="19"/>
  <c r="T31" i="19"/>
  <c r="S31" i="19"/>
  <c r="W27" i="19"/>
  <c r="W31" i="19" s="1"/>
  <c r="J26" i="19"/>
  <c r="K26" i="19" s="1"/>
  <c r="L26" i="19" s="1"/>
  <c r="K25" i="19"/>
  <c r="L25" i="19" s="1"/>
  <c r="J25" i="19"/>
  <c r="K24" i="19"/>
  <c r="L24" i="19" s="1"/>
  <c r="J24" i="19"/>
  <c r="L23" i="19"/>
  <c r="J23" i="19"/>
  <c r="K23" i="19" s="1"/>
  <c r="W22" i="19"/>
  <c r="K22" i="19"/>
  <c r="L22" i="19" s="1"/>
  <c r="J22" i="19"/>
  <c r="Q21" i="19"/>
  <c r="J21" i="19"/>
  <c r="K21" i="19" s="1"/>
  <c r="L21" i="19" s="1"/>
  <c r="W20" i="19"/>
  <c r="Q20" i="19"/>
  <c r="K20" i="19"/>
  <c r="L20" i="19" s="1"/>
  <c r="J20" i="19"/>
  <c r="Q19" i="19"/>
  <c r="J19" i="19"/>
  <c r="K19" i="19" s="1"/>
  <c r="L19" i="19" s="1"/>
  <c r="Q18" i="19"/>
  <c r="K18" i="19"/>
  <c r="L18" i="19" s="1"/>
  <c r="J18" i="19"/>
  <c r="W17" i="19"/>
  <c r="X31" i="19" s="1"/>
  <c r="Q17" i="19"/>
  <c r="L17" i="19"/>
  <c r="K17" i="19"/>
  <c r="J17" i="19"/>
  <c r="W16" i="19"/>
  <c r="Q15" i="19"/>
  <c r="L15" i="19"/>
  <c r="K15" i="19"/>
  <c r="J15" i="19"/>
  <c r="Q14" i="19"/>
  <c r="K14" i="19"/>
  <c r="L14" i="19" s="1"/>
  <c r="J14" i="19"/>
  <c r="Q13" i="19"/>
  <c r="J13" i="19"/>
  <c r="K13" i="19" s="1"/>
  <c r="L13" i="19" s="1"/>
  <c r="W12" i="19"/>
  <c r="Q12" i="19"/>
  <c r="J12" i="19"/>
  <c r="K12" i="19" s="1"/>
  <c r="L12" i="19" s="1"/>
  <c r="W11" i="19"/>
  <c r="Q11" i="19"/>
  <c r="W10" i="19"/>
  <c r="Q10" i="19"/>
  <c r="Q9" i="19"/>
  <c r="K9" i="19"/>
  <c r="L9" i="19" s="1"/>
  <c r="J9" i="19"/>
  <c r="Q8" i="19"/>
  <c r="J8" i="19"/>
  <c r="K8" i="19" s="1"/>
  <c r="L8" i="19" s="1"/>
  <c r="M31" i="19" s="1"/>
  <c r="W7" i="19"/>
  <c r="Q7" i="19"/>
  <c r="K7" i="19"/>
  <c r="L7" i="19" s="1"/>
  <c r="J7" i="19"/>
  <c r="Q6" i="19"/>
  <c r="J6" i="19"/>
  <c r="K6" i="19" s="1"/>
  <c r="L6" i="19" s="1"/>
  <c r="Q5" i="19"/>
  <c r="K5" i="19"/>
  <c r="L5" i="19" s="1"/>
  <c r="J5" i="19"/>
  <c r="Q4" i="19"/>
  <c r="K4" i="19"/>
  <c r="L4" i="19" s="1"/>
  <c r="J4" i="19"/>
  <c r="W3" i="19"/>
  <c r="Q3" i="19"/>
  <c r="K3" i="19"/>
  <c r="L3" i="19" s="1"/>
  <c r="J3" i="19"/>
  <c r="W2" i="19"/>
  <c r="S53" i="16"/>
  <c r="T52" i="16"/>
  <c r="S52" i="16"/>
  <c r="V49" i="16"/>
  <c r="K49" i="16"/>
  <c r="L49" i="16" s="1"/>
  <c r="J49" i="16"/>
  <c r="V48" i="16"/>
  <c r="J48" i="16"/>
  <c r="K48" i="16" s="1"/>
  <c r="L48" i="16" s="1"/>
  <c r="V47" i="16"/>
  <c r="V46" i="16"/>
  <c r="V45" i="16"/>
  <c r="Q45" i="16"/>
  <c r="J45" i="16"/>
  <c r="K45" i="16" s="1"/>
  <c r="L45" i="16" s="1"/>
  <c r="V44" i="16"/>
  <c r="Q44" i="16"/>
  <c r="J44" i="16"/>
  <c r="K44" i="16" s="1"/>
  <c r="L44" i="16" s="1"/>
  <c r="Q43" i="16"/>
  <c r="L43" i="16"/>
  <c r="K43" i="16"/>
  <c r="J43" i="16"/>
  <c r="Q42" i="16"/>
  <c r="K42" i="16"/>
  <c r="L42" i="16" s="1"/>
  <c r="J42" i="16"/>
  <c r="V41" i="16"/>
  <c r="Q41" i="16"/>
  <c r="K41" i="16"/>
  <c r="L41" i="16" s="1"/>
  <c r="J41" i="16"/>
  <c r="Q40" i="16"/>
  <c r="J40" i="16"/>
  <c r="K40" i="16" s="1"/>
  <c r="L40" i="16" s="1"/>
  <c r="Q39" i="16"/>
  <c r="L39" i="16"/>
  <c r="K39" i="16"/>
  <c r="J39" i="16"/>
  <c r="Q38" i="16"/>
  <c r="K38" i="16"/>
  <c r="L38" i="16" s="1"/>
  <c r="J38" i="16"/>
  <c r="V37" i="16"/>
  <c r="Q37" i="16"/>
  <c r="K37" i="16"/>
  <c r="L37" i="16" s="1"/>
  <c r="J37" i="16"/>
  <c r="Q36" i="16"/>
  <c r="K36" i="16"/>
  <c r="L36" i="16" s="1"/>
  <c r="J36" i="16"/>
  <c r="Q35" i="16"/>
  <c r="L35" i="16"/>
  <c r="K35" i="16"/>
  <c r="J35" i="16"/>
  <c r="V34" i="16"/>
  <c r="Q34" i="16"/>
  <c r="J34" i="16"/>
  <c r="K34" i="16" s="1"/>
  <c r="L34" i="16" s="1"/>
  <c r="Q33" i="16"/>
  <c r="J33" i="16"/>
  <c r="K33" i="16" s="1"/>
  <c r="L33" i="16" s="1"/>
  <c r="V32" i="16"/>
  <c r="Q32" i="16"/>
  <c r="J32" i="16"/>
  <c r="K32" i="16" s="1"/>
  <c r="L32" i="16" s="1"/>
  <c r="V31" i="16"/>
  <c r="Q31" i="16"/>
  <c r="V30" i="16"/>
  <c r="V29" i="16"/>
  <c r="V28" i="16"/>
  <c r="V27" i="16"/>
  <c r="Q27" i="16"/>
  <c r="J27" i="16"/>
  <c r="K27" i="16" s="1"/>
  <c r="L27" i="16" s="1"/>
  <c r="V26" i="16"/>
  <c r="Q26" i="16"/>
  <c r="J26" i="16"/>
  <c r="K26" i="16" s="1"/>
  <c r="L26" i="16" s="1"/>
  <c r="V25" i="16"/>
  <c r="Q25" i="16"/>
  <c r="V24" i="16"/>
  <c r="Q24" i="16"/>
  <c r="J24" i="16"/>
  <c r="K24" i="16" s="1"/>
  <c r="L24" i="16" s="1"/>
  <c r="V23" i="16"/>
  <c r="Q23" i="16"/>
  <c r="J23" i="16"/>
  <c r="K23" i="16" s="1"/>
  <c r="L23" i="16" s="1"/>
  <c r="Q22" i="16"/>
  <c r="L22" i="16"/>
  <c r="J22" i="16"/>
  <c r="K22" i="16" s="1"/>
  <c r="V21" i="16"/>
  <c r="Q21" i="16"/>
  <c r="J21" i="16"/>
  <c r="K21" i="16" s="1"/>
  <c r="L21" i="16" s="1"/>
  <c r="V20" i="16"/>
  <c r="Q20" i="16"/>
  <c r="V19" i="16"/>
  <c r="Q19" i="16"/>
  <c r="V18" i="16"/>
  <c r="W36" i="16" s="1"/>
  <c r="Q18" i="16"/>
  <c r="V17" i="16"/>
  <c r="Q17" i="16"/>
  <c r="K17" i="16"/>
  <c r="L17" i="16" s="1"/>
  <c r="J17" i="16"/>
  <c r="V16" i="16"/>
  <c r="Q16" i="16"/>
  <c r="K16" i="16"/>
  <c r="L16" i="16" s="1"/>
  <c r="J16" i="16"/>
  <c r="V15" i="16"/>
  <c r="W35" i="16" s="1"/>
  <c r="Q15" i="16"/>
  <c r="L15" i="16"/>
  <c r="K15" i="16"/>
  <c r="J15" i="16"/>
  <c r="V14" i="16"/>
  <c r="Q14" i="16"/>
  <c r="L14" i="16"/>
  <c r="K14" i="16"/>
  <c r="J14" i="16"/>
  <c r="Q13" i="16"/>
  <c r="V12" i="16"/>
  <c r="Q12" i="16"/>
  <c r="K12" i="16"/>
  <c r="L12" i="16" s="1"/>
  <c r="J12" i="16"/>
  <c r="Q11" i="16"/>
  <c r="J11" i="16"/>
  <c r="K11" i="16" s="1"/>
  <c r="L11" i="16" s="1"/>
  <c r="Q10" i="16"/>
  <c r="K10" i="16"/>
  <c r="L10" i="16" s="1"/>
  <c r="J10" i="16"/>
  <c r="V9" i="16"/>
  <c r="Q9" i="16"/>
  <c r="L9" i="16"/>
  <c r="K9" i="16"/>
  <c r="J9" i="16"/>
  <c r="Q8" i="16"/>
  <c r="K8" i="16"/>
  <c r="L8" i="16" s="1"/>
  <c r="J8" i="16"/>
  <c r="V7" i="16"/>
  <c r="Q7" i="16"/>
  <c r="K7" i="16"/>
  <c r="L7" i="16" s="1"/>
  <c r="J7" i="16"/>
  <c r="V6" i="16"/>
  <c r="V5" i="16"/>
  <c r="V3" i="16"/>
  <c r="V2" i="16"/>
  <c r="V46" i="15"/>
  <c r="S46" i="15"/>
  <c r="R47" i="15" s="1"/>
  <c r="R46" i="15"/>
  <c r="U43" i="15"/>
  <c r="K43" i="15"/>
  <c r="U42" i="15"/>
  <c r="K42" i="15"/>
  <c r="U41" i="15"/>
  <c r="K41" i="15"/>
  <c r="U40" i="15"/>
  <c r="K40" i="15"/>
  <c r="U39" i="15"/>
  <c r="K39" i="15"/>
  <c r="U38" i="15"/>
  <c r="K38" i="15"/>
  <c r="J37" i="15"/>
  <c r="K37" i="15" s="1"/>
  <c r="I37" i="15"/>
  <c r="U36" i="15"/>
  <c r="I36" i="15"/>
  <c r="J36" i="15" s="1"/>
  <c r="K36" i="15" s="1"/>
  <c r="I35" i="15"/>
  <c r="J35" i="15" s="1"/>
  <c r="K35" i="15" s="1"/>
  <c r="U34" i="15"/>
  <c r="K34" i="15"/>
  <c r="I34" i="15"/>
  <c r="J34" i="15" s="1"/>
  <c r="U33" i="15"/>
  <c r="K33" i="15"/>
  <c r="U32" i="15"/>
  <c r="K32" i="15"/>
  <c r="P31" i="15"/>
  <c r="I31" i="15"/>
  <c r="J31" i="15" s="1"/>
  <c r="K31" i="15" s="1"/>
  <c r="U30" i="15"/>
  <c r="P30" i="15"/>
  <c r="J30" i="15"/>
  <c r="K30" i="15" s="1"/>
  <c r="I30" i="15"/>
  <c r="P29" i="15"/>
  <c r="I29" i="15"/>
  <c r="J29" i="15" s="1"/>
  <c r="K29" i="15" s="1"/>
  <c r="U28" i="15"/>
  <c r="P28" i="15"/>
  <c r="I28" i="15"/>
  <c r="J28" i="15" s="1"/>
  <c r="K28" i="15" s="1"/>
  <c r="U27" i="15"/>
  <c r="P27" i="15"/>
  <c r="K27" i="15"/>
  <c r="U26" i="15"/>
  <c r="K26" i="15"/>
  <c r="K25" i="15"/>
  <c r="U24" i="15"/>
  <c r="K24" i="15"/>
  <c r="P23" i="15"/>
  <c r="I23" i="15"/>
  <c r="J23" i="15" s="1"/>
  <c r="K23" i="15" s="1"/>
  <c r="P22" i="15"/>
  <c r="K22" i="15"/>
  <c r="J22" i="15"/>
  <c r="I22" i="15"/>
  <c r="U21" i="15"/>
  <c r="P21" i="15"/>
  <c r="K21" i="15"/>
  <c r="J21" i="15"/>
  <c r="I21" i="15"/>
  <c r="P20" i="15"/>
  <c r="J20" i="15"/>
  <c r="K20" i="15" s="1"/>
  <c r="I20" i="15"/>
  <c r="P19" i="15"/>
  <c r="I19" i="15"/>
  <c r="J19" i="15" s="1"/>
  <c r="K19" i="15" s="1"/>
  <c r="P18" i="15"/>
  <c r="K18" i="15"/>
  <c r="J18" i="15"/>
  <c r="I18" i="15"/>
  <c r="P17" i="15"/>
  <c r="J17" i="15"/>
  <c r="K17" i="15" s="1"/>
  <c r="I17" i="15"/>
  <c r="U16" i="15"/>
  <c r="P16" i="15"/>
  <c r="J16" i="15"/>
  <c r="K16" i="15" s="1"/>
  <c r="I16" i="15"/>
  <c r="P15" i="15"/>
  <c r="I15" i="15"/>
  <c r="J15" i="15" s="1"/>
  <c r="K15" i="15" s="1"/>
  <c r="U14" i="15"/>
  <c r="P14" i="15"/>
  <c r="J14" i="15"/>
  <c r="K14" i="15" s="1"/>
  <c r="I14" i="15"/>
  <c r="U13" i="15"/>
  <c r="U12" i="15"/>
  <c r="U11" i="15"/>
  <c r="P11" i="15"/>
  <c r="I11" i="15"/>
  <c r="J11" i="15" s="1"/>
  <c r="K11" i="15" s="1"/>
  <c r="P10" i="15"/>
  <c r="K10" i="15"/>
  <c r="I10" i="15"/>
  <c r="J10" i="15" s="1"/>
  <c r="U9" i="15"/>
  <c r="P9" i="15"/>
  <c r="I9" i="15"/>
  <c r="J9" i="15" s="1"/>
  <c r="K9" i="15" s="1"/>
  <c r="U8" i="15"/>
  <c r="P8" i="15"/>
  <c r="I8" i="15"/>
  <c r="J8" i="15" s="1"/>
  <c r="K8" i="15" s="1"/>
  <c r="U7" i="15"/>
  <c r="U6" i="15"/>
  <c r="U5" i="15"/>
  <c r="U4" i="15"/>
  <c r="P4" i="15"/>
  <c r="J4" i="15"/>
  <c r="K4" i="15" s="1"/>
  <c r="I4" i="15"/>
  <c r="U3" i="15"/>
  <c r="U2" i="15"/>
  <c r="U46" i="15" s="1"/>
  <c r="S38" i="23"/>
  <c r="R39" i="23" s="1"/>
  <c r="R38" i="23"/>
  <c r="P36" i="23"/>
  <c r="K36" i="23"/>
  <c r="J36" i="23"/>
  <c r="I36" i="23"/>
  <c r="P35" i="23"/>
  <c r="J35" i="23"/>
  <c r="K35" i="23" s="1"/>
  <c r="I35" i="23"/>
  <c r="P34" i="23"/>
  <c r="I34" i="23"/>
  <c r="J34" i="23" s="1"/>
  <c r="K34" i="23" s="1"/>
  <c r="T33" i="23"/>
  <c r="P33" i="23"/>
  <c r="I33" i="23"/>
  <c r="J33" i="23" s="1"/>
  <c r="K33" i="23" s="1"/>
  <c r="T32" i="23"/>
  <c r="P32" i="23"/>
  <c r="J32" i="23"/>
  <c r="K32" i="23" s="1"/>
  <c r="I32" i="23"/>
  <c r="P31" i="23"/>
  <c r="I31" i="23"/>
  <c r="J31" i="23" s="1"/>
  <c r="K31" i="23" s="1"/>
  <c r="P30" i="23"/>
  <c r="J30" i="23"/>
  <c r="K30" i="23" s="1"/>
  <c r="I30" i="23"/>
  <c r="P29" i="23"/>
  <c r="J29" i="23"/>
  <c r="K29" i="23" s="1"/>
  <c r="I29" i="23"/>
  <c r="T28" i="23"/>
  <c r="P28" i="23"/>
  <c r="J28" i="23"/>
  <c r="K28" i="23" s="1"/>
  <c r="I28" i="23"/>
  <c r="T27" i="23"/>
  <c r="I27" i="23"/>
  <c r="J27" i="23" s="1"/>
  <c r="K27" i="23" s="1"/>
  <c r="T26" i="23"/>
  <c r="T25" i="23"/>
  <c r="P25" i="23"/>
  <c r="J25" i="23"/>
  <c r="K25" i="23" s="1"/>
  <c r="I25" i="23"/>
  <c r="P24" i="23"/>
  <c r="I24" i="23"/>
  <c r="J24" i="23" s="1"/>
  <c r="K24" i="23" s="1"/>
  <c r="P23" i="23"/>
  <c r="K23" i="23"/>
  <c r="I23" i="23"/>
  <c r="J23" i="23" s="1"/>
  <c r="P22" i="23"/>
  <c r="J22" i="23"/>
  <c r="K22" i="23" s="1"/>
  <c r="I22" i="23"/>
  <c r="T21" i="23"/>
  <c r="P21" i="23"/>
  <c r="J21" i="23"/>
  <c r="K21" i="23" s="1"/>
  <c r="I21" i="23"/>
  <c r="P20" i="23"/>
  <c r="J20" i="23"/>
  <c r="K20" i="23" s="1"/>
  <c r="I20" i="23"/>
  <c r="P19" i="23"/>
  <c r="I19" i="23"/>
  <c r="J19" i="23" s="1"/>
  <c r="K19" i="23" s="1"/>
  <c r="P18" i="23"/>
  <c r="J18" i="23"/>
  <c r="K18" i="23" s="1"/>
  <c r="I18" i="23"/>
  <c r="P17" i="23"/>
  <c r="J17" i="23"/>
  <c r="K17" i="23" s="1"/>
  <c r="I17" i="23"/>
  <c r="T16" i="23"/>
  <c r="P16" i="23"/>
  <c r="J16" i="23"/>
  <c r="K16" i="23" s="1"/>
  <c r="I16" i="23"/>
  <c r="P15" i="23"/>
  <c r="I15" i="23"/>
  <c r="J15" i="23" s="1"/>
  <c r="K15" i="23" s="1"/>
  <c r="T14" i="23"/>
  <c r="P14" i="23"/>
  <c r="I14" i="23"/>
  <c r="J14" i="23" s="1"/>
  <c r="K14" i="23" s="1"/>
  <c r="P13" i="23"/>
  <c r="K13" i="23"/>
  <c r="J13" i="23"/>
  <c r="I13" i="23"/>
  <c r="P12" i="23"/>
  <c r="J12" i="23"/>
  <c r="K12" i="23" s="1"/>
  <c r="I12" i="23"/>
  <c r="P10" i="23"/>
  <c r="I10" i="23"/>
  <c r="J10" i="23" s="1"/>
  <c r="K10" i="23" s="1"/>
  <c r="T9" i="23"/>
  <c r="P9" i="23"/>
  <c r="I9" i="23"/>
  <c r="J9" i="23" s="1"/>
  <c r="K9" i="23" s="1"/>
  <c r="T8" i="23"/>
  <c r="P8" i="23"/>
  <c r="J8" i="23"/>
  <c r="K8" i="23" s="1"/>
  <c r="I8" i="23"/>
  <c r="T7" i="23"/>
  <c r="P7" i="23"/>
  <c r="J7" i="23"/>
  <c r="K7" i="23" s="1"/>
  <c r="I7" i="23"/>
  <c r="P6" i="23"/>
  <c r="I6" i="23"/>
  <c r="J6" i="23" s="1"/>
  <c r="K6" i="23" s="1"/>
  <c r="T5" i="23"/>
  <c r="P5" i="23"/>
  <c r="I5" i="23"/>
  <c r="J5" i="23" s="1"/>
  <c r="K5" i="23" s="1"/>
  <c r="P4" i="23"/>
  <c r="K4" i="23"/>
  <c r="J4" i="23"/>
  <c r="I4" i="23"/>
  <c r="P3" i="23"/>
  <c r="J3" i="23"/>
  <c r="K3" i="23" s="1"/>
  <c r="I3" i="23"/>
  <c r="T2" i="23"/>
  <c r="P2" i="23"/>
  <c r="J2" i="23"/>
  <c r="K2" i="23" s="1"/>
  <c r="I2" i="23"/>
  <c r="L42" i="9"/>
  <c r="S36" i="9"/>
  <c r="R37" i="9" s="1"/>
  <c r="R36" i="9"/>
  <c r="P27" i="9"/>
  <c r="J27" i="9"/>
  <c r="K27" i="9" s="1"/>
  <c r="I27" i="9"/>
  <c r="P26" i="9"/>
  <c r="I26" i="9"/>
  <c r="J26" i="9" s="1"/>
  <c r="K26" i="9" s="1"/>
  <c r="P25" i="9"/>
  <c r="I25" i="9"/>
  <c r="J25" i="9" s="1"/>
  <c r="K25" i="9" s="1"/>
  <c r="P24" i="9"/>
  <c r="J24" i="9"/>
  <c r="K24" i="9" s="1"/>
  <c r="I24" i="9"/>
  <c r="P23" i="9"/>
  <c r="I23" i="9"/>
  <c r="J23" i="9" s="1"/>
  <c r="K23" i="9" s="1"/>
  <c r="P22" i="9"/>
  <c r="P20" i="9"/>
  <c r="J20" i="9"/>
  <c r="K20" i="9" s="1"/>
  <c r="I20" i="9"/>
  <c r="P19" i="9"/>
  <c r="I19" i="9"/>
  <c r="J19" i="9" s="1"/>
  <c r="K19" i="9" s="1"/>
  <c r="P18" i="9"/>
  <c r="J18" i="9"/>
  <c r="K18" i="9" s="1"/>
  <c r="I18" i="9"/>
  <c r="P17" i="9"/>
  <c r="U16" i="9"/>
  <c r="K16" i="9"/>
  <c r="J16" i="9"/>
  <c r="I16" i="9"/>
  <c r="P15" i="9"/>
  <c r="I15" i="9"/>
  <c r="J15" i="9" s="1"/>
  <c r="K15" i="9" s="1"/>
  <c r="U14" i="9"/>
  <c r="P14" i="9"/>
  <c r="J14" i="9"/>
  <c r="K14" i="9" s="1"/>
  <c r="I14" i="9"/>
  <c r="U13" i="9"/>
  <c r="P13" i="9"/>
  <c r="J13" i="9"/>
  <c r="K13" i="9" s="1"/>
  <c r="I13" i="9"/>
  <c r="U11" i="9"/>
  <c r="U10" i="9"/>
  <c r="U9" i="9"/>
  <c r="U8" i="9"/>
  <c r="V36" i="9" s="1"/>
  <c r="J7" i="9"/>
  <c r="K7" i="9" s="1"/>
  <c r="I7" i="9"/>
  <c r="U6" i="9"/>
  <c r="P6" i="9"/>
  <c r="J6" i="9"/>
  <c r="K6" i="9" s="1"/>
  <c r="I6" i="9"/>
  <c r="U5" i="9"/>
  <c r="I5" i="9"/>
  <c r="J5" i="9" s="1"/>
  <c r="K5" i="9" s="1"/>
  <c r="P4" i="9"/>
  <c r="I4" i="9"/>
  <c r="J4" i="9" s="1"/>
  <c r="K4" i="9" s="1"/>
  <c r="U3" i="9"/>
  <c r="P3" i="9"/>
  <c r="K3" i="9"/>
  <c r="I3" i="9"/>
  <c r="J3" i="9" s="1"/>
  <c r="U2" i="9"/>
  <c r="S19" i="11"/>
  <c r="R21" i="11" s="1"/>
  <c r="R19" i="11"/>
  <c r="U15" i="11"/>
  <c r="I15" i="11"/>
  <c r="J15" i="11" s="1"/>
  <c r="K15" i="11" s="1"/>
  <c r="U13" i="11"/>
  <c r="J13" i="11"/>
  <c r="K13" i="11" s="1"/>
  <c r="I13" i="11"/>
  <c r="U12" i="11"/>
  <c r="U11" i="11"/>
  <c r="K10" i="11"/>
  <c r="I10" i="11"/>
  <c r="J10" i="11" s="1"/>
  <c r="U9" i="11"/>
  <c r="I9" i="11"/>
  <c r="J9" i="11" s="1"/>
  <c r="K9" i="11" s="1"/>
  <c r="U8" i="11"/>
  <c r="U7" i="11"/>
  <c r="J6" i="11"/>
  <c r="K6" i="11" s="1"/>
  <c r="I6" i="11"/>
  <c r="U5" i="11"/>
  <c r="U19" i="11" s="1"/>
  <c r="I5" i="11"/>
  <c r="J5" i="11" s="1"/>
  <c r="K5" i="11" s="1"/>
  <c r="U2" i="11"/>
  <c r="K2" i="11"/>
  <c r="J2" i="11"/>
  <c r="I2" i="11"/>
  <c r="T55" i="7"/>
  <c r="S57" i="7" s="1"/>
  <c r="S55" i="7"/>
  <c r="Q53" i="7"/>
  <c r="K53" i="7"/>
  <c r="L53" i="7" s="1"/>
  <c r="J53" i="7"/>
  <c r="Q52" i="7"/>
  <c r="J52" i="7"/>
  <c r="K52" i="7" s="1"/>
  <c r="L52" i="7" s="1"/>
  <c r="Q51" i="7"/>
  <c r="J51" i="7"/>
  <c r="K51" i="7" s="1"/>
  <c r="L51" i="7" s="1"/>
  <c r="Q50" i="7"/>
  <c r="J50" i="7"/>
  <c r="K50" i="7" s="1"/>
  <c r="L50" i="7" s="1"/>
  <c r="W49" i="7"/>
  <c r="Q49" i="7"/>
  <c r="K49" i="7"/>
  <c r="L49" i="7" s="1"/>
  <c r="J49" i="7"/>
  <c r="Q48" i="7"/>
  <c r="J48" i="7"/>
  <c r="K48" i="7" s="1"/>
  <c r="L48" i="7" s="1"/>
  <c r="W47" i="7"/>
  <c r="Q47" i="7"/>
  <c r="J47" i="7"/>
  <c r="K47" i="7" s="1"/>
  <c r="L47" i="7" s="1"/>
  <c r="Q46" i="7"/>
  <c r="J46" i="7"/>
  <c r="K46" i="7" s="1"/>
  <c r="L46" i="7" s="1"/>
  <c r="Q45" i="7"/>
  <c r="K45" i="7"/>
  <c r="L45" i="7" s="1"/>
  <c r="J45" i="7"/>
  <c r="W44" i="7"/>
  <c r="Q44" i="7"/>
  <c r="K44" i="7"/>
  <c r="L44" i="7" s="1"/>
  <c r="J44" i="7"/>
  <c r="Q43" i="7"/>
  <c r="K43" i="7"/>
  <c r="L43" i="7" s="1"/>
  <c r="J43" i="7"/>
  <c r="Q42" i="7"/>
  <c r="L42" i="7"/>
  <c r="J42" i="7"/>
  <c r="K42" i="7" s="1"/>
  <c r="W41" i="7"/>
  <c r="Q41" i="7"/>
  <c r="J41" i="7"/>
  <c r="K41" i="7" s="1"/>
  <c r="L41" i="7" s="1"/>
  <c r="W40" i="7"/>
  <c r="Q40" i="7"/>
  <c r="J40" i="7"/>
  <c r="K40" i="7" s="1"/>
  <c r="L40" i="7" s="1"/>
  <c r="W38" i="7"/>
  <c r="Q38" i="7"/>
  <c r="J38" i="7"/>
  <c r="K38" i="7" s="1"/>
  <c r="L38" i="7" s="1"/>
  <c r="W37" i="7"/>
  <c r="W36" i="7"/>
  <c r="Q36" i="7"/>
  <c r="J36" i="7"/>
  <c r="K36" i="7" s="1"/>
  <c r="L36" i="7" s="1"/>
  <c r="W35" i="7"/>
  <c r="Q34" i="7"/>
  <c r="K34" i="7"/>
  <c r="L34" i="7" s="1"/>
  <c r="J34" i="7"/>
  <c r="W33" i="7"/>
  <c r="Q33" i="7"/>
  <c r="L33" i="7"/>
  <c r="J33" i="7"/>
  <c r="K33" i="7" s="1"/>
  <c r="J32" i="7"/>
  <c r="K32" i="7" s="1"/>
  <c r="L32" i="7" s="1"/>
  <c r="Q31" i="7"/>
  <c r="L31" i="7"/>
  <c r="K31" i="7"/>
  <c r="J31" i="7"/>
  <c r="Q30" i="7"/>
  <c r="K30" i="7"/>
  <c r="L30" i="7" s="1"/>
  <c r="J30" i="7"/>
  <c r="Q29" i="7"/>
  <c r="J29" i="7"/>
  <c r="K29" i="7" s="1"/>
  <c r="L29" i="7" s="1"/>
  <c r="Q28" i="7"/>
  <c r="L28" i="7"/>
  <c r="K28" i="7"/>
  <c r="J28" i="7"/>
  <c r="W27" i="7"/>
  <c r="Q27" i="7"/>
  <c r="J27" i="7"/>
  <c r="K27" i="7" s="1"/>
  <c r="L27" i="7" s="1"/>
  <c r="W25" i="7"/>
  <c r="W24" i="7"/>
  <c r="Q24" i="7"/>
  <c r="K24" i="7"/>
  <c r="L24" i="7" s="1"/>
  <c r="J24" i="7"/>
  <c r="Q22" i="7"/>
  <c r="J22" i="7"/>
  <c r="K22" i="7" s="1"/>
  <c r="L22" i="7" s="1"/>
  <c r="W21" i="7"/>
  <c r="Q21" i="7"/>
  <c r="J21" i="7"/>
  <c r="K21" i="7" s="1"/>
  <c r="L21" i="7" s="1"/>
  <c r="J20" i="7"/>
  <c r="K20" i="7" s="1"/>
  <c r="L20" i="7" s="1"/>
  <c r="K19" i="7"/>
  <c r="L19" i="7" s="1"/>
  <c r="J19" i="7"/>
  <c r="W18" i="7"/>
  <c r="W17" i="7"/>
  <c r="W16" i="7"/>
  <c r="J15" i="7"/>
  <c r="K15" i="7" s="1"/>
  <c r="L15" i="7" s="1"/>
  <c r="J14" i="7"/>
  <c r="K14" i="7" s="1"/>
  <c r="L14" i="7" s="1"/>
  <c r="W13" i="7"/>
  <c r="W12" i="7"/>
  <c r="W11" i="7"/>
  <c r="W10" i="7"/>
  <c r="X55" i="7" s="1"/>
  <c r="Q10" i="7"/>
  <c r="J10" i="7"/>
  <c r="K10" i="7" s="1"/>
  <c r="L10" i="7" s="1"/>
  <c r="Q9" i="7"/>
  <c r="K9" i="7"/>
  <c r="L9" i="7" s="1"/>
  <c r="J9" i="7"/>
  <c r="Q8" i="7"/>
  <c r="L8" i="7"/>
  <c r="J8" i="7"/>
  <c r="K8" i="7" s="1"/>
  <c r="Q7" i="7"/>
  <c r="J7" i="7"/>
  <c r="K7" i="7" s="1"/>
  <c r="L7" i="7" s="1"/>
  <c r="W6" i="7"/>
  <c r="Q6" i="7"/>
  <c r="L6" i="7"/>
  <c r="K6" i="7"/>
  <c r="J6" i="7"/>
  <c r="H6" i="5"/>
  <c r="I6" i="5" s="1"/>
  <c r="J6" i="5" s="1"/>
  <c r="X43" i="4"/>
  <c r="U40" i="4"/>
  <c r="T41" i="4" s="1"/>
  <c r="T40" i="4"/>
  <c r="X38" i="4"/>
  <c r="Y38" i="4" s="1"/>
  <c r="W38" i="4"/>
  <c r="L38" i="4"/>
  <c r="K38" i="4"/>
  <c r="J38" i="4"/>
  <c r="L37" i="4"/>
  <c r="J37" i="4"/>
  <c r="K37" i="4" s="1"/>
  <c r="J36" i="4"/>
  <c r="K36" i="4" s="1"/>
  <c r="L36" i="4" s="1"/>
  <c r="K35" i="4"/>
  <c r="L35" i="4" s="1"/>
  <c r="J35" i="4"/>
  <c r="L34" i="4"/>
  <c r="K34" i="4"/>
  <c r="J34" i="4"/>
  <c r="L33" i="4"/>
  <c r="J33" i="4"/>
  <c r="K33" i="4" s="1"/>
  <c r="J31" i="4"/>
  <c r="K31" i="4" s="1"/>
  <c r="L31" i="4" s="1"/>
  <c r="X29" i="4"/>
  <c r="Y29" i="4" s="1"/>
  <c r="W29" i="4"/>
  <c r="Q29" i="4"/>
  <c r="J29" i="4"/>
  <c r="K29" i="4" s="1"/>
  <c r="L29" i="4" s="1"/>
  <c r="Q28" i="4"/>
  <c r="K28" i="4"/>
  <c r="L28" i="4" s="1"/>
  <c r="J28" i="4"/>
  <c r="Q27" i="4"/>
  <c r="K27" i="4"/>
  <c r="L27" i="4" s="1"/>
  <c r="J27" i="4"/>
  <c r="Q26" i="4"/>
  <c r="J26" i="4"/>
  <c r="K26" i="4" s="1"/>
  <c r="L26" i="4" s="1"/>
  <c r="Q25" i="4"/>
  <c r="K25" i="4"/>
  <c r="L25" i="4" s="1"/>
  <c r="J25" i="4"/>
  <c r="Q24" i="4"/>
  <c r="K24" i="4"/>
  <c r="L24" i="4" s="1"/>
  <c r="J24" i="4"/>
  <c r="Q23" i="4"/>
  <c r="J23" i="4"/>
  <c r="K23" i="4" s="1"/>
  <c r="L23" i="4" s="1"/>
  <c r="Q22" i="4"/>
  <c r="L22" i="4"/>
  <c r="K22" i="4"/>
  <c r="J22" i="4"/>
  <c r="Q21" i="4"/>
  <c r="K21" i="4"/>
  <c r="L21" i="4" s="1"/>
  <c r="J21" i="4"/>
  <c r="Q20" i="4"/>
  <c r="J20" i="4"/>
  <c r="K20" i="4" s="1"/>
  <c r="L20" i="4" s="1"/>
  <c r="Q18" i="4"/>
  <c r="Q12" i="4"/>
  <c r="J12" i="4"/>
  <c r="K12" i="4" s="1"/>
  <c r="L12" i="4" s="1"/>
  <c r="Q10" i="4"/>
  <c r="Q9" i="4"/>
  <c r="J9" i="4"/>
  <c r="K9" i="4" s="1"/>
  <c r="X8" i="4"/>
  <c r="W8" i="4"/>
  <c r="W40" i="4" s="1"/>
  <c r="Q7" i="4"/>
  <c r="K7" i="4"/>
  <c r="L7" i="4" s="1"/>
  <c r="J7" i="4"/>
  <c r="Q6" i="4"/>
  <c r="K6" i="4"/>
  <c r="L6" i="4" s="1"/>
  <c r="J6" i="4"/>
  <c r="L5" i="4"/>
  <c r="J5" i="4"/>
  <c r="K5" i="4" s="1"/>
  <c r="Q4" i="4"/>
  <c r="J4" i="4"/>
  <c r="K4" i="4" s="1"/>
  <c r="L4" i="4" s="1"/>
  <c r="Q3" i="4"/>
  <c r="J3" i="4"/>
  <c r="K3" i="4" s="1"/>
  <c r="L3" i="4" s="1"/>
  <c r="Q2" i="4"/>
  <c r="L2" i="4"/>
  <c r="J2" i="4"/>
  <c r="K2" i="4" s="1"/>
  <c r="S25" i="3"/>
  <c r="R25" i="3"/>
  <c r="R26" i="3" s="1"/>
  <c r="S22" i="3"/>
  <c r="R22" i="3"/>
  <c r="R23" i="3" s="1"/>
  <c r="I10" i="3"/>
  <c r="J10" i="3" s="1"/>
  <c r="H10" i="3"/>
  <c r="I9" i="3"/>
  <c r="J9" i="3" s="1"/>
  <c r="H9" i="3"/>
  <c r="U8" i="3"/>
  <c r="H8" i="3"/>
  <c r="I8" i="3" s="1"/>
  <c r="J8" i="3" s="1"/>
  <c r="U7" i="3"/>
  <c r="U6" i="3"/>
  <c r="U5" i="3"/>
  <c r="U4" i="3"/>
  <c r="V22" i="3" s="1"/>
  <c r="O4" i="3"/>
  <c r="I4" i="3"/>
  <c r="J4" i="3" s="1"/>
  <c r="H4" i="3"/>
  <c r="R32" i="12"/>
  <c r="S31" i="12"/>
  <c r="R31" i="12"/>
  <c r="I18" i="12"/>
  <c r="J18" i="12" s="1"/>
  <c r="H18" i="12"/>
  <c r="O17" i="12"/>
  <c r="H17" i="12"/>
  <c r="I17" i="12" s="1"/>
  <c r="J17" i="12" s="1"/>
  <c r="O16" i="12"/>
  <c r="I16" i="12"/>
  <c r="J16" i="12" s="1"/>
  <c r="H16" i="12"/>
  <c r="O15" i="12"/>
  <c r="I15" i="12"/>
  <c r="J15" i="12" s="1"/>
  <c r="H15" i="12"/>
  <c r="O14" i="12"/>
  <c r="H14" i="12"/>
  <c r="I14" i="12" s="1"/>
  <c r="J14" i="12" s="1"/>
  <c r="O13" i="12"/>
  <c r="I13" i="12"/>
  <c r="J13" i="12" s="1"/>
  <c r="H13" i="12"/>
  <c r="O12" i="12"/>
  <c r="I12" i="12"/>
  <c r="J12" i="12" s="1"/>
  <c r="H12" i="12"/>
  <c r="O11" i="12"/>
  <c r="H11" i="12"/>
  <c r="I11" i="12" s="1"/>
  <c r="J11" i="12" s="1"/>
  <c r="O10" i="12"/>
  <c r="I10" i="12"/>
  <c r="J10" i="12" s="1"/>
  <c r="H10" i="12"/>
  <c r="O9" i="12"/>
  <c r="I9" i="12"/>
  <c r="J9" i="12" s="1"/>
  <c r="H9" i="12"/>
  <c r="O8" i="12"/>
  <c r="H8" i="12"/>
  <c r="I8" i="12" s="1"/>
  <c r="J8" i="12" s="1"/>
  <c r="O7" i="12"/>
  <c r="J7" i="12"/>
  <c r="I7" i="12"/>
  <c r="H7" i="12"/>
  <c r="O6" i="12"/>
  <c r="I6" i="12"/>
  <c r="J6" i="12" s="1"/>
  <c r="H6" i="12"/>
  <c r="O5" i="12"/>
  <c r="H5" i="12"/>
  <c r="I5" i="12" s="1"/>
  <c r="J5" i="12" s="1"/>
  <c r="O4" i="12"/>
  <c r="I4" i="12"/>
  <c r="J4" i="12" s="1"/>
  <c r="H4" i="12"/>
  <c r="O3" i="12"/>
  <c r="I3" i="12"/>
  <c r="J3" i="12" s="1"/>
  <c r="H3" i="12"/>
  <c r="O2" i="12"/>
  <c r="H2" i="12"/>
  <c r="I2" i="12" s="1"/>
  <c r="J2" i="12" s="1"/>
  <c r="J30" i="12" s="1"/>
  <c r="T32" i="13"/>
  <c r="S33" i="13" s="1"/>
  <c r="S32" i="13"/>
  <c r="U30" i="13"/>
  <c r="P30" i="13"/>
  <c r="P29" i="13"/>
  <c r="I29" i="13"/>
  <c r="J29" i="13" s="1"/>
  <c r="K29" i="13" s="1"/>
  <c r="P28" i="13"/>
  <c r="J28" i="13"/>
  <c r="K28" i="13" s="1"/>
  <c r="I28" i="13"/>
  <c r="U27" i="13"/>
  <c r="P27" i="13"/>
  <c r="I27" i="13"/>
  <c r="J27" i="13" s="1"/>
  <c r="K27" i="13" s="1"/>
  <c r="P26" i="13"/>
  <c r="K26" i="13"/>
  <c r="J26" i="13"/>
  <c r="I26" i="13"/>
  <c r="P25" i="13"/>
  <c r="I25" i="13"/>
  <c r="J25" i="13" s="1"/>
  <c r="K25" i="13" s="1"/>
  <c r="P24" i="13"/>
  <c r="I24" i="13"/>
  <c r="J24" i="13" s="1"/>
  <c r="K24" i="13" s="1"/>
  <c r="P23" i="13"/>
  <c r="K23" i="13"/>
  <c r="J23" i="13"/>
  <c r="I23" i="13"/>
  <c r="P22" i="13"/>
  <c r="I22" i="13"/>
  <c r="J22" i="13" s="1"/>
  <c r="K22" i="13" s="1"/>
  <c r="P21" i="13"/>
  <c r="I21" i="13"/>
  <c r="J21" i="13" s="1"/>
  <c r="K21" i="13" s="1"/>
  <c r="U20" i="13"/>
  <c r="P20" i="13"/>
  <c r="I20" i="13"/>
  <c r="J20" i="13" s="1"/>
  <c r="K20" i="13" s="1"/>
  <c r="P19" i="13"/>
  <c r="I19" i="13"/>
  <c r="J19" i="13" s="1"/>
  <c r="K19" i="13" s="1"/>
  <c r="P18" i="13"/>
  <c r="I18" i="13"/>
  <c r="J18" i="13" s="1"/>
  <c r="K18" i="13" s="1"/>
  <c r="P17" i="13"/>
  <c r="I17" i="13"/>
  <c r="J17" i="13" s="1"/>
  <c r="K17" i="13" s="1"/>
  <c r="U16" i="13"/>
  <c r="P16" i="13"/>
  <c r="I16" i="13"/>
  <c r="J16" i="13" s="1"/>
  <c r="K16" i="13" s="1"/>
  <c r="P15" i="13"/>
  <c r="J15" i="13"/>
  <c r="K15" i="13" s="1"/>
  <c r="I15" i="13"/>
  <c r="U14" i="13"/>
  <c r="P14" i="13"/>
  <c r="J14" i="13"/>
  <c r="K14" i="13" s="1"/>
  <c r="I14" i="13"/>
  <c r="U13" i="13"/>
  <c r="U12" i="13"/>
  <c r="P12" i="13"/>
  <c r="I12" i="13"/>
  <c r="J12" i="13" s="1"/>
  <c r="K12" i="13" s="1"/>
  <c r="U11" i="13"/>
  <c r="P11" i="13"/>
  <c r="I11" i="13"/>
  <c r="J11" i="13" s="1"/>
  <c r="K11" i="13" s="1"/>
  <c r="P9" i="13"/>
  <c r="I9" i="13"/>
  <c r="J9" i="13" s="1"/>
  <c r="K9" i="13" s="1"/>
  <c r="P8" i="13"/>
  <c r="J8" i="13"/>
  <c r="K8" i="13" s="1"/>
  <c r="I8" i="13"/>
  <c r="U7" i="13"/>
  <c r="P7" i="13"/>
  <c r="J7" i="13"/>
  <c r="K7" i="13" s="1"/>
  <c r="I7" i="13"/>
  <c r="U6" i="13"/>
  <c r="P5" i="13"/>
  <c r="I5" i="13"/>
  <c r="J5" i="13" s="1"/>
  <c r="K5" i="13" s="1"/>
  <c r="U4" i="13"/>
  <c r="P4" i="13"/>
  <c r="I4" i="13"/>
  <c r="J4" i="13" s="1"/>
  <c r="K4" i="13" s="1"/>
  <c r="U3" i="13"/>
  <c r="U35" i="13" s="1"/>
  <c r="U2" i="13"/>
  <c r="U36" i="13" s="1"/>
  <c r="V66" i="14"/>
  <c r="Z65" i="14"/>
  <c r="V65" i="14"/>
  <c r="U65" i="14"/>
  <c r="Z62" i="14"/>
  <c r="Y62" i="14"/>
  <c r="AA62" i="14" s="1"/>
  <c r="S62" i="14"/>
  <c r="L62" i="14"/>
  <c r="M62" i="14" s="1"/>
  <c r="N62" i="14" s="1"/>
  <c r="S61" i="14"/>
  <c r="N61" i="14"/>
  <c r="M61" i="14"/>
  <c r="L61" i="14"/>
  <c r="S60" i="14"/>
  <c r="L60" i="14"/>
  <c r="M60" i="14" s="1"/>
  <c r="N60" i="14" s="1"/>
  <c r="X59" i="14"/>
  <c r="S59" i="14"/>
  <c r="L59" i="14"/>
  <c r="M59" i="14" s="1"/>
  <c r="N59" i="14" s="1"/>
  <c r="S58" i="14"/>
  <c r="L58" i="14"/>
  <c r="M58" i="14" s="1"/>
  <c r="N58" i="14" s="1"/>
  <c r="S57" i="14"/>
  <c r="L57" i="14"/>
  <c r="M57" i="14" s="1"/>
  <c r="N57" i="14" s="1"/>
  <c r="S56" i="14"/>
  <c r="L56" i="14"/>
  <c r="M56" i="14" s="1"/>
  <c r="N56" i="14" s="1"/>
  <c r="S55" i="14"/>
  <c r="L55" i="14"/>
  <c r="M55" i="14" s="1"/>
  <c r="N55" i="14" s="1"/>
  <c r="S54" i="14"/>
  <c r="L54" i="14"/>
  <c r="M54" i="14" s="1"/>
  <c r="N54" i="14" s="1"/>
  <c r="S53" i="14"/>
  <c r="L53" i="14"/>
  <c r="M53" i="14" s="1"/>
  <c r="N53" i="14" s="1"/>
  <c r="S52" i="14"/>
  <c r="L52" i="14"/>
  <c r="M52" i="14" s="1"/>
  <c r="N52" i="14" s="1"/>
  <c r="X51" i="14"/>
  <c r="S51" i="14"/>
  <c r="L51" i="14"/>
  <c r="M51" i="14" s="1"/>
  <c r="N51" i="14" s="1"/>
  <c r="S50" i="14"/>
  <c r="M50" i="14"/>
  <c r="N50" i="14" s="1"/>
  <c r="L50" i="14"/>
  <c r="S49" i="14"/>
  <c r="L49" i="14"/>
  <c r="M49" i="14" s="1"/>
  <c r="N49" i="14" s="1"/>
  <c r="S48" i="14"/>
  <c r="L48" i="14"/>
  <c r="M48" i="14" s="1"/>
  <c r="N48" i="14" s="1"/>
  <c r="X47" i="14"/>
  <c r="S47" i="14"/>
  <c r="N47" i="14"/>
  <c r="M47" i="14"/>
  <c r="L47" i="14"/>
  <c r="S46" i="14"/>
  <c r="M46" i="14"/>
  <c r="N46" i="14" s="1"/>
  <c r="L46" i="14"/>
  <c r="S45" i="14"/>
  <c r="M45" i="14"/>
  <c r="N45" i="14" s="1"/>
  <c r="L45" i="14"/>
  <c r="S44" i="14"/>
  <c r="N44" i="14"/>
  <c r="M44" i="14"/>
  <c r="L44" i="14"/>
  <c r="S43" i="14"/>
  <c r="M43" i="14"/>
  <c r="N43" i="14" s="1"/>
  <c r="L43" i="14"/>
  <c r="X42" i="14"/>
  <c r="S42" i="14"/>
  <c r="L42" i="14"/>
  <c r="M42" i="14" s="1"/>
  <c r="N42" i="14" s="1"/>
  <c r="S41" i="14"/>
  <c r="N41" i="14"/>
  <c r="M41" i="14"/>
  <c r="L41" i="14"/>
  <c r="S40" i="14"/>
  <c r="L40" i="14"/>
  <c r="M40" i="14" s="1"/>
  <c r="N40" i="14" s="1"/>
  <c r="X39" i="14"/>
  <c r="S39" i="14"/>
  <c r="L39" i="14"/>
  <c r="M39" i="14" s="1"/>
  <c r="N39" i="14" s="1"/>
  <c r="N38" i="14"/>
  <c r="M38" i="14"/>
  <c r="L38" i="14"/>
  <c r="M37" i="14"/>
  <c r="N37" i="14" s="1"/>
  <c r="L37" i="14"/>
  <c r="S36" i="14"/>
  <c r="M36" i="14"/>
  <c r="N36" i="14" s="1"/>
  <c r="L36" i="14"/>
  <c r="S35" i="14"/>
  <c r="N35" i="14"/>
  <c r="M35" i="14"/>
  <c r="L35" i="14"/>
  <c r="X34" i="14"/>
  <c r="S34" i="14"/>
  <c r="L34" i="14"/>
  <c r="M34" i="14" s="1"/>
  <c r="N34" i="14" s="1"/>
  <c r="X33" i="14"/>
  <c r="S33" i="14"/>
  <c r="L33" i="14"/>
  <c r="M33" i="14" s="1"/>
  <c r="N33" i="14" s="1"/>
  <c r="X32" i="14"/>
  <c r="S31" i="14"/>
  <c r="L31" i="14"/>
  <c r="M31" i="14" s="1"/>
  <c r="N31" i="14" s="1"/>
  <c r="S30" i="14"/>
  <c r="L30" i="14"/>
  <c r="M30" i="14" s="1"/>
  <c r="N30" i="14" s="1"/>
  <c r="S29" i="14"/>
  <c r="M29" i="14"/>
  <c r="N29" i="14" s="1"/>
  <c r="L29" i="14"/>
  <c r="S28" i="14"/>
  <c r="L28" i="14"/>
  <c r="M28" i="14" s="1"/>
  <c r="N28" i="14" s="1"/>
  <c r="S27" i="14"/>
  <c r="L27" i="14"/>
  <c r="M27" i="14" s="1"/>
  <c r="N27" i="14" s="1"/>
  <c r="X26" i="14"/>
  <c r="S26" i="14"/>
  <c r="N26" i="14"/>
  <c r="M26" i="14"/>
  <c r="L26" i="14"/>
  <c r="S25" i="14"/>
  <c r="M25" i="14"/>
  <c r="N25" i="14" s="1"/>
  <c r="L25" i="14"/>
  <c r="Z24" i="14"/>
  <c r="AA24" i="14" s="1"/>
  <c r="Y24" i="14"/>
  <c r="Y65" i="14" s="1"/>
  <c r="X24" i="14"/>
  <c r="S24" i="14"/>
  <c r="N24" i="14"/>
  <c r="M24" i="14"/>
  <c r="L24" i="14"/>
  <c r="S23" i="14"/>
  <c r="M23" i="14"/>
  <c r="N23" i="14" s="1"/>
  <c r="L23" i="14"/>
  <c r="S22" i="14"/>
  <c r="M22" i="14"/>
  <c r="N22" i="14" s="1"/>
  <c r="L22" i="14"/>
  <c r="S21" i="14"/>
  <c r="N21" i="14"/>
  <c r="M21" i="14"/>
  <c r="L21" i="14"/>
  <c r="X20" i="14"/>
  <c r="S20" i="14"/>
  <c r="L20" i="14"/>
  <c r="M20" i="14" s="1"/>
  <c r="N20" i="14" s="1"/>
  <c r="X19" i="14"/>
  <c r="S19" i="14"/>
  <c r="L19" i="14"/>
  <c r="M19" i="14" s="1"/>
  <c r="N19" i="14" s="1"/>
  <c r="X18" i="14"/>
  <c r="S18" i="14"/>
  <c r="S17" i="14"/>
  <c r="M17" i="14"/>
  <c r="N17" i="14" s="1"/>
  <c r="L17" i="14"/>
  <c r="S16" i="14"/>
  <c r="M16" i="14"/>
  <c r="N16" i="14" s="1"/>
  <c r="L16" i="14"/>
  <c r="S15" i="14"/>
  <c r="N15" i="14"/>
  <c r="M15" i="14"/>
  <c r="L15" i="14"/>
  <c r="X14" i="14"/>
  <c r="S14" i="14"/>
  <c r="L14" i="14"/>
  <c r="M14" i="14" s="1"/>
  <c r="N14" i="14" s="1"/>
  <c r="Z13" i="14"/>
  <c r="AA13" i="14" s="1"/>
  <c r="AB65" i="14" s="1"/>
  <c r="Y13" i="14"/>
  <c r="S13" i="14"/>
  <c r="N13" i="14"/>
  <c r="M13" i="14"/>
  <c r="L13" i="14"/>
  <c r="X12" i="14"/>
  <c r="S12" i="14"/>
  <c r="L12" i="14"/>
  <c r="M12" i="14" s="1"/>
  <c r="N12" i="14" s="1"/>
  <c r="S11" i="14"/>
  <c r="L11" i="14"/>
  <c r="M11" i="14" s="1"/>
  <c r="N11" i="14" s="1"/>
  <c r="X10" i="14"/>
  <c r="S10" i="14"/>
  <c r="L10" i="14"/>
  <c r="M10" i="14" s="1"/>
  <c r="N10" i="14" s="1"/>
  <c r="X9" i="14"/>
  <c r="S9" i="14"/>
  <c r="L9" i="14"/>
  <c r="M9" i="14" s="1"/>
  <c r="N9" i="14" s="1"/>
  <c r="X8" i="14"/>
  <c r="X7" i="14"/>
  <c r="S7" i="14"/>
  <c r="N7" i="14"/>
  <c r="M7" i="14"/>
  <c r="L7" i="14"/>
  <c r="S6" i="14"/>
  <c r="L6" i="14"/>
  <c r="M6" i="14" s="1"/>
  <c r="N6" i="14" s="1"/>
  <c r="X5" i="14"/>
  <c r="S5" i="14"/>
  <c r="L5" i="14"/>
  <c r="M5" i="14" s="1"/>
  <c r="N5" i="14" s="1"/>
  <c r="X4" i="14"/>
  <c r="S3" i="14"/>
  <c r="L3" i="14"/>
  <c r="M3" i="14" s="1"/>
  <c r="N3" i="14" s="1"/>
  <c r="X2" i="14"/>
  <c r="Y67" i="14" s="1"/>
  <c r="S2" i="14"/>
  <c r="M2" i="14"/>
  <c r="N2" i="14" s="1"/>
  <c r="L2" i="14"/>
  <c r="S75" i="22"/>
  <c r="T75" i="22" s="1"/>
  <c r="R75" i="22"/>
  <c r="S74" i="22"/>
  <c r="T74" i="22" s="1"/>
  <c r="R74" i="22"/>
  <c r="W69" i="22"/>
  <c r="R68" i="22"/>
  <c r="S67" i="22"/>
  <c r="R67" i="22"/>
  <c r="P66" i="22"/>
  <c r="I66" i="22"/>
  <c r="J66" i="22" s="1"/>
  <c r="K66" i="22" s="1"/>
  <c r="P65" i="22"/>
  <c r="I65" i="22"/>
  <c r="J65" i="22" s="1"/>
  <c r="K65" i="22" s="1"/>
  <c r="K64" i="22"/>
  <c r="J64" i="22"/>
  <c r="I64" i="22"/>
  <c r="J63" i="22"/>
  <c r="K63" i="22" s="1"/>
  <c r="I63" i="22"/>
  <c r="I62" i="22"/>
  <c r="J62" i="22" s="1"/>
  <c r="K62" i="22" s="1"/>
  <c r="P60" i="22"/>
  <c r="J60" i="22"/>
  <c r="K60" i="22" s="1"/>
  <c r="I60" i="22"/>
  <c r="P59" i="22"/>
  <c r="I59" i="22"/>
  <c r="J59" i="22" s="1"/>
  <c r="K59" i="22" s="1"/>
  <c r="P58" i="22"/>
  <c r="I58" i="22"/>
  <c r="J58" i="22" s="1"/>
  <c r="K58" i="22" s="1"/>
  <c r="P57" i="22"/>
  <c r="J57" i="22"/>
  <c r="K57" i="22" s="1"/>
  <c r="I57" i="22"/>
  <c r="P56" i="22"/>
  <c r="I56" i="22"/>
  <c r="J56" i="22" s="1"/>
  <c r="K56" i="22" s="1"/>
  <c r="P55" i="22"/>
  <c r="I55" i="22"/>
  <c r="J55" i="22" s="1"/>
  <c r="K55" i="22" s="1"/>
  <c r="T54" i="22"/>
  <c r="J53" i="22"/>
  <c r="K53" i="22" s="1"/>
  <c r="I53" i="22"/>
  <c r="T52" i="22"/>
  <c r="I52" i="22"/>
  <c r="J52" i="22" s="1"/>
  <c r="K52" i="22" s="1"/>
  <c r="T51" i="22"/>
  <c r="P51" i="22"/>
  <c r="J51" i="22"/>
  <c r="K51" i="22" s="1"/>
  <c r="I51" i="22"/>
  <c r="T50" i="22"/>
  <c r="P50" i="22"/>
  <c r="I50" i="22"/>
  <c r="J50" i="22" s="1"/>
  <c r="K50" i="22" s="1"/>
  <c r="T49" i="22"/>
  <c r="T48" i="22"/>
  <c r="I47" i="22"/>
  <c r="J47" i="22" s="1"/>
  <c r="K47" i="22" s="1"/>
  <c r="T46" i="22"/>
  <c r="I46" i="22"/>
  <c r="J46" i="22" s="1"/>
  <c r="K46" i="22" s="1"/>
  <c r="P45" i="22"/>
  <c r="I45" i="22"/>
  <c r="J45" i="22" s="1"/>
  <c r="K45" i="22" s="1"/>
  <c r="P44" i="22"/>
  <c r="I44" i="22"/>
  <c r="J44" i="22" s="1"/>
  <c r="K44" i="22" s="1"/>
  <c r="P43" i="22"/>
  <c r="I43" i="22"/>
  <c r="J43" i="22" s="1"/>
  <c r="K43" i="22" s="1"/>
  <c r="T42" i="22"/>
  <c r="P42" i="22"/>
  <c r="I42" i="22"/>
  <c r="J42" i="22" s="1"/>
  <c r="K42" i="22" s="1"/>
  <c r="P41" i="22"/>
  <c r="I41" i="22"/>
  <c r="J41" i="22" s="1"/>
  <c r="K41" i="22" s="1"/>
  <c r="T40" i="22"/>
  <c r="P40" i="22"/>
  <c r="K40" i="22"/>
  <c r="J40" i="22"/>
  <c r="I40" i="22"/>
  <c r="T39" i="22"/>
  <c r="P39" i="22"/>
  <c r="I39" i="22"/>
  <c r="J39" i="22" s="1"/>
  <c r="K39" i="22" s="1"/>
  <c r="T38" i="22"/>
  <c r="T36" i="22"/>
  <c r="T35" i="22"/>
  <c r="P32" i="22"/>
  <c r="K32" i="22"/>
  <c r="J32" i="22"/>
  <c r="I32" i="22"/>
  <c r="P31" i="22"/>
  <c r="J31" i="22"/>
  <c r="K31" i="22" s="1"/>
  <c r="I31" i="22"/>
  <c r="T30" i="22"/>
  <c r="P30" i="22"/>
  <c r="I30" i="22"/>
  <c r="J30" i="22" s="1"/>
  <c r="K30" i="22" s="1"/>
  <c r="T29" i="22"/>
  <c r="P29" i="22"/>
  <c r="I29" i="22"/>
  <c r="J29" i="22" s="1"/>
  <c r="K29" i="22" s="1"/>
  <c r="I28" i="22"/>
  <c r="J28" i="22" s="1"/>
  <c r="K28" i="22" s="1"/>
  <c r="J27" i="22"/>
  <c r="K27" i="22" s="1"/>
  <c r="I27" i="22"/>
  <c r="T26" i="22"/>
  <c r="K26" i="22"/>
  <c r="J26" i="22"/>
  <c r="I26" i="22"/>
  <c r="P25" i="22"/>
  <c r="J25" i="22"/>
  <c r="K25" i="22" s="1"/>
  <c r="I25" i="22"/>
  <c r="P24" i="22"/>
  <c r="J24" i="22"/>
  <c r="K24" i="22" s="1"/>
  <c r="I24" i="22"/>
  <c r="P23" i="22"/>
  <c r="K23" i="22"/>
  <c r="J23" i="22"/>
  <c r="I23" i="22"/>
  <c r="T22" i="22"/>
  <c r="P22" i="22"/>
  <c r="I22" i="22"/>
  <c r="J22" i="22" s="1"/>
  <c r="K22" i="22" s="1"/>
  <c r="T21" i="22"/>
  <c r="T20" i="22"/>
  <c r="P20" i="22"/>
  <c r="T18" i="22"/>
  <c r="P18" i="22"/>
  <c r="I18" i="22"/>
  <c r="J18" i="22" s="1"/>
  <c r="K18" i="22" s="1"/>
  <c r="T17" i="22"/>
  <c r="T16" i="22"/>
  <c r="P16" i="22"/>
  <c r="I16" i="22"/>
  <c r="J16" i="22" s="1"/>
  <c r="K16" i="22" s="1"/>
  <c r="AC15" i="22"/>
  <c r="T14" i="22"/>
  <c r="P14" i="22"/>
  <c r="I14" i="22"/>
  <c r="J14" i="22" s="1"/>
  <c r="K14" i="22" s="1"/>
  <c r="T13" i="22"/>
  <c r="I12" i="22"/>
  <c r="J12" i="22" s="1"/>
  <c r="K12" i="22" s="1"/>
  <c r="AA10" i="22"/>
  <c r="T10" i="22"/>
  <c r="I10" i="22"/>
  <c r="J10" i="22" s="1"/>
  <c r="K10" i="22" s="1"/>
  <c r="T9" i="22"/>
  <c r="P9" i="22"/>
  <c r="I9" i="22"/>
  <c r="J9" i="22" s="1"/>
  <c r="K9" i="22" s="1"/>
  <c r="T8" i="22"/>
  <c r="T7" i="22"/>
  <c r="J7" i="22"/>
  <c r="K7" i="22" s="1"/>
  <c r="I7" i="22"/>
  <c r="T6" i="22"/>
  <c r="T67" i="22" s="1"/>
  <c r="P5" i="22"/>
  <c r="I5" i="22"/>
  <c r="J5" i="22" s="1"/>
  <c r="K5" i="22" s="1"/>
  <c r="P4" i="22"/>
  <c r="I4" i="22"/>
  <c r="J4" i="22" s="1"/>
  <c r="K4" i="22" s="1"/>
  <c r="T3" i="22"/>
  <c r="T68" i="22" s="1"/>
  <c r="P3" i="22"/>
  <c r="I3" i="22"/>
  <c r="J3" i="22" s="1"/>
  <c r="K3" i="22" s="1"/>
  <c r="BM23" i="1"/>
  <c r="BL23" i="1"/>
  <c r="BD23" i="1"/>
  <c r="BC23" i="1"/>
  <c r="BM22" i="1"/>
  <c r="BL22" i="1"/>
  <c r="BD22" i="1"/>
  <c r="BC22" i="1"/>
  <c r="BM21" i="1"/>
  <c r="BL21" i="1"/>
  <c r="BD21" i="1"/>
  <c r="BC21" i="1"/>
  <c r="BM20" i="1"/>
  <c r="BL20" i="1"/>
  <c r="BD20" i="1"/>
  <c r="BC20" i="1"/>
  <c r="BM19" i="1"/>
  <c r="BL19" i="1"/>
  <c r="BD19" i="1"/>
  <c r="BC19" i="1"/>
  <c r="BM17" i="1"/>
  <c r="BL17" i="1"/>
  <c r="BD17" i="1"/>
  <c r="BC17" i="1"/>
  <c r="BM16" i="1"/>
  <c r="BL16" i="1"/>
  <c r="BD16" i="1"/>
  <c r="BC16" i="1"/>
  <c r="BM15" i="1"/>
  <c r="BL15" i="1"/>
  <c r="BD15" i="1"/>
  <c r="BC15" i="1"/>
  <c r="BM14" i="1"/>
  <c r="BL14" i="1"/>
  <c r="BD14" i="1"/>
  <c r="BC14" i="1"/>
  <c r="BM13" i="1"/>
  <c r="BL13" i="1"/>
  <c r="BD13" i="1"/>
  <c r="BC13" i="1"/>
  <c r="BM12" i="1"/>
  <c r="BL12" i="1"/>
  <c r="BD12" i="1"/>
  <c r="BC12" i="1"/>
  <c r="BM11" i="1"/>
  <c r="BL11" i="1"/>
  <c r="BD11" i="1"/>
  <c r="BC11" i="1"/>
  <c r="BM10" i="1"/>
  <c r="BL10" i="1"/>
  <c r="BD10" i="1"/>
  <c r="BC10" i="1"/>
  <c r="BM9" i="1"/>
  <c r="BL9" i="1"/>
  <c r="BD9" i="1"/>
  <c r="BC9" i="1"/>
  <c r="BM8" i="1"/>
  <c r="BL8" i="1"/>
  <c r="BD8" i="1"/>
  <c r="BC8" i="1"/>
  <c r="BM7" i="1"/>
  <c r="BL7" i="1"/>
  <c r="BD7" i="1"/>
  <c r="BC7" i="1"/>
  <c r="BD6" i="1"/>
  <c r="BC6" i="1"/>
  <c r="BM5" i="1"/>
  <c r="BL5" i="1"/>
  <c r="BD5" i="1"/>
  <c r="BC5" i="1"/>
  <c r="L40" i="4" l="1"/>
  <c r="L41" i="4"/>
  <c r="M65" i="14"/>
  <c r="L75" i="22"/>
  <c r="K75" i="22"/>
  <c r="K32" i="13"/>
  <c r="K55" i="21"/>
  <c r="K56" i="21"/>
  <c r="K67" i="22"/>
  <c r="L74" i="22"/>
  <c r="K74" i="22"/>
  <c r="K68" i="22"/>
  <c r="AA65" i="14"/>
  <c r="M59" i="2"/>
  <c r="M58" i="2"/>
  <c r="L53" i="16"/>
  <c r="L52" i="16"/>
  <c r="L56" i="7"/>
  <c r="L55" i="7"/>
  <c r="W55" i="7"/>
  <c r="K38" i="23"/>
  <c r="K46" i="15"/>
  <c r="K45" i="15"/>
  <c r="X67" i="14"/>
  <c r="U22" i="3"/>
  <c r="Y8" i="4"/>
  <c r="U38" i="23"/>
  <c r="K69" i="25"/>
  <c r="L30" i="27"/>
  <c r="L29" i="27"/>
  <c r="V52" i="16"/>
  <c r="W52" i="16"/>
  <c r="K19" i="11"/>
  <c r="K20" i="11"/>
  <c r="K61" i="20"/>
  <c r="K60" i="20"/>
  <c r="V69" i="25"/>
  <c r="AC58" i="2"/>
  <c r="AB58" i="2"/>
  <c r="V19" i="11"/>
  <c r="U36" i="9"/>
  <c r="Y60" i="20"/>
  <c r="X56" i="21"/>
  <c r="K36" i="9"/>
  <c r="K37" i="9"/>
  <c r="K39" i="23"/>
  <c r="L31" i="19"/>
  <c r="Y56" i="21"/>
  <c r="X40" i="4"/>
  <c r="W34" i="16"/>
  <c r="U29" i="24"/>
  <c r="K68" i="25"/>
  <c r="Z58" i="2"/>
  <c r="T38" i="23"/>
  <c r="X60" i="2"/>
  <c r="V29" i="24"/>
  <c r="L29" i="24"/>
  <c r="L30" i="24"/>
  <c r="S30" i="24"/>
  <c r="W41" i="4" l="1"/>
  <c r="X41" i="4"/>
</calcChain>
</file>

<file path=xl/sharedStrings.xml><?xml version="1.0" encoding="utf-8"?>
<sst xmlns="http://schemas.openxmlformats.org/spreadsheetml/2006/main" count="5849" uniqueCount="1913">
  <si>
    <t>Number</t>
  </si>
  <si>
    <t xml:space="preserve">Time </t>
  </si>
  <si>
    <t xml:space="preserve">Initial length </t>
  </si>
  <si>
    <t xml:space="preserve">Max stretch </t>
  </si>
  <si>
    <t xml:space="preserve">Force </t>
  </si>
  <si>
    <t xml:space="preserve">Notes </t>
  </si>
  <si>
    <t xml:space="preserve">14.46.47 </t>
  </si>
  <si>
    <t xml:space="preserve">Before start </t>
  </si>
  <si>
    <t xml:space="preserve">Detachment frame </t>
  </si>
  <si>
    <t xml:space="preserve">Detachment time (sec) </t>
  </si>
  <si>
    <t xml:space="preserve">Frame before </t>
  </si>
  <si>
    <t>Difference (pixels)</t>
  </si>
  <si>
    <t>Difference um</t>
  </si>
  <si>
    <t>EEJR0001a</t>
  </si>
  <si>
    <t>EEJR0001b</t>
  </si>
  <si>
    <t>EEJR0001c</t>
  </si>
  <si>
    <t>EEJR0001d</t>
  </si>
  <si>
    <t>14.51.30</t>
  </si>
  <si>
    <t xml:space="preserve">No attachment </t>
  </si>
  <si>
    <t xml:space="preserve">Egress time (sec) </t>
  </si>
  <si>
    <t>14.54.12</t>
  </si>
  <si>
    <t>EEJR0001eI</t>
  </si>
  <si>
    <t>EEJR0001eII</t>
  </si>
  <si>
    <t xml:space="preserve">Same parasite different cell pulling </t>
  </si>
  <si>
    <t>EEJR0001f</t>
  </si>
  <si>
    <t>EEJR0001g</t>
  </si>
  <si>
    <t xml:space="preserve">Possiable one but more likely blood cells have attached </t>
  </si>
  <si>
    <t>EEJR0001h</t>
  </si>
  <si>
    <t>EEJR0001I</t>
  </si>
  <si>
    <t>14.58.41</t>
  </si>
  <si>
    <t>14.59.18</t>
  </si>
  <si>
    <t>15.01.23</t>
  </si>
  <si>
    <t xml:space="preserve">15.04.20 </t>
  </si>
  <si>
    <t xml:space="preserve">15.05.58 </t>
  </si>
  <si>
    <t>15.14.31</t>
  </si>
  <si>
    <t>15.37.02</t>
  </si>
  <si>
    <t>EEJR0001k</t>
  </si>
  <si>
    <t>EEJR0001j</t>
  </si>
  <si>
    <t>EEJR0001l</t>
  </si>
  <si>
    <t>EEJR0001o</t>
  </si>
  <si>
    <t xml:space="preserve">15.47.40 </t>
  </si>
  <si>
    <t xml:space="preserve">15.49.18 </t>
  </si>
  <si>
    <t>17.24.34</t>
  </si>
  <si>
    <t>EEJR0001m</t>
  </si>
  <si>
    <t>EEJR0001n</t>
  </si>
  <si>
    <t xml:space="preserve">17.32.13 </t>
  </si>
  <si>
    <t xml:space="preserve">Wouldn't open </t>
  </si>
  <si>
    <t xml:space="preserve">No egress </t>
  </si>
  <si>
    <t xml:space="preserve">2740 Pulled but looked like red blood cells attached </t>
  </si>
  <si>
    <t>17.35.22</t>
  </si>
  <si>
    <t>17.44.31</t>
  </si>
  <si>
    <t>15.20.55</t>
  </si>
  <si>
    <t>EEJR0001p</t>
  </si>
  <si>
    <t>EEJR0001q</t>
  </si>
  <si>
    <t xml:space="preserve">Time after egress </t>
  </si>
  <si>
    <t xml:space="preserve">Lafter </t>
  </si>
  <si>
    <t>EEJR0002a</t>
  </si>
  <si>
    <t>EEJR0002b</t>
  </si>
  <si>
    <t xml:space="preserve">15.28.50 </t>
  </si>
  <si>
    <t xml:space="preserve">17.55.05 </t>
  </si>
  <si>
    <t xml:space="preserve">2020.01.17 </t>
  </si>
  <si>
    <t>2020.01.20</t>
  </si>
  <si>
    <t>EEJR0003a</t>
  </si>
  <si>
    <t>EEJR0003b</t>
  </si>
  <si>
    <t>EEJR0003c</t>
  </si>
  <si>
    <t>EEJR0003e</t>
  </si>
  <si>
    <t>EEJR0003h</t>
  </si>
  <si>
    <t>EEJR0003I</t>
  </si>
  <si>
    <t>15.06.26</t>
  </si>
  <si>
    <t>15.46.15</t>
  </si>
  <si>
    <t>15.54.22</t>
  </si>
  <si>
    <t>16.07.49</t>
  </si>
  <si>
    <t>16.24.35</t>
  </si>
  <si>
    <t>16.35.33</t>
  </si>
  <si>
    <t>18.03.21</t>
  </si>
  <si>
    <t>18.18.14</t>
  </si>
  <si>
    <t>2020.01.22</t>
  </si>
  <si>
    <t xml:space="preserve">No attachment watched </t>
  </si>
  <si>
    <t>EEJR0003fII</t>
  </si>
  <si>
    <t>EEJR0003fIII</t>
  </si>
  <si>
    <t>EEJR0003gIII</t>
  </si>
  <si>
    <t>EEJR0003gII</t>
  </si>
  <si>
    <t>EEJR0003gI</t>
  </si>
  <si>
    <t xml:space="preserve">Just before start </t>
  </si>
  <si>
    <t xml:space="preserve">Possiable blood cells attached or two parasites linking </t>
  </si>
  <si>
    <t>EEJR0003fI</t>
  </si>
  <si>
    <t>EEJR0003fIV</t>
  </si>
  <si>
    <t xml:space="preserve">II and IV same parasite and cell stretch </t>
  </si>
  <si>
    <t xml:space="preserve">Strain </t>
  </si>
  <si>
    <t xml:space="preserve">NF54 </t>
  </si>
  <si>
    <t xml:space="preserve">Date </t>
  </si>
  <si>
    <t xml:space="preserve">Hepatin concentration ug/ml </t>
  </si>
  <si>
    <t>2020.01.24</t>
  </si>
  <si>
    <t>EEJR0004c</t>
  </si>
  <si>
    <t xml:space="preserve">2020.01.24 </t>
  </si>
  <si>
    <t>EEJR0004d</t>
  </si>
  <si>
    <t>EEJR0004e</t>
  </si>
  <si>
    <t>19.07.21</t>
  </si>
  <si>
    <t xml:space="preserve">19.16.13 </t>
  </si>
  <si>
    <t>18.18.40</t>
  </si>
  <si>
    <t>18.34.36</t>
  </si>
  <si>
    <t xml:space="preserve">18.53.59 </t>
  </si>
  <si>
    <t>88.655</t>
  </si>
  <si>
    <t>113.847</t>
  </si>
  <si>
    <t>25.192</t>
  </si>
  <si>
    <t>2.4511816</t>
  </si>
  <si>
    <t>49.023632</t>
  </si>
  <si>
    <t>274</t>
  </si>
  <si>
    <t>639</t>
  </si>
  <si>
    <t>30.96</t>
  </si>
  <si>
    <t>Column1</t>
  </si>
  <si>
    <t>Column2</t>
  </si>
  <si>
    <t>Column3</t>
  </si>
  <si>
    <t xml:space="preserve">Two cells stretched </t>
  </si>
  <si>
    <t>EEJR0004aII</t>
  </si>
  <si>
    <t>EEJR0004aI1</t>
  </si>
  <si>
    <t>EEJR0004aI2</t>
  </si>
  <si>
    <t xml:space="preserve">Two cells stretched a bottom </t>
  </si>
  <si>
    <t xml:space="preserve">I and II same parasite and bot cell a stretched </t>
  </si>
  <si>
    <t>EEJ0005a</t>
  </si>
  <si>
    <t xml:space="preserve">2020.01.29 </t>
  </si>
  <si>
    <t>EEJ0005e</t>
  </si>
  <si>
    <t>18.20.39</t>
  </si>
  <si>
    <t xml:space="preserve">Time after egress (sec)  </t>
  </si>
  <si>
    <t xml:space="preserve">Two egress happen within sec of each other 12.60 and 29.22 </t>
  </si>
  <si>
    <t>EEJR0004b2</t>
  </si>
  <si>
    <t>EEJR0004b1</t>
  </si>
  <si>
    <t xml:space="preserve">a bottom cell Two egress happen within sec of each other 12.60 and 29.22 </t>
  </si>
  <si>
    <t xml:space="preserve">Two so not sure </t>
  </si>
  <si>
    <t xml:space="preserve">Parasite attached to dlide and cell pulled </t>
  </si>
  <si>
    <t>EEJ0005bI</t>
  </si>
  <si>
    <t>EEJ0005bII</t>
  </si>
  <si>
    <t xml:space="preserve">I and II same parasite and cell pulled but detaches from different cells, chain of two parasites </t>
  </si>
  <si>
    <t>EEJ0005bIII</t>
  </si>
  <si>
    <t xml:space="preserve">Second egres in video, interesting as cell strethched much more at 4176 but one cell detached from slide </t>
  </si>
  <si>
    <t xml:space="preserve">2020.02.03 </t>
  </si>
  <si>
    <t>EEJR0007a</t>
  </si>
  <si>
    <t>EEJR0007c</t>
  </si>
  <si>
    <t>EEJR0007e</t>
  </si>
  <si>
    <t>18.23.41</t>
  </si>
  <si>
    <t xml:space="preserve">18.50.28 </t>
  </si>
  <si>
    <t xml:space="preserve">19.06.19 </t>
  </si>
  <si>
    <t xml:space="preserve">19.13.10 </t>
  </si>
  <si>
    <t xml:space="preserve">19.30.34 </t>
  </si>
  <si>
    <t>Glutaraldehyde concentration (%)</t>
  </si>
  <si>
    <t xml:space="preserve">First time pulled stretched more but didn't detached, second time detaches but not stretch as much </t>
  </si>
  <si>
    <t>EEJR0007bI</t>
  </si>
  <si>
    <t>EEJR0007bII</t>
  </si>
  <si>
    <t xml:space="preserve">I and II same cells but different parasite </t>
  </si>
  <si>
    <t>Pulled a several times before and stretched more</t>
  </si>
  <si>
    <t xml:space="preserve">before start </t>
  </si>
  <si>
    <t xml:space="preserve">First pull didn't detach </t>
  </si>
  <si>
    <t>EEJR0007dI</t>
  </si>
  <si>
    <t>EEJR0007dII</t>
  </si>
  <si>
    <t xml:space="preserve">I and II same cell pulled, differnt parasite attached to different cell </t>
  </si>
  <si>
    <t>2020.02.05</t>
  </si>
  <si>
    <t xml:space="preserve">EEJR0008a </t>
  </si>
  <si>
    <t>EEJR0008c</t>
  </si>
  <si>
    <t>18.03.41</t>
  </si>
  <si>
    <t>18.09.05</t>
  </si>
  <si>
    <t xml:space="preserve">19.21.54 </t>
  </si>
  <si>
    <t xml:space="preserve">Hard to pull of but cell doesn't seem to stretch, looks like two parasites attach  </t>
  </si>
  <si>
    <t xml:space="preserve">Not clear if actually attached </t>
  </si>
  <si>
    <t xml:space="preserve">2020.02.05 </t>
  </si>
  <si>
    <t>EEJR0008bI</t>
  </si>
  <si>
    <t>EEJR0008bII</t>
  </si>
  <si>
    <t>mean</t>
  </si>
  <si>
    <t xml:space="preserve">2020.02.14 </t>
  </si>
  <si>
    <t>EEJR0009a</t>
  </si>
  <si>
    <t xml:space="preserve">15.53.14 </t>
  </si>
  <si>
    <t xml:space="preserve">2020.02.13 </t>
  </si>
  <si>
    <t>EEJR0010a</t>
  </si>
  <si>
    <t>EEJR0010b</t>
  </si>
  <si>
    <t>EEJR0010c</t>
  </si>
  <si>
    <t>EEJR0010d</t>
  </si>
  <si>
    <t>EEJR0010e</t>
  </si>
  <si>
    <t>EEJR0010f</t>
  </si>
  <si>
    <t>EEJR0010g</t>
  </si>
  <si>
    <t>EEJR0010h</t>
  </si>
  <si>
    <t>EEJR0010I</t>
  </si>
  <si>
    <t>EEJR0010J</t>
  </si>
  <si>
    <t>16.31.05</t>
  </si>
  <si>
    <t>16.31.51</t>
  </si>
  <si>
    <t>16.32.23</t>
  </si>
  <si>
    <t>16.41.42</t>
  </si>
  <si>
    <t>16.56.32</t>
  </si>
  <si>
    <t>17.16.29</t>
  </si>
  <si>
    <t>17.45.52</t>
  </si>
  <si>
    <t>17.58.13</t>
  </si>
  <si>
    <t>18.05.18</t>
  </si>
  <si>
    <t>18.15.06</t>
  </si>
  <si>
    <t>AMA1-GFP</t>
  </si>
  <si>
    <t xml:space="preserve">Just shows the cells and fluorescence no egress </t>
  </si>
  <si>
    <t xml:space="preserve">Just shoes egress </t>
  </si>
  <si>
    <t xml:space="preserve">Showes two cells lyzed by optical traps, may have been weaken by exposure to fluorescence </t>
  </si>
  <si>
    <t>EEJR0011a</t>
  </si>
  <si>
    <t>EEJR0011b</t>
  </si>
  <si>
    <t>EEJR0011c</t>
  </si>
  <si>
    <t>EEJR0011d</t>
  </si>
  <si>
    <t>EEJR0011f</t>
  </si>
  <si>
    <t>EEJR0011g</t>
  </si>
  <si>
    <t>EEJR0011h</t>
  </si>
  <si>
    <t xml:space="preserve">15.46.31 </t>
  </si>
  <si>
    <t>15.48.06</t>
  </si>
  <si>
    <t xml:space="preserve">15.59.42 </t>
  </si>
  <si>
    <t>16.04.21</t>
  </si>
  <si>
    <t>16.07.53</t>
  </si>
  <si>
    <t>16.22.41</t>
  </si>
  <si>
    <t>16.34.22</t>
  </si>
  <si>
    <t>16.56.45</t>
  </si>
  <si>
    <t>17.09.53</t>
  </si>
  <si>
    <t>EEJR0011I</t>
  </si>
  <si>
    <t>CD147 concentration ug/ml</t>
  </si>
  <si>
    <t xml:space="preserve">2020.02.20 </t>
  </si>
  <si>
    <t xml:space="preserve">No egress could delete </t>
  </si>
  <si>
    <t xml:space="preserve">possible attchemnet at 1428 and 2120, but more likely just attached to one cell </t>
  </si>
  <si>
    <t>No clear attchement</t>
  </si>
  <si>
    <t>EEJR0011eII</t>
  </si>
  <si>
    <t>EEJR0011eIII</t>
  </si>
  <si>
    <t>same cells and parasite II and III</t>
  </si>
  <si>
    <t>EEJR0011eIa</t>
  </si>
  <si>
    <t>EEJR0011eIb</t>
  </si>
  <si>
    <t xml:space="preserve">Ia and Ib two cells stretched </t>
  </si>
  <si>
    <t xml:space="preserve">Nice video for presentation </t>
  </si>
  <si>
    <t xml:space="preserve">Forces </t>
  </si>
  <si>
    <t xml:space="preserve">mean </t>
  </si>
  <si>
    <t>SEM</t>
  </si>
  <si>
    <t>Column4</t>
  </si>
  <si>
    <t>Column5</t>
  </si>
  <si>
    <t>Column6</t>
  </si>
  <si>
    <t>Column7</t>
  </si>
  <si>
    <t>Column8</t>
  </si>
  <si>
    <t>Column9</t>
  </si>
  <si>
    <t>Column10</t>
  </si>
  <si>
    <t>Column11</t>
  </si>
  <si>
    <t>Column12</t>
  </si>
  <si>
    <t>Column13</t>
  </si>
  <si>
    <t xml:space="preserve">SEM </t>
  </si>
  <si>
    <t>EEJR0012a</t>
  </si>
  <si>
    <t>EEJR0012b</t>
  </si>
  <si>
    <t>EEJR0012c</t>
  </si>
  <si>
    <t>EEJR0012d</t>
  </si>
  <si>
    <t>EEJR0012e</t>
  </si>
  <si>
    <t>EEJR0012f</t>
  </si>
  <si>
    <t>EEJR0012g</t>
  </si>
  <si>
    <t>EEJR0012K</t>
  </si>
  <si>
    <t>15.50.48</t>
  </si>
  <si>
    <t>18.00.57</t>
  </si>
  <si>
    <t>18.07.02</t>
  </si>
  <si>
    <t>18.11.28</t>
  </si>
  <si>
    <t>18.15.39</t>
  </si>
  <si>
    <t xml:space="preserve">18.27.08 </t>
  </si>
  <si>
    <t>18.22.03</t>
  </si>
  <si>
    <t>18.35.03</t>
  </si>
  <si>
    <t>19.01.40</t>
  </si>
  <si>
    <t>19.27.18</t>
  </si>
  <si>
    <t>19.43.55</t>
  </si>
  <si>
    <t>Egress before start</t>
  </si>
  <si>
    <t xml:space="preserve">Possiable atatchemnet but not clear </t>
  </si>
  <si>
    <t>EEJR0012I.I</t>
  </si>
  <si>
    <t>EEJR0012I.II</t>
  </si>
  <si>
    <t xml:space="preserve">I and II same cells but unsure if same parasite </t>
  </si>
  <si>
    <t>Possiable attachment no to parasite, odd different cells to I and II</t>
  </si>
  <si>
    <t>EEJR0012I.III</t>
  </si>
  <si>
    <t>EEJR0012I.IV</t>
  </si>
  <si>
    <t xml:space="preserve">III and IV same cell and parasite also off attachment, IV better than III later on cell pulled far away and thread seems to stretch it </t>
  </si>
  <si>
    <t>definely attached, had to pull several times to detach possiable detachmenta t 2698</t>
  </si>
  <si>
    <t>EEJR0012LI</t>
  </si>
  <si>
    <t>EEJR0012LII</t>
  </si>
  <si>
    <t xml:space="preserve">I and II same RBC and parasite </t>
  </si>
  <si>
    <t xml:space="preserve"> I and II attached to same RBC but differt RBC pulled </t>
  </si>
  <si>
    <t xml:space="preserve">I and III same cell pulled but attached to different cells </t>
  </si>
  <si>
    <t xml:space="preserve">NICE STRETCH FOR VIDEO I and II attached to same RBC but differt RBC pulled + I and III same cell pulled but attached to different cells </t>
  </si>
  <si>
    <t xml:space="preserve">EEJR0012mI </t>
  </si>
  <si>
    <t>EEJR0012mII</t>
  </si>
  <si>
    <t>EEJR0012mIII</t>
  </si>
  <si>
    <t>EEJR0013b</t>
  </si>
  <si>
    <t>EEJR0013c</t>
  </si>
  <si>
    <t>EEJR0013d</t>
  </si>
  <si>
    <t>18.49.02</t>
  </si>
  <si>
    <t>19.10.25</t>
  </si>
  <si>
    <t>19.28.03</t>
  </si>
  <si>
    <t xml:space="preserve">19.52.35 </t>
  </si>
  <si>
    <t xml:space="preserve">2020.02.28 </t>
  </si>
  <si>
    <t>EEJR0013a.1</t>
  </si>
  <si>
    <t xml:space="preserve">EEJR0013a.2 </t>
  </si>
  <si>
    <t xml:space="preserve">focus drifts loads as the slide was resting on the lens. 1 and 2 two sells stretch at same attachment </t>
  </si>
  <si>
    <t xml:space="preserve">Cell slightly distroted anchored cell, focus drifts loads as the slide was resting on the lens. 1 and 2 two sells stretch at same attachment </t>
  </si>
  <si>
    <t xml:space="preserve">Detaches from side o cant measure the length </t>
  </si>
  <si>
    <t xml:space="preserve">104.09 and 113.86 </t>
  </si>
  <si>
    <t xml:space="preserve">Slides along on detachment doesn't stretch </t>
  </si>
  <si>
    <t>EEJR0013cI</t>
  </si>
  <si>
    <t>EEJR0013cII</t>
  </si>
  <si>
    <t>EEJR0013e</t>
  </si>
  <si>
    <t xml:space="preserve">Had to pull twice to get to detach </t>
  </si>
  <si>
    <t xml:space="preserve">17.47.59 </t>
  </si>
  <si>
    <t>17.52.44</t>
  </si>
  <si>
    <t xml:space="preserve">18.03.58 </t>
  </si>
  <si>
    <t>18.13.25</t>
  </si>
  <si>
    <t>EEJ0005cI</t>
  </si>
  <si>
    <t>EEJ0005cII</t>
  </si>
  <si>
    <t>EEJ0005cIII</t>
  </si>
  <si>
    <t xml:space="preserve">I and III same cell pulled, II and III attcheched to same cell, chain of two parasites </t>
  </si>
  <si>
    <t xml:space="preserve">Very stetched possiable that attached and not parasite </t>
  </si>
  <si>
    <t xml:space="preserve">2020.01.31 </t>
  </si>
  <si>
    <t xml:space="preserve">15.59.14 </t>
  </si>
  <si>
    <t>EEJR0006aI</t>
  </si>
  <si>
    <t>EEJR0006aII</t>
  </si>
  <si>
    <t xml:space="preserve">I and II same cell pulled, parasite and cell attached to </t>
  </si>
  <si>
    <t xml:space="preserve">Attachment forces </t>
  </si>
  <si>
    <t xml:space="preserve">Glut </t>
  </si>
  <si>
    <t xml:space="preserve">EEJR0014a </t>
  </si>
  <si>
    <t xml:space="preserve">EEJR0014c </t>
  </si>
  <si>
    <t xml:space="preserve">EEJR0014e </t>
  </si>
  <si>
    <t xml:space="preserve">EEJR0014f </t>
  </si>
  <si>
    <t>EEJR0014g</t>
  </si>
  <si>
    <t xml:space="preserve">16.25.24 </t>
  </si>
  <si>
    <t>17.13.08</t>
  </si>
  <si>
    <t>17.23.24</t>
  </si>
  <si>
    <t>17.33.59</t>
  </si>
  <si>
    <t xml:space="preserve">18.18.58 </t>
  </si>
  <si>
    <t xml:space="preserve">18.51.17 </t>
  </si>
  <si>
    <t>19.01.38</t>
  </si>
  <si>
    <t xml:space="preserve">2020.03.06 </t>
  </si>
  <si>
    <t>anti-GYPA conc ug/ml</t>
  </si>
  <si>
    <t xml:space="preserve">No attachments </t>
  </si>
  <si>
    <t xml:space="preserve">Total number of position triplets </t>
  </si>
  <si>
    <t xml:space="preserve">Attachments </t>
  </si>
  <si>
    <t>EEJR0014bII</t>
  </si>
  <si>
    <t>EEJR0014bI</t>
  </si>
  <si>
    <t xml:space="preserve"> I and II same cells </t>
  </si>
  <si>
    <t xml:space="preserve">Not that clar if attached </t>
  </si>
  <si>
    <t>EEJR0014dII</t>
  </si>
  <si>
    <t>I and II same cell pulled</t>
  </si>
  <si>
    <t xml:space="preserve">                                                                                                                                                                                                 </t>
  </si>
  <si>
    <t xml:space="preserve">Not clear if attached </t>
  </si>
  <si>
    <t>EEJR005f</t>
  </si>
  <si>
    <t>EEJR005g</t>
  </si>
  <si>
    <t xml:space="preserve">18.59.48 </t>
  </si>
  <si>
    <t>19.02.43</t>
  </si>
  <si>
    <t xml:space="preserve">EEJR006b </t>
  </si>
  <si>
    <t>17.43.55</t>
  </si>
  <si>
    <t>18.17.51</t>
  </si>
  <si>
    <t xml:space="preserve">Odd as trap seems to slip then detaches, rather than being pulled off </t>
  </si>
  <si>
    <t>EEJR006eII</t>
  </si>
  <si>
    <t xml:space="preserve">Two RBC stick to cell with merizoite attaches possiable that all of these are RBC-RBC attachments no RBC-m-RBC </t>
  </si>
  <si>
    <t>EEJR0016a</t>
  </si>
  <si>
    <t>EEJR0016b</t>
  </si>
  <si>
    <t xml:space="preserve">POSITIONED </t>
  </si>
  <si>
    <t>ATTACHED</t>
  </si>
  <si>
    <t xml:space="preserve">Egress happened just before in last frames of 9a </t>
  </si>
  <si>
    <t>EEJR0009bI</t>
  </si>
  <si>
    <t>EEJR0009bII</t>
  </si>
  <si>
    <t xml:space="preserve">not flat </t>
  </si>
  <si>
    <t xml:space="preserve">never flat </t>
  </si>
  <si>
    <t xml:space="preserve">Positioned </t>
  </si>
  <si>
    <t xml:space="preserve">I and II same cell pulled, looks like cell doesn't stretch </t>
  </si>
  <si>
    <t>EEJR0009dI</t>
  </si>
  <si>
    <t>EEJR0009dII</t>
  </si>
  <si>
    <t xml:space="preserve">I, II and III same cell pulled, took several atatenpts to pull of then just seemed to fall off and cell doesn't stretch </t>
  </si>
  <si>
    <t>EEJR0009eI</t>
  </si>
  <si>
    <t>EEJR0009eIIa</t>
  </si>
  <si>
    <t>EEJR0009eIIb</t>
  </si>
  <si>
    <t>EEJR0015a</t>
  </si>
  <si>
    <t>EEJR0015b</t>
  </si>
  <si>
    <t>EEJR0015c</t>
  </si>
  <si>
    <t>EEJR0015f</t>
  </si>
  <si>
    <t>18.12.27</t>
  </si>
  <si>
    <t>18.19.59</t>
  </si>
  <si>
    <t>18.26.22</t>
  </si>
  <si>
    <t>19.16.59</t>
  </si>
  <si>
    <t>19.32.53</t>
  </si>
  <si>
    <t>2020.03.06</t>
  </si>
  <si>
    <t>15.53.14</t>
  </si>
  <si>
    <t>16.27.20</t>
  </si>
  <si>
    <t>16.41.02</t>
  </si>
  <si>
    <t xml:space="preserve">A while before start so not counting attachment frequency </t>
  </si>
  <si>
    <t>EEJR0015eI</t>
  </si>
  <si>
    <t>EEJR0015eII</t>
  </si>
  <si>
    <t>I and II same cell pulled and same RBC, 3349 looks like attached but slides off side, doesn’t stretch RBC</t>
  </si>
  <si>
    <t xml:space="preserve">not completely sure attached cell pulled then kind of drops off </t>
  </si>
  <si>
    <t xml:space="preserve">17.36.15 </t>
  </si>
  <si>
    <t xml:space="preserve">17.47.39 </t>
  </si>
  <si>
    <t>2020.03.04</t>
  </si>
  <si>
    <t>NF54</t>
  </si>
  <si>
    <t>EEJR0017i</t>
  </si>
  <si>
    <t>EEJR0017a</t>
  </si>
  <si>
    <t>EEJR0017g</t>
  </si>
  <si>
    <t>17.55.15</t>
  </si>
  <si>
    <t>17.56.23</t>
  </si>
  <si>
    <t>18.00.52</t>
  </si>
  <si>
    <t>19.00.36</t>
  </si>
  <si>
    <t>19.06.13</t>
  </si>
  <si>
    <t>19.09.59</t>
  </si>
  <si>
    <t>19.18.49</t>
  </si>
  <si>
    <t>2020.03.11</t>
  </si>
  <si>
    <t>positioned</t>
  </si>
  <si>
    <t xml:space="preserve">attached </t>
  </si>
  <si>
    <t xml:space="preserve">no attachments </t>
  </si>
  <si>
    <t>EEJR0017bI</t>
  </si>
  <si>
    <t>EEJR0017bII</t>
  </si>
  <si>
    <t>EEJR0017fI</t>
  </si>
  <si>
    <t>EEJR0017fII</t>
  </si>
  <si>
    <t xml:space="preserve">I and II same attachment RBC and parasite but different cell pulled </t>
  </si>
  <si>
    <t>EEJR0017h.1</t>
  </si>
  <si>
    <t>EEJR0017c.1</t>
  </si>
  <si>
    <t>EEJR0017c.2</t>
  </si>
  <si>
    <t>EEJR0017h.2</t>
  </si>
  <si>
    <t>EEJR0017h.3</t>
  </si>
  <si>
    <t>EEJR0018a</t>
  </si>
  <si>
    <t>EEJR0018b</t>
  </si>
  <si>
    <t>17.16.00</t>
  </si>
  <si>
    <t>17.23.20</t>
  </si>
  <si>
    <t xml:space="preserve">2020.03.05 </t>
  </si>
  <si>
    <t>CD55 concentration ug/ml</t>
  </si>
  <si>
    <t>EEJR0013f</t>
  </si>
  <si>
    <t>EEJR0013g</t>
  </si>
  <si>
    <t>EEJR0013h</t>
  </si>
  <si>
    <t>EEJR0013i</t>
  </si>
  <si>
    <t>17.39.02</t>
  </si>
  <si>
    <t>17.52.06</t>
  </si>
  <si>
    <t>18.54.12</t>
  </si>
  <si>
    <t>19.37.19</t>
  </si>
  <si>
    <t>19.40.30</t>
  </si>
  <si>
    <t>19.58.08</t>
  </si>
  <si>
    <t>20.43.53</t>
  </si>
  <si>
    <t>No attachment</t>
  </si>
  <si>
    <t>EEJR0013jI</t>
  </si>
  <si>
    <t>EEJR0013jII</t>
  </si>
  <si>
    <t>I and II same RBC and parasite</t>
  </si>
  <si>
    <t xml:space="preserve">III same parasite and attachment cell but different cell pulled </t>
  </si>
  <si>
    <t>EEJR0013jIII</t>
  </si>
  <si>
    <t>EEJR0013jIV</t>
  </si>
  <si>
    <t xml:space="preserve">III same parasite and attachment cell </t>
  </si>
  <si>
    <t>Sdv</t>
  </si>
  <si>
    <t xml:space="preserve">I and II same RBC pulled but different attachment RBC and parasite </t>
  </si>
  <si>
    <t xml:space="preserve">EEJR0013kI </t>
  </si>
  <si>
    <t>EEJR0013kII</t>
  </si>
  <si>
    <t>EEJR0013mI</t>
  </si>
  <si>
    <t>EEJR0013mII</t>
  </si>
  <si>
    <t xml:space="preserve">I and II different RBCs and parasite </t>
  </si>
  <si>
    <t>Column14</t>
  </si>
  <si>
    <t>Column15</t>
  </si>
  <si>
    <t>EEJ0005dII</t>
  </si>
  <si>
    <t>EEJ0005dIII</t>
  </si>
  <si>
    <t>EEJ0005dIV</t>
  </si>
  <si>
    <t xml:space="preserve">III and IV same cell pulled </t>
  </si>
  <si>
    <t xml:space="preserve">CD147 </t>
  </si>
  <si>
    <t xml:space="preserve">GYPA </t>
  </si>
  <si>
    <t>Positioned</t>
  </si>
  <si>
    <t xml:space="preserve">Attached </t>
  </si>
  <si>
    <t xml:space="preserve">Percentage </t>
  </si>
  <si>
    <t xml:space="preserve">CD55 </t>
  </si>
  <si>
    <t>n</t>
  </si>
  <si>
    <t>Yes</t>
  </si>
  <si>
    <t xml:space="preserve">No </t>
  </si>
  <si>
    <t xml:space="preserve">sig diff to NF54 </t>
  </si>
  <si>
    <t>2020.02.26</t>
  </si>
  <si>
    <t xml:space="preserve">haven't mesausred last attachment </t>
  </si>
  <si>
    <t xml:space="preserve">Happen as started </t>
  </si>
  <si>
    <t>EEJR006eI 1</t>
  </si>
  <si>
    <t>EEJR006eI 2</t>
  </si>
  <si>
    <t xml:space="preserve">Cell pulled same as I 2 but looks defored </t>
  </si>
  <si>
    <t>Heparin 50</t>
  </si>
  <si>
    <t xml:space="preserve">2020.10.21 </t>
  </si>
  <si>
    <t xml:space="preserve">14.34.36 </t>
  </si>
  <si>
    <t xml:space="preserve">KOEBA175 </t>
  </si>
  <si>
    <t xml:space="preserve">EEJR0019e </t>
  </si>
  <si>
    <t>14.43.24</t>
  </si>
  <si>
    <t>14.55.41</t>
  </si>
  <si>
    <t>15.02.03</t>
  </si>
  <si>
    <t xml:space="preserve">15.26.19 </t>
  </si>
  <si>
    <t xml:space="preserve">EEJR0019aII </t>
  </si>
  <si>
    <t xml:space="preserve">EEJR0019aI2 </t>
  </si>
  <si>
    <t>EEJR0019aI1</t>
  </si>
  <si>
    <t>Total</t>
  </si>
  <si>
    <t xml:space="preserve">EEJR0019aIII </t>
  </si>
  <si>
    <t xml:space="preserve">Two cells stretched detaches from 2 </t>
  </si>
  <si>
    <t>EEJR0019bI</t>
  </si>
  <si>
    <t>EEJR0019bII</t>
  </si>
  <si>
    <t xml:space="preserve">Same cell pulled in I and II possiable same parasite, attached to different cell </t>
  </si>
  <si>
    <t xml:space="preserve">EEJR0019c1 </t>
  </si>
  <si>
    <t>EEJR0019c2</t>
  </si>
  <si>
    <t xml:space="preserve">meand force </t>
  </si>
  <si>
    <t xml:space="preserve">Cell not stretched blob like, so not counted </t>
  </si>
  <si>
    <t>EEJR0019dII</t>
  </si>
  <si>
    <t>EEJR0019dIII</t>
  </si>
  <si>
    <t>EEJR0019dIV</t>
  </si>
  <si>
    <t xml:space="preserve">Initially cell pulled attached to two parasites I and II same parasite and attchemnet cell different cell pulled, </t>
  </si>
  <si>
    <t>EEJR0019dI</t>
  </si>
  <si>
    <t>2020.11.10</t>
  </si>
  <si>
    <t>EEJR0026a</t>
  </si>
  <si>
    <t>EEJR0026b</t>
  </si>
  <si>
    <t>17.12.33</t>
  </si>
  <si>
    <t xml:space="preserve">17.19.38 </t>
  </si>
  <si>
    <t>3D7</t>
  </si>
  <si>
    <t xml:space="preserve">None of cells attached to slide </t>
  </si>
  <si>
    <t xml:space="preserve">2020.11.18 </t>
  </si>
  <si>
    <t>EEJR0027b</t>
  </si>
  <si>
    <t>EEJR0027d</t>
  </si>
  <si>
    <t>EEJR0027e</t>
  </si>
  <si>
    <t xml:space="preserve">18.06.09 </t>
  </si>
  <si>
    <t>18.30.52</t>
  </si>
  <si>
    <t>18.40.12</t>
  </si>
  <si>
    <t>18.43.50</t>
  </si>
  <si>
    <t>18.58.52</t>
  </si>
  <si>
    <t>EEJR0027aI</t>
  </si>
  <si>
    <t>EEJR0027aII</t>
  </si>
  <si>
    <t xml:space="preserve">I and II Same parasite and cell atattched to different cell pulled </t>
  </si>
  <si>
    <t xml:space="preserve">III vs I and II diffent parasite and cell pulled but same cell attached to </t>
  </si>
  <si>
    <t xml:space="preserve">Total </t>
  </si>
  <si>
    <t xml:space="preserve">percentage </t>
  </si>
  <si>
    <t>EEJR0027cI</t>
  </si>
  <si>
    <t>EEJR0027cII</t>
  </si>
  <si>
    <t>EEJR0027cIII</t>
  </si>
  <si>
    <t xml:space="preserve">egress occurred after optical trap bumped shizont so not counting </t>
  </si>
  <si>
    <t>EEJR0028e</t>
  </si>
  <si>
    <t>EEJR0028f</t>
  </si>
  <si>
    <t xml:space="preserve">18.15.50 </t>
  </si>
  <si>
    <t xml:space="preserve">18.22.09 </t>
  </si>
  <si>
    <t xml:space="preserve">18.35.35 </t>
  </si>
  <si>
    <t>18.44.44</t>
  </si>
  <si>
    <t>19.04.42</t>
  </si>
  <si>
    <t xml:space="preserve">19.11.13 </t>
  </si>
  <si>
    <t>2020.11.20</t>
  </si>
  <si>
    <t xml:space="preserve">EEJR0028a.1 </t>
  </si>
  <si>
    <t>EEJR0028a.2</t>
  </si>
  <si>
    <t xml:space="preserve">egress just before start of video </t>
  </si>
  <si>
    <t>EEJR0028bI</t>
  </si>
  <si>
    <t>EEJR0028bII</t>
  </si>
  <si>
    <t xml:space="preserve">Cell attached to damaged and small, cell pulled normal, detaches from pulled cell </t>
  </si>
  <si>
    <t>EEJR0028cII</t>
  </si>
  <si>
    <t xml:space="preserve">EEJR0028cI </t>
  </si>
  <si>
    <t>EEJR0028cIII</t>
  </si>
  <si>
    <t>II and III same cell pulled and parasite, attached to different cell, parasite detaches from cell attached to</t>
  </si>
  <si>
    <t xml:space="preserve">Not completely sure attached </t>
  </si>
  <si>
    <t>EEJR0028dI</t>
  </si>
  <si>
    <t>EEJR0028dII</t>
  </si>
  <si>
    <t>EEJR0028dIII</t>
  </si>
  <si>
    <t xml:space="preserve">II and III same cell pulled and attached to but may be different parasite </t>
  </si>
  <si>
    <t xml:space="preserve">IV and III same everything </t>
  </si>
  <si>
    <t>EEJR0028dIV</t>
  </si>
  <si>
    <t>EEJR0028dV</t>
  </si>
  <si>
    <t xml:space="preserve">IV and V same cell pulled, different cell attached to, not sure if same parasite </t>
  </si>
  <si>
    <t>IV ad VI same cell attached to and possiable same parasite, I and VI same cell pulled</t>
  </si>
  <si>
    <t>EEJR0028dVI</t>
  </si>
  <si>
    <t>EEJR0028dVII</t>
  </si>
  <si>
    <t>VII and I/II ect same cell attached to, detached after 180 sec but position before</t>
  </si>
  <si>
    <t xml:space="preserve">Parasite at clump of shizont, not attached to cell </t>
  </si>
  <si>
    <t>I and II same cell pulled attached different</t>
  </si>
  <si>
    <t>3D7 (emma)</t>
  </si>
  <si>
    <t>EEJR0025a</t>
  </si>
  <si>
    <t>EEJR0025b</t>
  </si>
  <si>
    <t>EEJR0025c</t>
  </si>
  <si>
    <t>EEJR0025d</t>
  </si>
  <si>
    <t>EEJR0025e</t>
  </si>
  <si>
    <t>EEJR0025f</t>
  </si>
  <si>
    <t>EEJR0025g</t>
  </si>
  <si>
    <t xml:space="preserve">Yes </t>
  </si>
  <si>
    <t>2021.02.02</t>
  </si>
  <si>
    <t>EEJR0041b</t>
  </si>
  <si>
    <t>EEJR0041d</t>
  </si>
  <si>
    <t>EEJR0041e</t>
  </si>
  <si>
    <t xml:space="preserve">17.25.30 </t>
  </si>
  <si>
    <t xml:space="preserve">17.35.59 </t>
  </si>
  <si>
    <t>17.45.35</t>
  </si>
  <si>
    <t>17.53.13</t>
  </si>
  <si>
    <t>17.57.41</t>
  </si>
  <si>
    <t>18.08.30</t>
  </si>
  <si>
    <t>Concentration of R1 peptide (uM)</t>
  </si>
  <si>
    <t>EEJR0041aI</t>
  </si>
  <si>
    <t>EEJR0041aII</t>
  </si>
  <si>
    <t xml:space="preserve">pulled max didn’t detach </t>
  </si>
  <si>
    <t>EEJR0041c2</t>
  </si>
  <si>
    <t>EEJR0041c1.II</t>
  </si>
  <si>
    <t>EEJR0041c1.I</t>
  </si>
  <si>
    <t>EEJR0041c3</t>
  </si>
  <si>
    <t xml:space="preserve">I and II same parasite and cell attached to, different cell pulled </t>
  </si>
  <si>
    <t>EEJR0041fI</t>
  </si>
  <si>
    <t>EEJR0041fII</t>
  </si>
  <si>
    <t>EEJR0042b</t>
  </si>
  <si>
    <t>EEJR0042c</t>
  </si>
  <si>
    <t xml:space="preserve">17.40.16 </t>
  </si>
  <si>
    <t xml:space="preserve">17.48.08 </t>
  </si>
  <si>
    <t>17.56.44</t>
  </si>
  <si>
    <t xml:space="preserve">18.05.28 </t>
  </si>
  <si>
    <t xml:space="preserve">18.37.13 </t>
  </si>
  <si>
    <t>2021.02.03</t>
  </si>
  <si>
    <t>Two cells stretched</t>
  </si>
  <si>
    <t>EEJR0042aI.x</t>
  </si>
  <si>
    <t>EEJR0042aI.y</t>
  </si>
  <si>
    <t>EEJR0042aII.x</t>
  </si>
  <si>
    <t>EEJR0042aII.y</t>
  </si>
  <si>
    <t>Two cells stretched y same cell pulled in I and II</t>
  </si>
  <si>
    <t>EEJR0042dI</t>
  </si>
  <si>
    <t>EEJR0042dII</t>
  </si>
  <si>
    <t xml:space="preserve">I and II Same cell pulled, same parasite </t>
  </si>
  <si>
    <t>EEJR0042dIII</t>
  </si>
  <si>
    <t>EEJR0042dIIII</t>
  </si>
  <si>
    <t>EEJR0042e.x</t>
  </si>
  <si>
    <t>EEJR0042e.y</t>
  </si>
  <si>
    <t>2021.02.09</t>
  </si>
  <si>
    <t>17.28.16</t>
  </si>
  <si>
    <t>17.57.02</t>
  </si>
  <si>
    <t>18.11.08</t>
  </si>
  <si>
    <t>18.19.35</t>
  </si>
  <si>
    <t>18.30.44</t>
  </si>
  <si>
    <t>18.45.01</t>
  </si>
  <si>
    <t xml:space="preserve">18.55.20 </t>
  </si>
  <si>
    <t>EEJR0043aII</t>
  </si>
  <si>
    <t>EEJR0043aIII.x</t>
  </si>
  <si>
    <t>EEJR0043aIII.y</t>
  </si>
  <si>
    <t>EEJR0043aI</t>
  </si>
  <si>
    <t xml:space="preserve">R1 20uM </t>
  </si>
  <si>
    <t xml:space="preserve">Two cells pulled </t>
  </si>
  <si>
    <t xml:space="preserve">possible RBC attched, I and II same cell pulled </t>
  </si>
  <si>
    <t xml:space="preserve"> I and II same cell pulled </t>
  </si>
  <si>
    <t>EEJR0043aIV.x</t>
  </si>
  <si>
    <t>EEJR0043aIV.y</t>
  </si>
  <si>
    <t xml:space="preserve">Two cells pulled (this one looks slightly crimpled) </t>
  </si>
  <si>
    <t>EEJR0043b.1</t>
  </si>
  <si>
    <t>EEJR0043b.2</t>
  </si>
  <si>
    <t xml:space="preserve">No measerable attachments </t>
  </si>
  <si>
    <t>EEJR0043eI</t>
  </si>
  <si>
    <t>EEJR0043eII</t>
  </si>
  <si>
    <t>EEJR0043eIII</t>
  </si>
  <si>
    <t xml:space="preserve">Stretch lot then detached. II and III same cell attached to and same parasite, different cell pulled </t>
  </si>
  <si>
    <t xml:space="preserve">II and III same cell attached to and same parasite, different cell pulled. I and III same cell pulled (different parasite and cell attached to) </t>
  </si>
  <si>
    <t xml:space="preserve">different cell pulled. I and III same cell pulled (different parasite and cell attached to) </t>
  </si>
  <si>
    <t>EEJR0043eIV.x</t>
  </si>
  <si>
    <t>EEJR0043eIV.y</t>
  </si>
  <si>
    <t xml:space="preserve">Two cells pulled, bottom IV.x, II and III same cell pulled </t>
  </si>
  <si>
    <t>Two cells pulled</t>
  </si>
  <si>
    <t>Conentration</t>
  </si>
  <si>
    <t>0.01%</t>
  </si>
  <si>
    <t>10ug/ml</t>
  </si>
  <si>
    <t>50ug/ml</t>
  </si>
  <si>
    <t xml:space="preserve">20uM </t>
  </si>
  <si>
    <t>CD55</t>
  </si>
  <si>
    <t>GYPA</t>
  </si>
  <si>
    <t>Heparin</t>
  </si>
  <si>
    <t>R1</t>
  </si>
  <si>
    <t>EEJR0043fII</t>
  </si>
  <si>
    <t>EEJR0043fIII</t>
  </si>
  <si>
    <t>II and III same cell pulled, parasite and cell attched to</t>
  </si>
  <si>
    <t>EEJR0043gI</t>
  </si>
  <si>
    <t>EEJR0043gII</t>
  </si>
  <si>
    <t>EEJR0043gIII</t>
  </si>
  <si>
    <t xml:space="preserve">I and III same cell pulled and attached to but different parasite </t>
  </si>
  <si>
    <t>EEJR0043gIV</t>
  </si>
  <si>
    <t>EEJR0043gV</t>
  </si>
  <si>
    <t xml:space="preserve">IV and V same cell pulled, attached to and parasite </t>
  </si>
  <si>
    <t>EEJR0043hI.x</t>
  </si>
  <si>
    <t xml:space="preserve">EEJR0043hI.y </t>
  </si>
  <si>
    <t>EEJR0043hII.x</t>
  </si>
  <si>
    <t>EEJR0043hII.y</t>
  </si>
  <si>
    <t xml:space="preserve">Two cells pulled, cell quiet curved </t>
  </si>
  <si>
    <t>EEJR0043I.I</t>
  </si>
  <si>
    <t>EEJR0043I.II</t>
  </si>
  <si>
    <t>EEJR0043I.III.x</t>
  </si>
  <si>
    <t>EEJR0043I.III.y</t>
  </si>
  <si>
    <t>I and III same cell pulled x, same parasites and came cell attached to y</t>
  </si>
  <si>
    <t>Two cells pulled, I and III same cell pulled x, same parasites and came cell attached to y</t>
  </si>
  <si>
    <t>EEJR0043I.IV.x</t>
  </si>
  <si>
    <t>EEJR0043I.IV.y</t>
  </si>
  <si>
    <t>EEJR0043I.V.x</t>
  </si>
  <si>
    <t>EEJR0043I.V.y</t>
  </si>
  <si>
    <t xml:space="preserve">IV.x and V.x same cell pulled, IV.y and V.y same cell pulled, same parasite </t>
  </si>
  <si>
    <t xml:space="preserve">IV.y and III.y same cell, IV.x and V.x same cell pulled, IV.y and V.y same cell pulled, same parasite </t>
  </si>
  <si>
    <t>EEJR0043JI.x</t>
  </si>
  <si>
    <t>EEJR0043JI.y</t>
  </si>
  <si>
    <t>EEJR0043JII.x</t>
  </si>
  <si>
    <t>EEJR0043JII.y</t>
  </si>
  <si>
    <t xml:space="preserve">x bit deformed so counted y </t>
  </si>
  <si>
    <t>x</t>
  </si>
  <si>
    <t>y</t>
  </si>
  <si>
    <t xml:space="preserve">2021.02.10 </t>
  </si>
  <si>
    <t xml:space="preserve">EEJR0044a </t>
  </si>
  <si>
    <t xml:space="preserve">EEJR0044b </t>
  </si>
  <si>
    <t>EEJR0044c</t>
  </si>
  <si>
    <t xml:space="preserve">18.12.29 </t>
  </si>
  <si>
    <t>18.20.49</t>
  </si>
  <si>
    <t xml:space="preserve">18.40.18 </t>
  </si>
  <si>
    <t xml:space="preserve">50ug </t>
  </si>
  <si>
    <t xml:space="preserve">100ug </t>
  </si>
  <si>
    <t xml:space="preserve">EEJR0039a </t>
  </si>
  <si>
    <t>EEJR0039c</t>
  </si>
  <si>
    <t>EEJR0039d</t>
  </si>
  <si>
    <t>EEJR0039e</t>
  </si>
  <si>
    <t xml:space="preserve">EEJR0039g </t>
  </si>
  <si>
    <t>EEJR0039I</t>
  </si>
  <si>
    <t xml:space="preserve">16.48.19 </t>
  </si>
  <si>
    <t xml:space="preserve">16.52.39 </t>
  </si>
  <si>
    <t>17.01.04</t>
  </si>
  <si>
    <t xml:space="preserve">17.06.17 </t>
  </si>
  <si>
    <t xml:space="preserve">17.11.38 </t>
  </si>
  <si>
    <t>17.27.55</t>
  </si>
  <si>
    <t>17.49.37</t>
  </si>
  <si>
    <t>18.01.31</t>
  </si>
  <si>
    <t xml:space="preserve">17.42.35 </t>
  </si>
  <si>
    <t>2021.01.27</t>
  </si>
  <si>
    <t xml:space="preserve">Out of focus </t>
  </si>
  <si>
    <t>EEJR0039b.2</t>
  </si>
  <si>
    <t>EEJR0039b.1</t>
  </si>
  <si>
    <t xml:space="preserve">Positioned after 180sec so not counted, Pulled cell never flat in video before, taken mesurement afterwards </t>
  </si>
  <si>
    <t xml:space="preserve">No egress so deleted </t>
  </si>
  <si>
    <t>EEJR0039f.I</t>
  </si>
  <si>
    <t>EEJR0039f.II</t>
  </si>
  <si>
    <t>EEJR0039f.III</t>
  </si>
  <si>
    <t>I, II and III same parasite and cell attahced to different cells pulled MORE ATTCHMENTS AFTER 180SEC</t>
  </si>
  <si>
    <t xml:space="preserve">Positioned before 180sec, I, II and III same parasite and cell attahced to different cells pulled MORE ATTCHMENTS AFTER 180SEC </t>
  </si>
  <si>
    <t>EEJR0039gII.x</t>
  </si>
  <si>
    <t>EEJR0039gII.y</t>
  </si>
  <si>
    <t xml:space="preserve">I and II same cells and parasite </t>
  </si>
  <si>
    <t>EEJR0039hI</t>
  </si>
  <si>
    <t>EEJR0039hII</t>
  </si>
  <si>
    <t>I and II same cell attached to different cell pulled parasite not sure</t>
  </si>
  <si>
    <t>EEJR0039II</t>
  </si>
  <si>
    <t>EEJR0039III</t>
  </si>
  <si>
    <t xml:space="preserve">I and II same cell attached to different cell pulled parasite not sure; II and III same cell attached to, pulled and parasite </t>
  </si>
  <si>
    <t xml:space="preserve">III and IV same cell attached to and parasite, different cell pulled </t>
  </si>
  <si>
    <t xml:space="preserve">II and III same cell attached to, pulled and parasite; III and IV same cell attached to and parasite, different cell pulled </t>
  </si>
  <si>
    <t>EEJR0039IV</t>
  </si>
  <si>
    <t>EEJR0039V</t>
  </si>
  <si>
    <t xml:space="preserve">positioned before 180 sec Same cell attched to as rest, II and III and V same cell pulled, annother detactment at 5647 but positioned after 180sec </t>
  </si>
  <si>
    <t>Column32</t>
  </si>
  <si>
    <t>NA</t>
  </si>
  <si>
    <t>Column33</t>
  </si>
  <si>
    <t xml:space="preserve">anti-CD147 </t>
  </si>
  <si>
    <t xml:space="preserve">EEJR0050a </t>
  </si>
  <si>
    <t xml:space="preserve">EEJR0050b </t>
  </si>
  <si>
    <t xml:space="preserve">EEJR0050c </t>
  </si>
  <si>
    <t xml:space="preserve">EEJR0050d </t>
  </si>
  <si>
    <t xml:space="preserve">EEJR0050e </t>
  </si>
  <si>
    <t xml:space="preserve">EEJR0050f </t>
  </si>
  <si>
    <t xml:space="preserve">18.00.19 </t>
  </si>
  <si>
    <t xml:space="preserve">18.09.51 </t>
  </si>
  <si>
    <t xml:space="preserve">18.42.39 </t>
  </si>
  <si>
    <t xml:space="preserve">18.48.36 </t>
  </si>
  <si>
    <t>18.53.54</t>
  </si>
  <si>
    <t xml:space="preserve">19.00.15 </t>
  </si>
  <si>
    <t xml:space="preserve">2021.03.19 </t>
  </si>
  <si>
    <t xml:space="preserve">just before start </t>
  </si>
  <si>
    <t>EEJR0051g</t>
  </si>
  <si>
    <t>EEJR0051i</t>
  </si>
  <si>
    <t>EEJR0051j</t>
  </si>
  <si>
    <t xml:space="preserve">18.43.18 </t>
  </si>
  <si>
    <t xml:space="preserve">18.50.26 </t>
  </si>
  <si>
    <t>18.57.42</t>
  </si>
  <si>
    <t>19.07.38</t>
  </si>
  <si>
    <t>19.15.59</t>
  </si>
  <si>
    <t>19.47.50</t>
  </si>
  <si>
    <t xml:space="preserve">20.00.57 </t>
  </si>
  <si>
    <t>10.08.23</t>
  </si>
  <si>
    <t>19.34.03</t>
  </si>
  <si>
    <t xml:space="preserve">2021.04.08 </t>
  </si>
  <si>
    <t>EEJR0051a.I</t>
  </si>
  <si>
    <t>EEJR0051b.x</t>
  </si>
  <si>
    <t>EEJR0051b.y</t>
  </si>
  <si>
    <t>EEJR0051c.1</t>
  </si>
  <si>
    <t>EEJR0051c.2</t>
  </si>
  <si>
    <t>EEJR0051c.3</t>
  </si>
  <si>
    <t xml:space="preserve">Two cells pulled but other one parsite attached to side </t>
  </si>
  <si>
    <t xml:space="preserve">Pulled several times before detaches </t>
  </si>
  <si>
    <t>EEJR0051d.x</t>
  </si>
  <si>
    <t>EEJR0051d.y</t>
  </si>
  <si>
    <t>EEJR0051eI.x</t>
  </si>
  <si>
    <t>EEJR0051eI.y</t>
  </si>
  <si>
    <t>EEJR0051eII.x</t>
  </si>
  <si>
    <t>EEJR0051eII.y</t>
  </si>
  <si>
    <t>EEJR0051eIII</t>
  </si>
  <si>
    <t xml:space="preserve">eI.x and eII.y the same cell pulled </t>
  </si>
  <si>
    <t xml:space="preserve">Placed 185sec after egress. eIII and eII.y same cell pulled and eII and eIII same parastite </t>
  </si>
  <si>
    <t xml:space="preserve">egress before start so not counting </t>
  </si>
  <si>
    <t>na</t>
  </si>
  <si>
    <t>EEJR0051fII.x</t>
  </si>
  <si>
    <t>EEJR0051fII.y</t>
  </si>
  <si>
    <t>EEJR0051fI</t>
  </si>
  <si>
    <t>EEJR0051f.2</t>
  </si>
  <si>
    <t>EEJR0054c</t>
  </si>
  <si>
    <t>EEJR0054d</t>
  </si>
  <si>
    <t>EEJR0054g</t>
  </si>
  <si>
    <t>EEJR0054h</t>
  </si>
  <si>
    <t>EEJR0054j</t>
  </si>
  <si>
    <t>EEJR0054k</t>
  </si>
  <si>
    <t>EEJR0054l</t>
  </si>
  <si>
    <t xml:space="preserve">2021.04.14 </t>
  </si>
  <si>
    <t xml:space="preserve">KOEBA140 C4 NF54 </t>
  </si>
  <si>
    <t>EEJR0054aII</t>
  </si>
  <si>
    <t>EEJR0054aI</t>
  </si>
  <si>
    <t xml:space="preserve">I and II same cells pulled, attached to and parasite </t>
  </si>
  <si>
    <t>EEJR0054b.x</t>
  </si>
  <si>
    <t>EEJR0054b.y</t>
  </si>
  <si>
    <t>EEJR0054eI</t>
  </si>
  <si>
    <t>EEJR0054eII</t>
  </si>
  <si>
    <t xml:space="preserve">I and II same cells pulled and parasite, attached to different cell  </t>
  </si>
  <si>
    <t xml:space="preserve">I and II same cell atatched to, parasite and cell pulled </t>
  </si>
  <si>
    <t>EEJR0054fI</t>
  </si>
  <si>
    <t>EEJR0054fII</t>
  </si>
  <si>
    <t>EEJR0054I</t>
  </si>
  <si>
    <t xml:space="preserve">KOEBA140 </t>
  </si>
  <si>
    <t xml:space="preserve">Invasion efficeny (Flow) </t>
  </si>
  <si>
    <t xml:space="preserve">2021.04.15 </t>
  </si>
  <si>
    <t xml:space="preserve">Antibody </t>
  </si>
  <si>
    <t>anti-GYPC BRIC 4</t>
  </si>
  <si>
    <t>EEJR0053e</t>
  </si>
  <si>
    <t>EEJR0053i</t>
  </si>
  <si>
    <t>EEJR0053j</t>
  </si>
  <si>
    <t>EEJR0053k</t>
  </si>
  <si>
    <t>EEJR0053l</t>
  </si>
  <si>
    <t>16.20.46</t>
  </si>
  <si>
    <t>16.28.43</t>
  </si>
  <si>
    <t>16.44.58</t>
  </si>
  <si>
    <t>16.53.42</t>
  </si>
  <si>
    <t>17.06.35</t>
  </si>
  <si>
    <t>17.35.44</t>
  </si>
  <si>
    <t>18.00.22</t>
  </si>
  <si>
    <t>18.05.21</t>
  </si>
  <si>
    <t>18.11.46</t>
  </si>
  <si>
    <t>18.24.50</t>
  </si>
  <si>
    <t>18.29.17</t>
  </si>
  <si>
    <t>EEJR0053a.1</t>
  </si>
  <si>
    <t>EEJR0053a.2</t>
  </si>
  <si>
    <t>EEJR0053a.3</t>
  </si>
  <si>
    <t>EEJR0053b.1</t>
  </si>
  <si>
    <t>EEJR0053b.2</t>
  </si>
  <si>
    <t xml:space="preserve">One possible attchment but think RBC-RBC no merizoite </t>
  </si>
  <si>
    <t>EEJR0053c.I</t>
  </si>
  <si>
    <t>EEJR0053cII</t>
  </si>
  <si>
    <t xml:space="preserve">CI and CII Same cell pulled and attached to not sure if same parasite </t>
  </si>
  <si>
    <t xml:space="preserve">There is a chance that the parasites was there before egress but hard to tell as also parasites from egress moved near. CI and CII Same cell pulled and attached to not sure if same parasite </t>
  </si>
  <si>
    <t>EEJR0053dI</t>
  </si>
  <si>
    <t>dI and d.II are same RBCs and parsite</t>
  </si>
  <si>
    <t>EEJR0053d.Iix</t>
  </si>
  <si>
    <t>EEJR0053d.Iiy</t>
  </si>
  <si>
    <t xml:space="preserve">Pulled a few times before detaches, stretched more on prevous pulls, sort of fell off </t>
  </si>
  <si>
    <t xml:space="preserve">dI and d.II are same RBCs and parsite, pulled cell in dI and DII.y same cell </t>
  </si>
  <si>
    <t>EEJR0053f.1</t>
  </si>
  <si>
    <t>525/1743</t>
  </si>
  <si>
    <t>EEJR0053h.x</t>
  </si>
  <si>
    <t>EEJR0053h.y</t>
  </si>
  <si>
    <t>EEJR0053f.2.x</t>
  </si>
  <si>
    <t>EEJR0053f.2.y</t>
  </si>
  <si>
    <t xml:space="preserve">Counting y as x a bit twisted </t>
  </si>
  <si>
    <t xml:space="preserve">Mean attachment frequency per egress </t>
  </si>
  <si>
    <t>THIS DATA SET IS NO GOOD AS GENOTYPING FOR STRAIN CAME BACK NEGATIVE (WT PRESENT), DO NOT USE</t>
  </si>
  <si>
    <t xml:space="preserve">Mean attached per egress </t>
  </si>
  <si>
    <t xml:space="preserve">SEM of atatched per egress </t>
  </si>
  <si>
    <t>EEJR0059a</t>
  </si>
  <si>
    <t>EEJR0059d</t>
  </si>
  <si>
    <t>EEJR0059e</t>
  </si>
  <si>
    <t>EEJR0059g</t>
  </si>
  <si>
    <t xml:space="preserve">2021.05.17 </t>
  </si>
  <si>
    <t>anti-CR1</t>
  </si>
  <si>
    <t>EEJR0059bI.x</t>
  </si>
  <si>
    <t>EEJR0059bII.x</t>
  </si>
  <si>
    <t xml:space="preserve">EEJR0059bII.y </t>
  </si>
  <si>
    <t xml:space="preserve">EEJR0059bI.y </t>
  </si>
  <si>
    <t xml:space="preserve">I.x and II.x same cell, different parasite and y </t>
  </si>
  <si>
    <t>EEJR0059c.I</t>
  </si>
  <si>
    <t>EEJR0059c.II.x</t>
  </si>
  <si>
    <t>EEJR0059c.II.y</t>
  </si>
  <si>
    <t xml:space="preserve">Pulled few times and didn’t detach, then fell off, cannot be 100% sure right cell of part stetch initial length measured </t>
  </si>
  <si>
    <t xml:space="preserve">II.y and I cell attached to same cell and same parasite </t>
  </si>
  <si>
    <t>3D7 (viola)</t>
  </si>
  <si>
    <t>EEJR0059f.I.x</t>
  </si>
  <si>
    <t>EEJR0059f.I.y</t>
  </si>
  <si>
    <t>EEJR0059f.II</t>
  </si>
  <si>
    <t>EEJR0059fIII</t>
  </si>
  <si>
    <t xml:space="preserve">fII and fIII same cell pulled, different parasite and cell attached to </t>
  </si>
  <si>
    <t xml:space="preserve">percentage of attachment that were measureable </t>
  </si>
  <si>
    <t xml:space="preserve">Attachment frequency per egress </t>
  </si>
  <si>
    <t xml:space="preserve">If two cells pulled, only one counted towards data (usually x unless it isnt stretch properly) </t>
  </si>
  <si>
    <t xml:space="preserve">Red </t>
  </si>
  <si>
    <t xml:space="preserve">issue with data point (usually negative) so discounted </t>
  </si>
  <si>
    <r>
      <t>Blue</t>
    </r>
    <r>
      <rPr>
        <b/>
        <sz val="11"/>
        <color theme="2" tint="-0.249977111117893"/>
        <rFont val="Calibri"/>
        <family val="2"/>
        <scheme val="minor"/>
      </rPr>
      <t xml:space="preserve"> / grey </t>
    </r>
  </si>
  <si>
    <t>EEJR0059hI</t>
  </si>
  <si>
    <t>EEJR0059hII</t>
  </si>
  <si>
    <t>EEJR0059hIII</t>
  </si>
  <si>
    <t>EEJR0059iI</t>
  </si>
  <si>
    <t>EEJR0059iII</t>
  </si>
  <si>
    <t xml:space="preserve">Other RBC stretch could be measured </t>
  </si>
  <si>
    <t>EEJR0059jI</t>
  </si>
  <si>
    <t>EEJR0059jII</t>
  </si>
  <si>
    <t>EEJR0059jIII</t>
  </si>
  <si>
    <t>EEJR0059jIV</t>
  </si>
  <si>
    <t xml:space="preserve">IVand V same RBCs and parasite </t>
  </si>
  <si>
    <t>EEJR0059jV</t>
  </si>
  <si>
    <t xml:space="preserve">II and III same RBCs and parasite </t>
  </si>
  <si>
    <t>EEJR0059k</t>
  </si>
  <si>
    <t>EEJR0060e</t>
  </si>
  <si>
    <t>EEJR0060f</t>
  </si>
  <si>
    <t>EEJR0060h</t>
  </si>
  <si>
    <t>EEJR0060a.x</t>
  </si>
  <si>
    <t>EEJR0060a.y</t>
  </si>
  <si>
    <t>KORH4</t>
  </si>
  <si>
    <t>EEJR0060c.1</t>
  </si>
  <si>
    <t xml:space="preserve">EEJR0060c.2 </t>
  </si>
  <si>
    <t xml:space="preserve">I and II same RBCs not sure if same parasite </t>
  </si>
  <si>
    <t>EEJR0060d.I</t>
  </si>
  <si>
    <t>EEJR0060d.II</t>
  </si>
  <si>
    <t>EEJR0060d.III</t>
  </si>
  <si>
    <t xml:space="preserve">III and I/II attahced to same RBC, different RBC pulled not sure parasite </t>
  </si>
  <si>
    <t>One attachment couldn’t be measured as RBC stuct to neigbouring cell so could not pull</t>
  </si>
  <si>
    <t>EEJR0063a</t>
  </si>
  <si>
    <t>EEJR0063c</t>
  </si>
  <si>
    <t>EEJR0063d</t>
  </si>
  <si>
    <t>EEJR0063e</t>
  </si>
  <si>
    <t>EEJR0063f</t>
  </si>
  <si>
    <t>EEJR0063g</t>
  </si>
  <si>
    <t>EEJR0063i</t>
  </si>
  <si>
    <t>EEJR0063j</t>
  </si>
  <si>
    <t>EEJR0063k</t>
  </si>
  <si>
    <t>EEJR0063l</t>
  </si>
  <si>
    <t xml:space="preserve">2021.06.08 </t>
  </si>
  <si>
    <t xml:space="preserve">KORH4 C1 </t>
  </si>
  <si>
    <t xml:space="preserve">2021.05.19 </t>
  </si>
  <si>
    <t>EEJR0064d</t>
  </si>
  <si>
    <t>EEJR0064e</t>
  </si>
  <si>
    <t>EEJR0064g</t>
  </si>
  <si>
    <t>EEJR0064h</t>
  </si>
  <si>
    <t>2021.06.10</t>
  </si>
  <si>
    <t>egress</t>
  </si>
  <si>
    <t xml:space="preserve">attachment </t>
  </si>
  <si>
    <t xml:space="preserve">Shizont undergoes strange shape change </t>
  </si>
  <si>
    <t xml:space="preserve">Why coldn'tmeasure attachments </t>
  </si>
  <si>
    <t>EEJR0060g.1</t>
  </si>
  <si>
    <t>EEJR0060g.2</t>
  </si>
  <si>
    <t>EEJR0063b.1</t>
  </si>
  <si>
    <t>EEJR0063b.2</t>
  </si>
  <si>
    <t xml:space="preserve">One attachment, but think RBC-RBC no merixoite </t>
  </si>
  <si>
    <t xml:space="preserve">NOTE old blood used </t>
  </si>
  <si>
    <t xml:space="preserve">egress </t>
  </si>
  <si>
    <t xml:space="preserve">one very possible weak attachment but more likely not to be </t>
  </si>
  <si>
    <t xml:space="preserve">a and b.x same cell pulled, b.y different to a attached </t>
  </si>
  <si>
    <t>EEJR0064aII.y</t>
  </si>
  <si>
    <t>EEJR0064aII.x</t>
  </si>
  <si>
    <t>EEJR0064aI</t>
  </si>
  <si>
    <t>EEJR0064bI</t>
  </si>
  <si>
    <t>EEJR0064bII</t>
  </si>
  <si>
    <t xml:space="preserve">Pulled twise seemed to stretch more on first pull </t>
  </si>
  <si>
    <t>Pulled twise, sort of fell off on second pull</t>
  </si>
  <si>
    <t>EEJR0064bIII</t>
  </si>
  <si>
    <t>EEJR0064bIV</t>
  </si>
  <si>
    <t>EEJR0064bV</t>
  </si>
  <si>
    <t xml:space="preserve">III and UV same RBCs and parasite </t>
  </si>
  <si>
    <t>EEJR0064f.x</t>
  </si>
  <si>
    <t>EEJR0064f.y</t>
  </si>
  <si>
    <t xml:space="preserve">Why attachment could not be measure </t>
  </si>
  <si>
    <t>EEJR0061a</t>
  </si>
  <si>
    <t>EEJR0061b</t>
  </si>
  <si>
    <t>EEJR0061d</t>
  </si>
  <si>
    <t>EEJR0061e</t>
  </si>
  <si>
    <t>EEJR0062a</t>
  </si>
  <si>
    <t>EEJR0062c</t>
  </si>
  <si>
    <t>KOEBA181 C1</t>
  </si>
  <si>
    <t>2021.06.11</t>
  </si>
  <si>
    <t>EEJR0065a</t>
  </si>
  <si>
    <t>EEJR0065b</t>
  </si>
  <si>
    <t>EEJR0065d</t>
  </si>
  <si>
    <t>EEJR0065h</t>
  </si>
  <si>
    <t>EEJR0065k</t>
  </si>
  <si>
    <t>EEJR0065m</t>
  </si>
  <si>
    <t>EEJR0061cI</t>
  </si>
  <si>
    <t>EEJR0061cII</t>
  </si>
  <si>
    <t>EEJR0061cIII</t>
  </si>
  <si>
    <t xml:space="preserve">2021.06.02 </t>
  </si>
  <si>
    <t>EEJR0061cIV</t>
  </si>
  <si>
    <t xml:space="preserve">Cell not polled straight </t>
  </si>
  <si>
    <t xml:space="preserve">II and III same RBC and parasite </t>
  </si>
  <si>
    <t xml:space="preserve">Two looked attached but measured and cells not extended </t>
  </si>
  <si>
    <t>2021.06.04</t>
  </si>
  <si>
    <t xml:space="preserve">egresses </t>
  </si>
  <si>
    <t xml:space="preserve">attachments </t>
  </si>
  <si>
    <t xml:space="preserve">pulled a few times stretch more on previous times </t>
  </si>
  <si>
    <t>EEJR0062bII.x</t>
  </si>
  <si>
    <t>EEJR0062bII.y</t>
  </si>
  <si>
    <t>EEJR0062bI.x</t>
  </si>
  <si>
    <t>EEJR0062bI.y</t>
  </si>
  <si>
    <t xml:space="preserve">I.x and II.x same RBC pulled </t>
  </si>
  <si>
    <t xml:space="preserve">Attachment bt think RBC RBC </t>
  </si>
  <si>
    <t>EEJR0065c.x</t>
  </si>
  <si>
    <t>EEJR0065c.y</t>
  </si>
  <si>
    <t>EEJR0065e.I</t>
  </si>
  <si>
    <t>EEJR0065e.II</t>
  </si>
  <si>
    <t>EEJR0065e.III</t>
  </si>
  <si>
    <t xml:space="preserve">I, II and III Same RBC attached to and parasite, different cell pulled </t>
  </si>
  <si>
    <t>I and II same cells</t>
  </si>
  <si>
    <t>EEJR0065e.IV</t>
  </si>
  <si>
    <t>EEJR0065e.V</t>
  </si>
  <si>
    <t xml:space="preserve">III, IV and V  same cells </t>
  </si>
  <si>
    <t>EEJR0065f.1</t>
  </si>
  <si>
    <t>EEJR0065f.2</t>
  </si>
  <si>
    <t xml:space="preserve">Just nefore start </t>
  </si>
  <si>
    <t>EEJR0065iI</t>
  </si>
  <si>
    <t>EEJR0065iII</t>
  </si>
  <si>
    <t>EEJR0065jII</t>
  </si>
  <si>
    <t xml:space="preserve">Pulled a couple times and attached but last pull came apart and didn’t look attached </t>
  </si>
  <si>
    <t>EEJR0065jI.y</t>
  </si>
  <si>
    <t>EEJR0065jI.x</t>
  </si>
  <si>
    <t>EEJR0065jIII</t>
  </si>
  <si>
    <t>I.y same cell pulled at II and III</t>
  </si>
  <si>
    <t xml:space="preserve">another attachment but think it was RBC RBC </t>
  </si>
  <si>
    <t xml:space="preserve">KOEBA181 </t>
  </si>
  <si>
    <t xml:space="preserve">Number egresses measured </t>
  </si>
  <si>
    <t xml:space="preserve">KORH4 </t>
  </si>
  <si>
    <t xml:space="preserve">Redid all NF54 analysis </t>
  </si>
  <si>
    <t xml:space="preserve">EEJR0058b </t>
  </si>
  <si>
    <t xml:space="preserve">2021.05.11 </t>
  </si>
  <si>
    <t xml:space="preserve">Could tell which cell attached to first </t>
  </si>
  <si>
    <t>no</t>
  </si>
  <si>
    <t>EEJR0058aII</t>
  </si>
  <si>
    <t xml:space="preserve">EEJR0058aI.y </t>
  </si>
  <si>
    <t xml:space="preserve">EEJR0058aI.x  </t>
  </si>
  <si>
    <t xml:space="preserve">I.x and II same cell pulled </t>
  </si>
  <si>
    <t xml:space="preserve">Yes - parasite hass attached to the fixed cell and on detachment remained on the fixed cell </t>
  </si>
  <si>
    <t xml:space="preserve">Why could attachment not be measured </t>
  </si>
  <si>
    <t xml:space="preserve">Invasion occurred before detahcment b another parasite </t>
  </si>
  <si>
    <t xml:space="preserve">No attachments to measure </t>
  </si>
  <si>
    <t>EEJR0066b</t>
  </si>
  <si>
    <t>EEJR0066c</t>
  </si>
  <si>
    <t>EEJR0066e</t>
  </si>
  <si>
    <t>EEJR0066f</t>
  </si>
  <si>
    <t>EEJR0066i</t>
  </si>
  <si>
    <t>EEJR0066j</t>
  </si>
  <si>
    <t>EEJR0066k</t>
  </si>
  <si>
    <t xml:space="preserve">2021.06.16 </t>
  </si>
  <si>
    <t xml:space="preserve">Can see which RBC detaches from </t>
  </si>
  <si>
    <t xml:space="preserve">First attached to RBC x and detached from y </t>
  </si>
  <si>
    <t>EEJR0066aI</t>
  </si>
  <si>
    <t>EEJR0066aII.x</t>
  </si>
  <si>
    <t>EEJR0066aII.y</t>
  </si>
  <si>
    <t xml:space="preserve">I and II.y same cell </t>
  </si>
  <si>
    <t>EEJR0066dI</t>
  </si>
  <si>
    <t>EEJR0066dII</t>
  </si>
  <si>
    <t>First attached to RBC y and detached from x</t>
  </si>
  <si>
    <t xml:space="preserve">I and II same RBC pulled </t>
  </si>
  <si>
    <t>EEJR0066dIII</t>
  </si>
  <si>
    <t>Attached to X first and detached from y</t>
  </si>
  <si>
    <t xml:space="preserve">RBC not fully stretched, attachment weak, I and II and III same RBC pulled, I and II same RBCs and parasite, II and III different parasite and different RBC attached to </t>
  </si>
  <si>
    <t>No</t>
  </si>
  <si>
    <t>EEJR0066gI</t>
  </si>
  <si>
    <t xml:space="preserve">Attached to x and detached from x </t>
  </si>
  <si>
    <t>EEJR0066gII.x</t>
  </si>
  <si>
    <t xml:space="preserve">EEJR0066gII.y </t>
  </si>
  <si>
    <t xml:space="preserve">I and II.x same cell pulled </t>
  </si>
  <si>
    <t>EEJR0066hI</t>
  </si>
  <si>
    <t>EEJR0066hII</t>
  </si>
  <si>
    <t xml:space="preserve">Attached to X and came off x </t>
  </si>
  <si>
    <t xml:space="preserve">On Y stayed attached to y </t>
  </si>
  <si>
    <t xml:space="preserve">remained attached to the original cell </t>
  </si>
  <si>
    <t>I, II and III same RBCs and parasite</t>
  </si>
  <si>
    <t xml:space="preserve">No attachment for whole data set, tried difffernt sample in new chamber and with different blood. No going to include in attachment force measurements </t>
  </si>
  <si>
    <t>EEJR0067a</t>
  </si>
  <si>
    <t>2021.06.17</t>
  </si>
  <si>
    <t>EEJR0067c</t>
  </si>
  <si>
    <t>EEJR0067b.x</t>
  </si>
  <si>
    <t xml:space="preserve">EEJR0067b.y </t>
  </si>
  <si>
    <t>EEJR0067d</t>
  </si>
  <si>
    <t>EEJR0067g</t>
  </si>
  <si>
    <t>EEJR0067i</t>
  </si>
  <si>
    <t>EEJR0067j</t>
  </si>
  <si>
    <t>ccccccccccccccccc/</t>
  </si>
  <si>
    <t xml:space="preserve">Attached to Y and detached from x </t>
  </si>
  <si>
    <t xml:space="preserve">Invaded before detahced </t>
  </si>
  <si>
    <t xml:space="preserve">No attachments measureable </t>
  </si>
  <si>
    <t xml:space="preserve">Attached to X dirst, detached from y </t>
  </si>
  <si>
    <t>Attached to X dirst, detached from x</t>
  </si>
  <si>
    <t>EEJR0067eI</t>
  </si>
  <si>
    <t>EEJR0067eII</t>
  </si>
  <si>
    <t xml:space="preserve">I and II Same RBC and parasite </t>
  </si>
  <si>
    <t>EEJR0067eII.x</t>
  </si>
  <si>
    <t xml:space="preserve">EEJR0067eII.y </t>
  </si>
  <si>
    <t xml:space="preserve">Attached to X and setached from y </t>
  </si>
  <si>
    <t xml:space="preserve">I, II and III.x same RBC pulled, same parasite, attached to different RBC </t>
  </si>
  <si>
    <t>EEJR0067f.x</t>
  </si>
  <si>
    <t>EEJR0067f.y</t>
  </si>
  <si>
    <t xml:space="preserve">pulled few times </t>
  </si>
  <si>
    <t>EEJR0067hI.x</t>
  </si>
  <si>
    <t>EEJR0067hI.y</t>
  </si>
  <si>
    <t>EEJR0067hII.x</t>
  </si>
  <si>
    <t>EEJR0067hII.y</t>
  </si>
  <si>
    <t xml:space="preserve">Two RBC-RBC attachments </t>
  </si>
  <si>
    <t>Hep</t>
  </si>
  <si>
    <t>GYPC</t>
  </si>
  <si>
    <t>KOEBA140</t>
  </si>
  <si>
    <t>CR1</t>
  </si>
  <si>
    <t>RH4</t>
  </si>
  <si>
    <t>EBA181</t>
  </si>
  <si>
    <t>CD147</t>
  </si>
  <si>
    <t>JBS</t>
  </si>
  <si>
    <t xml:space="preserve">no </t>
  </si>
  <si>
    <t xml:space="preserve">RBC-RBC attchment </t>
  </si>
  <si>
    <t xml:space="preserve">Same frame as before </t>
  </si>
  <si>
    <t xml:space="preserve">yes </t>
  </si>
  <si>
    <t xml:space="preserve">Egress to far before start of video </t>
  </si>
  <si>
    <t xml:space="preserve">Did were attachments but not measured </t>
  </si>
  <si>
    <t xml:space="preserve">As the RBC being pulled attached to slide </t>
  </si>
  <si>
    <t xml:space="preserve">No measureable attachment </t>
  </si>
  <si>
    <t xml:space="preserve">Not counting as looks like chain of two merizoites </t>
  </si>
  <si>
    <t xml:space="preserve">On second pull fell off no stretch </t>
  </si>
  <si>
    <t>I and III same RBC pulled and parasite attached to a different RBC</t>
  </si>
  <si>
    <t xml:space="preserve">Twisted on detachment </t>
  </si>
  <si>
    <t xml:space="preserve">Stretched RBC very oval before moving </t>
  </si>
  <si>
    <t xml:space="preserve">Cell not pulled straight possible as attachemnt very weak, second one attahced then pulle second time dropped off </t>
  </si>
  <si>
    <t>EEJR0004aI.x</t>
  </si>
  <si>
    <t>EEJR0004aI.y</t>
  </si>
  <si>
    <t xml:space="preserve">There were attachments </t>
  </si>
  <si>
    <t xml:space="preserve">No video? </t>
  </si>
  <si>
    <t>EEJR0004b</t>
  </si>
  <si>
    <t xml:space="preserve">Twise Two merizoites stuck together , detaches from RBC so could measure </t>
  </si>
  <si>
    <t>EEJ0005b.1</t>
  </si>
  <si>
    <t>EEJ0005b.2</t>
  </si>
  <si>
    <t xml:space="preserve">Pulled more first, then sort of fell off </t>
  </si>
  <si>
    <t xml:space="preserve">In one case two merizoites attached to each other betweeen the RBCs and detachment occurs between them </t>
  </si>
  <si>
    <t xml:space="preserve">Pulled a few times </t>
  </si>
  <si>
    <t xml:space="preserve">III and IV same RBC pulled and RBC attached to different parasite </t>
  </si>
  <si>
    <t xml:space="preserve">I and II same RBC attached to, also a RBC-RBC attachment in video  </t>
  </si>
  <si>
    <t>EEJR0068I</t>
  </si>
  <si>
    <t xml:space="preserve">2021.06.24 </t>
  </si>
  <si>
    <t xml:space="preserve">19.29.46 </t>
  </si>
  <si>
    <t>EEJR0068J.1</t>
  </si>
  <si>
    <t>EEJR0068J.2.x</t>
  </si>
  <si>
    <t>EEJR0068J.2.y</t>
  </si>
  <si>
    <t>19.37.43</t>
  </si>
  <si>
    <t xml:space="preserve">NA </t>
  </si>
  <si>
    <t>No = 0.8258</t>
  </si>
  <si>
    <t>No = 0.6077</t>
  </si>
  <si>
    <t>If one non-gaussian ranksum</t>
  </si>
  <si>
    <t>If both gaussian  ttest2</t>
  </si>
  <si>
    <t>No = 0.4609</t>
  </si>
  <si>
    <t>No = 0.2118</t>
  </si>
  <si>
    <t>Yes = 0.0067</t>
  </si>
  <si>
    <t>No = 0.0993</t>
  </si>
  <si>
    <t xml:space="preserve">Normal Gausian distributed </t>
  </si>
  <si>
    <t>No = 0.5054</t>
  </si>
  <si>
    <t>No = 0.2763</t>
  </si>
  <si>
    <t>No = 0.1446</t>
  </si>
  <si>
    <t>No = 0.5749</t>
  </si>
  <si>
    <t>No = 0.2426</t>
  </si>
  <si>
    <t>Yes = 0.0215</t>
  </si>
  <si>
    <t>Attachment freqeunecy per egress</t>
  </si>
  <si>
    <t>egresses</t>
  </si>
  <si>
    <t>EEJR0057j</t>
  </si>
  <si>
    <t>EEJR0057b</t>
  </si>
  <si>
    <t>EEJR0057c</t>
  </si>
  <si>
    <t>EEJR0057d</t>
  </si>
  <si>
    <t>EEJR0057e</t>
  </si>
  <si>
    <t>EEJR0057f</t>
  </si>
  <si>
    <t>EEJR0057g</t>
  </si>
  <si>
    <t>EEJR0057h</t>
  </si>
  <si>
    <t>2021.05.11</t>
  </si>
  <si>
    <t xml:space="preserve">total </t>
  </si>
  <si>
    <t>yes</t>
  </si>
  <si>
    <t>EEJR0057a.x</t>
  </si>
  <si>
    <t xml:space="preserve">EEJR0057a.y </t>
  </si>
  <si>
    <t xml:space="preserve">Attched RBC very deformed </t>
  </si>
  <si>
    <t xml:space="preserve">Invaded before detahcment </t>
  </si>
  <si>
    <t xml:space="preserve">RBC RBC contact </t>
  </si>
  <si>
    <t xml:space="preserve">RBC RBC contact, contact after 180sec </t>
  </si>
  <si>
    <t xml:space="preserve">RBC drifted out of focus before stretched </t>
  </si>
  <si>
    <t xml:space="preserve">No measureable attachments </t>
  </si>
  <si>
    <t xml:space="preserve">Both RBc stretched but y deformed as nearlt invasded so not counting </t>
  </si>
  <si>
    <t>EEJR0057i.I</t>
  </si>
  <si>
    <t>EEJR0057i.II</t>
  </si>
  <si>
    <t>I.x and II same RBC pulled, different RBC attached to and parasite</t>
  </si>
  <si>
    <t xml:space="preserve">Invaded before detached </t>
  </si>
  <si>
    <t>EEJR0068f</t>
  </si>
  <si>
    <t>EEJR0068g</t>
  </si>
  <si>
    <t>2021.06.24</t>
  </si>
  <si>
    <t>EEJR0068a.x</t>
  </si>
  <si>
    <t>EEJR0068a.y</t>
  </si>
  <si>
    <t>EEJR0068b.x</t>
  </si>
  <si>
    <t>EEJR0068bII</t>
  </si>
  <si>
    <t>EEJR0068bI.y</t>
  </si>
  <si>
    <t xml:space="preserve">Looks like detachment occuring during frame as cell slightly blurry </t>
  </si>
  <si>
    <t xml:space="preserve">I.x and II same RBC pulled, pulled a lot before detaches, taken two frames before detahces as last frame cells stretched </t>
  </si>
  <si>
    <t>RBC detahced before pulled straight</t>
  </si>
  <si>
    <t>EEJR0068dII.x</t>
  </si>
  <si>
    <t>EEJR0068cI.x</t>
  </si>
  <si>
    <t>EEJR0068cI.y</t>
  </si>
  <si>
    <t>EEJR0068cII.x</t>
  </si>
  <si>
    <t>EEJR0068cII.y</t>
  </si>
  <si>
    <t xml:space="preserve">Second time pulls detached with RBC sideways </t>
  </si>
  <si>
    <t>EEJR0068dI</t>
  </si>
  <si>
    <t>EEJR0068dII</t>
  </si>
  <si>
    <t>EEJR0068e.x</t>
  </si>
  <si>
    <t xml:space="preserve">EEJR0068e.y </t>
  </si>
  <si>
    <t xml:space="preserve">X a little sideways </t>
  </si>
  <si>
    <t xml:space="preserve">JBS </t>
  </si>
  <si>
    <t xml:space="preserve">EEJR0068h.x </t>
  </si>
  <si>
    <t xml:space="preserve">EEJR0068h.y </t>
  </si>
  <si>
    <t xml:space="preserve">anti-GYPC (updated) </t>
  </si>
  <si>
    <t xml:space="preserve">anti-GYPC (report) </t>
  </si>
  <si>
    <t>Yes = 0.0316</t>
  </si>
  <si>
    <t xml:space="preserve">Detached from first RBC </t>
  </si>
  <si>
    <t xml:space="preserve">Detached fromsecond RBC </t>
  </si>
  <si>
    <t xml:space="preserve">2021.09.15 </t>
  </si>
  <si>
    <t>EEJR0070b</t>
  </si>
  <si>
    <t xml:space="preserve">EEJR0070c </t>
  </si>
  <si>
    <t xml:space="preserve">EEJR0070d </t>
  </si>
  <si>
    <t>EEJR0070e</t>
  </si>
  <si>
    <t xml:space="preserve">EEJR0070f </t>
  </si>
  <si>
    <t xml:space="preserve">EEJR0070g </t>
  </si>
  <si>
    <t xml:space="preserve">EEJR0070h </t>
  </si>
  <si>
    <t>EEJR0070i</t>
  </si>
  <si>
    <t>EEJR0070a.1</t>
  </si>
  <si>
    <t>EEJR0070a.2.I</t>
  </si>
  <si>
    <t>EEJR0070a.2.II</t>
  </si>
  <si>
    <t>17.51.51</t>
  </si>
  <si>
    <t xml:space="preserve">17.58.43 </t>
  </si>
  <si>
    <t xml:space="preserve">2021.10.05 </t>
  </si>
  <si>
    <t xml:space="preserve">KOEBA175 C6 </t>
  </si>
  <si>
    <t xml:space="preserve">stretched, slipped out trap then detached so fram maximum stretch </t>
  </si>
  <si>
    <t xml:space="preserve">EEJR0075aI.x </t>
  </si>
  <si>
    <t xml:space="preserve">EEJR0075aI.y  </t>
  </si>
  <si>
    <t xml:space="preserve">EEJR0075aII.y  </t>
  </si>
  <si>
    <t>EEJR0075b.x</t>
  </si>
  <si>
    <t>EEJR0075b.y</t>
  </si>
  <si>
    <t>EEJR0076c</t>
  </si>
  <si>
    <t>EEJR0076h</t>
  </si>
  <si>
    <t>EEJR0076i</t>
  </si>
  <si>
    <t>EEJR0076k</t>
  </si>
  <si>
    <t xml:space="preserve">2021.10.06 </t>
  </si>
  <si>
    <t xml:space="preserve">stretched more at 2081 and then seemed to fall off when pulled again </t>
  </si>
  <si>
    <t>EEJR0076a.x</t>
  </si>
  <si>
    <t>EEJR0076a.y</t>
  </si>
  <si>
    <t>EEJR0076b.I</t>
  </si>
  <si>
    <t>EEJR0076b.II</t>
  </si>
  <si>
    <t xml:space="preserve">I and II same RBCs and parasite </t>
  </si>
  <si>
    <t xml:space="preserve">pulled multiple times before detaches </t>
  </si>
  <si>
    <t>EEJR0076d.x</t>
  </si>
  <si>
    <t>EEJR0076d.y</t>
  </si>
  <si>
    <t>EEJR0076e.I</t>
  </si>
  <si>
    <t>EEJR0076e.II</t>
  </si>
  <si>
    <t xml:space="preserve">KOEBA75 </t>
  </si>
  <si>
    <t xml:space="preserve">EEJR0076f.I </t>
  </si>
  <si>
    <t xml:space="preserve">EEJR0076f.II.x </t>
  </si>
  <si>
    <t>EEJR0076f.II .y</t>
  </si>
  <si>
    <t>EEJR0076f.III.x</t>
  </si>
  <si>
    <t xml:space="preserve">II.y and III.x same RBC attached to different RBC </t>
  </si>
  <si>
    <t>EEJR0076f.III.y</t>
  </si>
  <si>
    <t xml:space="preserve">RBC attached to invaded already </t>
  </si>
  <si>
    <t xml:space="preserve">RBC no circlar measured along loner axis </t>
  </si>
  <si>
    <t>EEJR0076gII.x</t>
  </si>
  <si>
    <t>EEJR0076gI.y</t>
  </si>
  <si>
    <t>EEJR0076gI.x</t>
  </si>
  <si>
    <t>EEJR0076gII.y</t>
  </si>
  <si>
    <t xml:space="preserve">I.x and II.y same RBC </t>
  </si>
  <si>
    <t xml:space="preserve">RBC not pulled straight </t>
  </si>
  <si>
    <t>EEJR0076LI.x</t>
  </si>
  <si>
    <t>EEJR0076LI.y</t>
  </si>
  <si>
    <t>EEJR0076LII.x</t>
  </si>
  <si>
    <t>EEJR0076LII.y</t>
  </si>
  <si>
    <t xml:space="preserve">I.y and II.x same RBC </t>
  </si>
  <si>
    <t>EEJR0076m.y</t>
  </si>
  <si>
    <t>EEJR0076m.x</t>
  </si>
  <si>
    <t xml:space="preserve">Remained attached to the original cell </t>
  </si>
  <si>
    <t>EEJR0074a</t>
  </si>
  <si>
    <t>EEJR0074b</t>
  </si>
  <si>
    <t>EEJR0074c</t>
  </si>
  <si>
    <t>EEJR0074d</t>
  </si>
  <si>
    <t>EEJR0074g</t>
  </si>
  <si>
    <t>EEJR0074h</t>
  </si>
  <si>
    <t>EEJR0074i</t>
  </si>
  <si>
    <t>29.09.21</t>
  </si>
  <si>
    <t>Neuraminidase U/ml</t>
  </si>
  <si>
    <t>Force pN</t>
  </si>
  <si>
    <t xml:space="preserve">One possible attachment at 3646 but not sure </t>
  </si>
  <si>
    <t xml:space="preserve">Positioned at 200 sec after egress, pulled a few times </t>
  </si>
  <si>
    <t>EEJR0074e.x</t>
  </si>
  <si>
    <t>EEJR0074e.y</t>
  </si>
  <si>
    <t>EEJR0074f.x</t>
  </si>
  <si>
    <t>EEJR0074f.y</t>
  </si>
  <si>
    <t>RBC not cirferical at start</t>
  </si>
  <si>
    <t>EEJR0079b</t>
  </si>
  <si>
    <t>EEJR0079c</t>
  </si>
  <si>
    <t>EEJR0079d</t>
  </si>
  <si>
    <t>EEJR0079f</t>
  </si>
  <si>
    <t>EEJR0079h</t>
  </si>
  <si>
    <t>EEJR0079i</t>
  </si>
  <si>
    <t>EEJR0079j</t>
  </si>
  <si>
    <t>EEJR0079k</t>
  </si>
  <si>
    <t>EEJR0079m</t>
  </si>
  <si>
    <t xml:space="preserve">2021.10.13 </t>
  </si>
  <si>
    <t>EEJR0079a.1</t>
  </si>
  <si>
    <t>EEJR0079a.2</t>
  </si>
  <si>
    <t xml:space="preserve">one possible very breif atatchemnt </t>
  </si>
  <si>
    <t xml:space="preserve">No = 0.7727 </t>
  </si>
  <si>
    <t>sig diff GYPA p = 0.0002334</t>
  </si>
  <si>
    <t xml:space="preserve">Neuraminidase </t>
  </si>
  <si>
    <t>EEJR0087c</t>
  </si>
  <si>
    <t>2021.12.02</t>
  </si>
  <si>
    <t>EEJR0087a.I</t>
  </si>
  <si>
    <t>EEJR0087a.II</t>
  </si>
  <si>
    <t>EEJR0087a.III</t>
  </si>
  <si>
    <t>I and II same RBCs and different parasite</t>
  </si>
  <si>
    <t xml:space="preserve">I and III same parasite and RBC attached to, different RBC pulled </t>
  </si>
  <si>
    <t>EEJR0087a.IV</t>
  </si>
  <si>
    <t xml:space="preserve">III and IV same parasite and RBCs </t>
  </si>
  <si>
    <t>EEJR0087b.II</t>
  </si>
  <si>
    <t>EEJR0087b.I</t>
  </si>
  <si>
    <t xml:space="preserve">Was stronger stretch on previous pull </t>
  </si>
  <si>
    <t xml:space="preserve">I and II same RBC pulled different RBC attached to and parasite </t>
  </si>
  <si>
    <t>crystal exploded</t>
  </si>
  <si>
    <t>EEJR0087d.II.x</t>
  </si>
  <si>
    <t>EEJR0087d.II.y</t>
  </si>
  <si>
    <t>EEJR0087d.I</t>
  </si>
  <si>
    <t>EEJR0087e.x</t>
  </si>
  <si>
    <t>EEJR0087e.y</t>
  </si>
  <si>
    <t xml:space="preserve">old alignment of laser </t>
  </si>
  <si>
    <t xml:space="preserve">New alignmnet </t>
  </si>
  <si>
    <t>EEJR0088a</t>
  </si>
  <si>
    <t>EEJR0088c</t>
  </si>
  <si>
    <t>EEJR0088d</t>
  </si>
  <si>
    <t>EEJR0088e</t>
  </si>
  <si>
    <t>EEJR0088g</t>
  </si>
  <si>
    <t>08.12.21</t>
  </si>
  <si>
    <t>KORH1</t>
  </si>
  <si>
    <t xml:space="preserve">18.01.49 </t>
  </si>
  <si>
    <t>18.06.35</t>
  </si>
  <si>
    <t>18.18.16</t>
  </si>
  <si>
    <t>18.31.41</t>
  </si>
  <si>
    <t>18.41.09</t>
  </si>
  <si>
    <t xml:space="preserve">18.53.37 </t>
  </si>
  <si>
    <t xml:space="preserve">19.05.59 </t>
  </si>
  <si>
    <t>EEJR0088b.x</t>
  </si>
  <si>
    <t>EEJR0088b.y</t>
  </si>
  <si>
    <t xml:space="preserve">possible very weak attachment at 4372 </t>
  </si>
  <si>
    <t>EEJR0088f.1</t>
  </si>
  <si>
    <t>EEJR0088f.2</t>
  </si>
  <si>
    <t>EEJR0089h</t>
  </si>
  <si>
    <t>EEJR0089j</t>
  </si>
  <si>
    <t>EEJR0089l</t>
  </si>
  <si>
    <t>EEJR0089m</t>
  </si>
  <si>
    <t>14.12.21</t>
  </si>
  <si>
    <t>EEJR0089a.Iy</t>
  </si>
  <si>
    <t>EEJR0089a.IIy</t>
  </si>
  <si>
    <t>EEJR0089a.III</t>
  </si>
  <si>
    <t>EEJR0089a.Ix</t>
  </si>
  <si>
    <t>EEJR0089a.Iix</t>
  </si>
  <si>
    <t xml:space="preserve">part of cell obscued by another cell </t>
  </si>
  <si>
    <t xml:space="preserve">IIy and Ix and III same RBC </t>
  </si>
  <si>
    <t xml:space="preserve">Two RBCs stretched but one obscued by another RBC </t>
  </si>
  <si>
    <t>EEJR0089b.1</t>
  </si>
  <si>
    <t>EEJR0089b.2I</t>
  </si>
  <si>
    <t>EEJR0089b.2II</t>
  </si>
  <si>
    <t xml:space="preserve">2I and 2II same RBCs and parasite </t>
  </si>
  <si>
    <t>EEJR0089b.2III</t>
  </si>
  <si>
    <t xml:space="preserve">2I and 2II and 2III same RBCs and parasite </t>
  </si>
  <si>
    <t>EEJR0089c.x</t>
  </si>
  <si>
    <t>EEJR0089c.y</t>
  </si>
  <si>
    <t>EEJR0089d.x</t>
  </si>
  <si>
    <t>EEJR0089d.y</t>
  </si>
  <si>
    <t>EEJR0089eII.x</t>
  </si>
  <si>
    <t>I and II same RBC not sure if same parasite</t>
  </si>
  <si>
    <t>EEJR0089eII.y</t>
  </si>
  <si>
    <t>EEJR0089eI.x</t>
  </si>
  <si>
    <t>EEJR0089eI.y</t>
  </si>
  <si>
    <t>EEJR0089eIII.x</t>
  </si>
  <si>
    <t>EEJR0089eIII.y</t>
  </si>
  <si>
    <t>I.x, II.x and III.y are same RBC</t>
  </si>
  <si>
    <t>EEJR0089fI</t>
  </si>
  <si>
    <t>EEJR0089fII.y</t>
  </si>
  <si>
    <t>EEJR0089fII.x</t>
  </si>
  <si>
    <t>EEJR0089fIII</t>
  </si>
  <si>
    <t xml:space="preserve">Two RBC stretched, other one being invaded as pulled </t>
  </si>
  <si>
    <t xml:space="preserve">using y as x a bit distorted </t>
  </si>
  <si>
    <t>EEJR0089g.I</t>
  </si>
  <si>
    <t>was an additional attachemed around 3500 but parasite wiredl stuck after detahcment so not sure if attchment normal</t>
  </si>
  <si>
    <t>EEJR0089g.III</t>
  </si>
  <si>
    <t>EEJR0089g.IV</t>
  </si>
  <si>
    <t>2 Attchment but via multiple parasites 4450</t>
  </si>
  <si>
    <t xml:space="preserve">No measureable attchments </t>
  </si>
  <si>
    <t>EEJR0089iI</t>
  </si>
  <si>
    <t>EEJR0089iII</t>
  </si>
  <si>
    <t>EEJR0089iIII</t>
  </si>
  <si>
    <t>EEJR0089iIV</t>
  </si>
  <si>
    <t xml:space="preserve">I, II, III, IV same RBCs and parasites </t>
  </si>
  <si>
    <t>EEJR0089k.x</t>
  </si>
  <si>
    <t xml:space="preserve">EEJR0089k.y </t>
  </si>
  <si>
    <t xml:space="preserve">one attched but was just invaded and so crinilated when pulled </t>
  </si>
  <si>
    <t>EEJR0089n.2I</t>
  </si>
  <si>
    <t>EEJR0089n.2II</t>
  </si>
  <si>
    <t>EEJR0089n.2III</t>
  </si>
  <si>
    <t>EEJR0089n.1x</t>
  </si>
  <si>
    <t>EEJR0089n.1y</t>
  </si>
  <si>
    <t xml:space="preserve">I and II same RBC pulled and parasite, III same RBC pulled but different parasite </t>
  </si>
  <si>
    <t>EEJR0089q.y</t>
  </si>
  <si>
    <t>EEJR0089q.x</t>
  </si>
  <si>
    <t>EEJR0090a</t>
  </si>
  <si>
    <t>EEJR0090c</t>
  </si>
  <si>
    <t>EEJR0090d</t>
  </si>
  <si>
    <t>EEJR0090f</t>
  </si>
  <si>
    <t>EEJR0090g</t>
  </si>
  <si>
    <t>EEJR0090h</t>
  </si>
  <si>
    <t>EEJR0090i</t>
  </si>
  <si>
    <t>EEJR0090j</t>
  </si>
  <si>
    <t>16.12.21</t>
  </si>
  <si>
    <t xml:space="preserve">One attachemnet but attched between pulling so RBC not stretched </t>
  </si>
  <si>
    <t>EEJR0090b.y</t>
  </si>
  <si>
    <t>EEJR0090b.x</t>
  </si>
  <si>
    <t xml:space="preserve">No attchemnets </t>
  </si>
  <si>
    <t>EEJR0090e.2</t>
  </si>
  <si>
    <t>EEJR0090e.1</t>
  </si>
  <si>
    <t xml:space="preserve">BRIC 4 (IBGRL) </t>
  </si>
  <si>
    <t>ab96680</t>
  </si>
  <si>
    <t>ab119114</t>
  </si>
  <si>
    <t>ab25</t>
  </si>
  <si>
    <t xml:space="preserve">BRIC 256 </t>
  </si>
  <si>
    <t xml:space="preserve">anti-CR1 Ab25 </t>
  </si>
  <si>
    <t>2022.03.08</t>
  </si>
  <si>
    <t xml:space="preserve">Treatment </t>
  </si>
  <si>
    <t>Anti-Cr1 ABIN</t>
  </si>
  <si>
    <t xml:space="preserve">EEJR0099a.I </t>
  </si>
  <si>
    <t xml:space="preserve">Likely not actally attached </t>
  </si>
  <si>
    <t>EEJR0099aII.x</t>
  </si>
  <si>
    <t>EEJR0099aII.y</t>
  </si>
  <si>
    <t>EEJR0099aIII.y</t>
  </si>
  <si>
    <t>EEJR0099aIII.x</t>
  </si>
  <si>
    <t xml:space="preserve">II.y and III.x same RBCs Likely not actally attached </t>
  </si>
  <si>
    <t xml:space="preserve">II.x and III.y same RBCs </t>
  </si>
  <si>
    <t>EEJR0099b.x</t>
  </si>
  <si>
    <t>EEJR0099b.y</t>
  </si>
  <si>
    <t>EEJR0099c.1</t>
  </si>
  <si>
    <t>EEJR0099c.2I.x</t>
  </si>
  <si>
    <t>EEJR0099c.2I.y</t>
  </si>
  <si>
    <t>EEJR0099c.2II.x</t>
  </si>
  <si>
    <t>EEJR0099c.2II.y</t>
  </si>
  <si>
    <t>2I.x and 2II.x same RBCsand same parasite, different RBC attached to</t>
  </si>
  <si>
    <t>EEJR0099dI.x</t>
  </si>
  <si>
    <t>EEJR0099dI.y</t>
  </si>
  <si>
    <t>EEJR0099dII.x</t>
  </si>
  <si>
    <t>EEJR0099dII.y</t>
  </si>
  <si>
    <t xml:space="preserve">one attachment after 180sec </t>
  </si>
  <si>
    <t>EEJR0099eI.x</t>
  </si>
  <si>
    <t xml:space="preserve">EEJR0099eI.y </t>
  </si>
  <si>
    <t>I.y and II.y same RBC pulled. II.x crinylated so only measured x</t>
  </si>
  <si>
    <t xml:space="preserve">II and III same RBC and parasite. I.y, II.y and III.y same RBX and same parasite. II.x and III.x same RBC attached to  </t>
  </si>
  <si>
    <t>EEJR0099eII.y</t>
  </si>
  <si>
    <t xml:space="preserve">EEJR0099eIII.y </t>
  </si>
  <si>
    <t xml:space="preserve">EEJR0099eIV.x </t>
  </si>
  <si>
    <t xml:space="preserve">EEJR0099eIV.y </t>
  </si>
  <si>
    <t xml:space="preserve">IV.y and I.x same RBC pulled. one attachment after 180sec </t>
  </si>
  <si>
    <t>EEJR0099fI.x</t>
  </si>
  <si>
    <t>EEJR0099fI.y</t>
  </si>
  <si>
    <t>EEJR0099fII</t>
  </si>
  <si>
    <t>EEJR0099fIII</t>
  </si>
  <si>
    <t xml:space="preserve">II and III same RBC pulled and attached to, probably different parasite </t>
  </si>
  <si>
    <t xml:space="preserve">I in 10 </t>
  </si>
  <si>
    <t>ABIN3215212</t>
  </si>
  <si>
    <t>anti-Cr1 a2</t>
  </si>
  <si>
    <t>Attachment frequency per egress</t>
  </si>
  <si>
    <t xml:space="preserve">Mean detachment force </t>
  </si>
  <si>
    <t xml:space="preserve">EEJR0107a </t>
  </si>
  <si>
    <t xml:space="preserve">EEJR0107c </t>
  </si>
  <si>
    <t xml:space="preserve">EEJR0107f </t>
  </si>
  <si>
    <t xml:space="preserve">EEJR0107g </t>
  </si>
  <si>
    <t xml:space="preserve">EEJR0107i </t>
  </si>
  <si>
    <t>2022.03.24</t>
  </si>
  <si>
    <t>KORH2a</t>
  </si>
  <si>
    <t>2022.03.25</t>
  </si>
  <si>
    <t>2022.03.26</t>
  </si>
  <si>
    <t>2022.03.27</t>
  </si>
  <si>
    <t>2022.03.28</t>
  </si>
  <si>
    <t>2022.03.29</t>
  </si>
  <si>
    <t>2022.03.30</t>
  </si>
  <si>
    <t>2022.03.31</t>
  </si>
  <si>
    <t>2022.03.32</t>
  </si>
  <si>
    <t>EEJR0107b.I</t>
  </si>
  <si>
    <t>EEJR0107b.Iix</t>
  </si>
  <si>
    <t>EEJR0107bII.y</t>
  </si>
  <si>
    <t>EEJR0107bIII</t>
  </si>
  <si>
    <t>EEJR0107bIV.x</t>
  </si>
  <si>
    <t>EEJR0107bIV.y</t>
  </si>
  <si>
    <t>EEJR0107d.1</t>
  </si>
  <si>
    <t>EEJR0107d.2</t>
  </si>
  <si>
    <t>EEJR0107eII.x</t>
  </si>
  <si>
    <t>EEJR0107eII.y</t>
  </si>
  <si>
    <t xml:space="preserve">b.I and b.Iiy same RBC </t>
  </si>
  <si>
    <t xml:space="preserve">II.x and III same RBC pulled </t>
  </si>
  <si>
    <t xml:space="preserve">II.xandy same IV.xandy RBC </t>
  </si>
  <si>
    <t>EEJR0107eI.y</t>
  </si>
  <si>
    <t>EEJR0107eI.x</t>
  </si>
  <si>
    <t xml:space="preserve">Doesn’t lie flat before pulled </t>
  </si>
  <si>
    <t>EEJR0107h.1</t>
  </si>
  <si>
    <t>EEJR0107h.2I</t>
  </si>
  <si>
    <t>EEJR0107h.2IIx</t>
  </si>
  <si>
    <t>EEJR0107h.2IIy</t>
  </si>
  <si>
    <t>EEJR00109a</t>
  </si>
  <si>
    <t>EEJR00109d</t>
  </si>
  <si>
    <t>EEJR00109e</t>
  </si>
  <si>
    <t>EEJR00109f</t>
  </si>
  <si>
    <t>EEJR00109g</t>
  </si>
  <si>
    <t>EEJR00109h</t>
  </si>
  <si>
    <t>EEJR00109i</t>
  </si>
  <si>
    <t>EEJR00109j</t>
  </si>
  <si>
    <t>EEJR00109k</t>
  </si>
  <si>
    <t>2022.04.01</t>
  </si>
  <si>
    <t>EEJR00109c.2</t>
  </si>
  <si>
    <t>EEJR00109c.1</t>
  </si>
  <si>
    <t xml:space="preserve">See note </t>
  </si>
  <si>
    <t>EEJR0110a</t>
  </si>
  <si>
    <t>EEJR0110c</t>
  </si>
  <si>
    <t>EEJR0110d</t>
  </si>
  <si>
    <t>EEJR0110e</t>
  </si>
  <si>
    <t>EEJR0110f</t>
  </si>
  <si>
    <t>EEJR0110h</t>
  </si>
  <si>
    <t>EEJR0110i</t>
  </si>
  <si>
    <t>EEJR0110k</t>
  </si>
  <si>
    <t>EEJR0110l</t>
  </si>
  <si>
    <t>2022.04.05</t>
  </si>
  <si>
    <t>Just before start</t>
  </si>
  <si>
    <t>EEJR0110g.x</t>
  </si>
  <si>
    <t xml:space="preserve">EEJR0110g.y </t>
  </si>
  <si>
    <t xml:space="preserve">EEJR0110j.y </t>
  </si>
  <si>
    <t xml:space="preserve">Several cases of two RBC attached small possibility merizoite between them </t>
  </si>
  <si>
    <t>EEJR0079g.x</t>
  </si>
  <si>
    <t>EEJR0079g.y</t>
  </si>
  <si>
    <t>updated 17/05/22</t>
  </si>
  <si>
    <t>No = 0.1583</t>
  </si>
  <si>
    <t>No = 0.0563</t>
  </si>
  <si>
    <t xml:space="preserve">No = 0.1014 </t>
  </si>
  <si>
    <t>EEJR0115a</t>
  </si>
  <si>
    <t xml:space="preserve">2022.05.10 </t>
  </si>
  <si>
    <t>Nf54 - Duffy negative 985 fya-b-</t>
  </si>
  <si>
    <t xml:space="preserve">I and II same RBcs and parasite </t>
  </si>
  <si>
    <t>EEJR0115b.I</t>
  </si>
  <si>
    <t>EEJR0115b.II</t>
  </si>
  <si>
    <t>EEJR0115c.I</t>
  </si>
  <si>
    <t>EEJR0115c.II</t>
  </si>
  <si>
    <t xml:space="preserve">didn’t detach on first pull, pulled more and then kind of fell off </t>
  </si>
  <si>
    <t>EEJR0115d.1</t>
  </si>
  <si>
    <t>EEJR0115d.2</t>
  </si>
  <si>
    <t>one attahcmnet detached but both RBC stuck to glass</t>
  </si>
  <si>
    <t>EEJR0115e</t>
  </si>
  <si>
    <t>EEJR0115f</t>
  </si>
  <si>
    <t>EEJR0115g</t>
  </si>
  <si>
    <t>EEJR0115k</t>
  </si>
  <si>
    <t>EEJR0115l</t>
  </si>
  <si>
    <t xml:space="preserve">attached via two parasites </t>
  </si>
  <si>
    <t xml:space="preserve">No measurable attchments </t>
  </si>
  <si>
    <t>EEJR0115h.2</t>
  </si>
  <si>
    <t>EEJR0115h.1</t>
  </si>
  <si>
    <t>EEJR0115i.x</t>
  </si>
  <si>
    <t>EEJR0115i.y</t>
  </si>
  <si>
    <t xml:space="preserve">EEJR0115jI </t>
  </si>
  <si>
    <t>EEJR0115jII</t>
  </si>
  <si>
    <t>EEJR0115jIII</t>
  </si>
  <si>
    <t>EEJR0115jIV</t>
  </si>
  <si>
    <t xml:space="preserve">IV different RBC pulled </t>
  </si>
  <si>
    <t xml:space="preserve">I , II , III and IV same RBC but cannot tell if same parasite </t>
  </si>
  <si>
    <t>EEJR0119c</t>
  </si>
  <si>
    <t xml:space="preserve">2022.07.08 </t>
  </si>
  <si>
    <t>cKOAMA1</t>
  </si>
  <si>
    <t xml:space="preserve">DMSO </t>
  </si>
  <si>
    <t>attchments</t>
  </si>
  <si>
    <t>EEJR0119aI.x</t>
  </si>
  <si>
    <t>EEJR0119aI.y</t>
  </si>
  <si>
    <t>EEJR0119aII.x</t>
  </si>
  <si>
    <t>EEJR0119aII.y</t>
  </si>
  <si>
    <t>EEJR0119aIV.x</t>
  </si>
  <si>
    <t>EEJR0119aIV.y</t>
  </si>
  <si>
    <t>EEJR0119aIII.x</t>
  </si>
  <si>
    <t>EEJR0119aIII.y</t>
  </si>
  <si>
    <t xml:space="preserve">III.y and II.y same RBC </t>
  </si>
  <si>
    <t xml:space="preserve">IV.x and I.y same RBC </t>
  </si>
  <si>
    <t>EEJR0119bII.x</t>
  </si>
  <si>
    <t>EEJR0119bII.y</t>
  </si>
  <si>
    <t>EEJR0119bI.x</t>
  </si>
  <si>
    <t>EEJR0119bI.y</t>
  </si>
  <si>
    <t>No egress</t>
  </si>
  <si>
    <t xml:space="preserve">pulled many times </t>
  </si>
  <si>
    <t>EEJR0119d.x</t>
  </si>
  <si>
    <t>EEJR0119d.y</t>
  </si>
  <si>
    <t>EEJR0119eI.x</t>
  </si>
  <si>
    <t>EEJR0119eII.x</t>
  </si>
  <si>
    <t>EEJR0119eI.y</t>
  </si>
  <si>
    <t>EEJR0119eII.y</t>
  </si>
  <si>
    <t>EEJR0119f.Ix</t>
  </si>
  <si>
    <t>EEJR0119fII.x</t>
  </si>
  <si>
    <t>EEJR0119fII.y</t>
  </si>
  <si>
    <t>EEJR0119f.Iy</t>
  </si>
  <si>
    <t xml:space="preserve">i.x and II.y same RBC and I.y and II.x same RBC same parasite </t>
  </si>
  <si>
    <t>EEJR0119gI.x</t>
  </si>
  <si>
    <t>EEJR0119gI.y</t>
  </si>
  <si>
    <t>EEJR0119gII.x</t>
  </si>
  <si>
    <t>EEJR0119gII.y</t>
  </si>
  <si>
    <t>EEJR0119gIII.x</t>
  </si>
  <si>
    <t>EEJR0119gIII.y</t>
  </si>
  <si>
    <t>EEJR0119gIV.x</t>
  </si>
  <si>
    <t>EEJR0119gIV.y</t>
  </si>
  <si>
    <t xml:space="preserve">I.x and II.x same RBC and I.y and II.y same RBC and same parsite </t>
  </si>
  <si>
    <t xml:space="preserve">pulled many times II.y and IV.y same RBC. Different parsite </t>
  </si>
  <si>
    <t>EEJR0119h</t>
  </si>
  <si>
    <t>Rap</t>
  </si>
  <si>
    <t>EEJR0119i</t>
  </si>
  <si>
    <t>EEJR0119j</t>
  </si>
  <si>
    <t>EEJR0119k</t>
  </si>
  <si>
    <t>EEJR0119l</t>
  </si>
  <si>
    <t>EEJR0119n</t>
  </si>
  <si>
    <t>EEJR0119p</t>
  </si>
  <si>
    <t xml:space="preserve">Same RBC pulled in I, II and III. I and II same RBC attched to and parsite. III different </t>
  </si>
  <si>
    <t xml:space="preserve">RBC attched to slide </t>
  </si>
  <si>
    <t>EEJR0119j.3</t>
  </si>
  <si>
    <t xml:space="preserve">No  attachment </t>
  </si>
  <si>
    <t xml:space="preserve">Are attachments not measured </t>
  </si>
  <si>
    <t xml:space="preserve">Pulled multiple times </t>
  </si>
  <si>
    <t>EEJR0119m.x</t>
  </si>
  <si>
    <t xml:space="preserve">EEJR0119m.y </t>
  </si>
  <si>
    <t>EEJR0119oII</t>
  </si>
  <si>
    <t>EEJR0119oI</t>
  </si>
  <si>
    <t>EEJR0119oIII</t>
  </si>
  <si>
    <t xml:space="preserve">I and III same RBC pulled </t>
  </si>
  <si>
    <t>EEJR0119qII.x</t>
  </si>
  <si>
    <t>EEJR0119qII.y</t>
  </si>
  <si>
    <t>EEJR0119qI</t>
  </si>
  <si>
    <t>EEJR0119qIII.x</t>
  </si>
  <si>
    <t>EEJR0119qIII.y</t>
  </si>
  <si>
    <t xml:space="preserve">I and II.y same RBC pulled </t>
  </si>
  <si>
    <t>EEJR0120a</t>
  </si>
  <si>
    <t>EEJR0120c</t>
  </si>
  <si>
    <t>EEJR0120g</t>
  </si>
  <si>
    <t>EEJR0120h</t>
  </si>
  <si>
    <t>EEJR0120i</t>
  </si>
  <si>
    <t xml:space="preserve">2022.07.15 </t>
  </si>
  <si>
    <t>EEJR0120b.I</t>
  </si>
  <si>
    <t>EEJR0120b.II</t>
  </si>
  <si>
    <t>EEJR0120b.III</t>
  </si>
  <si>
    <t>EEJR0120b.IV</t>
  </si>
  <si>
    <t xml:space="preserve">I, II, III same RBC pulled and attached to. I, II, III and IV same RBC pulled but attched to different RBC </t>
  </si>
  <si>
    <t>EEJR0120cI.x</t>
  </si>
  <si>
    <t xml:space="preserve">EEJR0120cI.y </t>
  </si>
  <si>
    <t xml:space="preserve">I.x and II same RBC pulled. RBC attached to undergoing echronocytosis </t>
  </si>
  <si>
    <t>EEJR0120dI.x</t>
  </si>
  <si>
    <t>EEJR0120dI.y</t>
  </si>
  <si>
    <t>EEJR0120dII</t>
  </si>
  <si>
    <t>EEJR0120dIII.x</t>
  </si>
  <si>
    <t>EEJR0120dIII.y</t>
  </si>
  <si>
    <t>EEJR0120dIV.x</t>
  </si>
  <si>
    <t xml:space="preserve">EEJR0120dIV.y </t>
  </si>
  <si>
    <t xml:space="preserve">I, III and IV same RBC pulled. Y counted as x partly out of fucous </t>
  </si>
  <si>
    <t xml:space="preserve">I and II same RBC pulled but attached to different RBC not sure about merizoite </t>
  </si>
  <si>
    <t xml:space="preserve">I and II  same RBC and parasite </t>
  </si>
  <si>
    <t>EEJR0120eI</t>
  </si>
  <si>
    <t>EEJR0120eII</t>
  </si>
  <si>
    <t>EEJR0120fI</t>
  </si>
  <si>
    <t>EEJR0120fII</t>
  </si>
  <si>
    <t>EEJR0120fIII.x</t>
  </si>
  <si>
    <t>EEJR0120fIII.y</t>
  </si>
  <si>
    <t xml:space="preserve">III.y and II/I RBC pulled the same and same parasite </t>
  </si>
  <si>
    <t>EEJR0120gI.x</t>
  </si>
  <si>
    <t>EEJR0120gI.y</t>
  </si>
  <si>
    <t xml:space="preserve">I, II, III and IV same RBC pulled and parasite </t>
  </si>
  <si>
    <t>EEJR0120iI.x</t>
  </si>
  <si>
    <t xml:space="preserve">EEJR0120iI.y </t>
  </si>
  <si>
    <t xml:space="preserve">I, II and IV same RBC pulled, attached to and parasite </t>
  </si>
  <si>
    <t>EEJR0120jI</t>
  </si>
  <si>
    <t>EEJR0120jII</t>
  </si>
  <si>
    <t>EEJR0120jIII</t>
  </si>
  <si>
    <t>EEJR0120jIV</t>
  </si>
  <si>
    <t>EEJR0120jV</t>
  </si>
  <si>
    <t>EEJR0120jVI</t>
  </si>
  <si>
    <t>EEJR0120jVII</t>
  </si>
  <si>
    <t>EEJR0120jVIII</t>
  </si>
  <si>
    <t xml:space="preserve">V and VI, VII and VIII  same RBC pulled </t>
  </si>
  <si>
    <t xml:space="preserve">I/II and III and V and VI, VII and VIII same parasites and RBC attached to but different RBC pulled </t>
  </si>
  <si>
    <t>EEJR0120L</t>
  </si>
  <si>
    <t>EEJR0120m</t>
  </si>
  <si>
    <t>EEJR0120n</t>
  </si>
  <si>
    <t>EEJR0120p</t>
  </si>
  <si>
    <t>EEJR0120q</t>
  </si>
  <si>
    <t>EEJR0120r</t>
  </si>
  <si>
    <t>EEJR0120k.1</t>
  </si>
  <si>
    <t>EEJR0120k.2</t>
  </si>
  <si>
    <t>EEJR0120o.1</t>
  </si>
  <si>
    <t>EEJR0120o.2</t>
  </si>
  <si>
    <t>EEJR0120o.3I</t>
  </si>
  <si>
    <t>EEJR0120o.3IIx</t>
  </si>
  <si>
    <t>EEJR0120o.3II.y</t>
  </si>
  <si>
    <t>EEJR0110m.x</t>
  </si>
  <si>
    <t>EEJR0110m.y</t>
  </si>
  <si>
    <t>EEJR0120s.x</t>
  </si>
  <si>
    <t>EEJR0120s.y</t>
  </si>
  <si>
    <t>EEJR0120tII</t>
  </si>
  <si>
    <t>EEJR0120tI</t>
  </si>
  <si>
    <t>EEJR0120tIII</t>
  </si>
  <si>
    <t xml:space="preserve">I, II and III same RBC pulled </t>
  </si>
  <si>
    <t>EEJR0133b</t>
  </si>
  <si>
    <t>EEJR0133c</t>
  </si>
  <si>
    <t>EEJR0133g</t>
  </si>
  <si>
    <t>EEJR0133j</t>
  </si>
  <si>
    <t>EEJR0133l</t>
  </si>
  <si>
    <t>EEJR0133a1.II</t>
  </si>
  <si>
    <t>2022.09.22</t>
  </si>
  <si>
    <t>EEJR0133bII.x</t>
  </si>
  <si>
    <t xml:space="preserve">EEJR0133bII.y </t>
  </si>
  <si>
    <t>KOP230P C3</t>
  </si>
  <si>
    <t>EEJR0133dII.x</t>
  </si>
  <si>
    <t>EEJR0133dII.y</t>
  </si>
  <si>
    <t xml:space="preserve">Out of focus on detachment </t>
  </si>
  <si>
    <t>EEJR0133e.x</t>
  </si>
  <si>
    <t>EEJR0133e.y</t>
  </si>
  <si>
    <t xml:space="preserve">EEJR0133a1.I.x </t>
  </si>
  <si>
    <t xml:space="preserve">EEJR0133a1.I.y </t>
  </si>
  <si>
    <t>Two RBC pulled but x ouut od focus. Y RBC same as I.y</t>
  </si>
  <si>
    <t>EEJR0133a.2.x</t>
  </si>
  <si>
    <t>EEJR0133a.2.y</t>
  </si>
  <si>
    <t xml:space="preserve">2.y same as I.y and II </t>
  </si>
  <si>
    <t>x when enchioctyic for fase after attachment so count y</t>
  </si>
  <si>
    <t>EEJR0133dI.x</t>
  </si>
  <si>
    <t>EEJR0133dI.y</t>
  </si>
  <si>
    <t>EEJR0133f.x</t>
  </si>
  <si>
    <t xml:space="preserve">EEJR0133f.y </t>
  </si>
  <si>
    <t>EEJR0133f.2</t>
  </si>
  <si>
    <t>EEJR0133iIII.x</t>
  </si>
  <si>
    <t>EEJR0133iIII.y</t>
  </si>
  <si>
    <t>EEJR0133iII</t>
  </si>
  <si>
    <t>EEJR0133iIV.x</t>
  </si>
  <si>
    <t>EEJR0133iIV.y</t>
  </si>
  <si>
    <t>EEJR0133iV.x</t>
  </si>
  <si>
    <t>EEJR0133iV.y</t>
  </si>
  <si>
    <t>EEJR0133k.x</t>
  </si>
  <si>
    <t>EEJR0133k.y</t>
  </si>
  <si>
    <t xml:space="preserve">cKOAMA1 DMSO </t>
  </si>
  <si>
    <t xml:space="preserve">cKOAMA1 Rap </t>
  </si>
  <si>
    <t>EEJR0133iI.y</t>
  </si>
  <si>
    <t>EEJR0133iI.x</t>
  </si>
  <si>
    <t xml:space="preserve">I.x and III.x same RBC pulled </t>
  </si>
  <si>
    <t xml:space="preserve">II and IV.x same RBC </t>
  </si>
  <si>
    <t xml:space="preserve">IV and V same RBCs </t>
  </si>
  <si>
    <t>EEJR0134a</t>
  </si>
  <si>
    <t>EEJR0134b</t>
  </si>
  <si>
    <t>EEJR0134d</t>
  </si>
  <si>
    <t>EEJR0134e</t>
  </si>
  <si>
    <t>EEJR0134h</t>
  </si>
  <si>
    <t>EEJR0134j</t>
  </si>
  <si>
    <t>EEJR0134k</t>
  </si>
  <si>
    <t>2022.09.23</t>
  </si>
  <si>
    <t xml:space="preserve">RBC that it was attached to came off the glass slide as it detached </t>
  </si>
  <si>
    <t xml:space="preserve">One detached strangly </t>
  </si>
  <si>
    <t>EEJR0134fII</t>
  </si>
  <si>
    <t>EEJR0134f.2I</t>
  </si>
  <si>
    <t>EEJR0134f.2II</t>
  </si>
  <si>
    <t>EEJR0134gI</t>
  </si>
  <si>
    <t>EEJR0134gII.x</t>
  </si>
  <si>
    <t>EEJR0134gII.y</t>
  </si>
  <si>
    <t>EEJR0134gIII</t>
  </si>
  <si>
    <t xml:space="preserve">In one both RBC were attached to slide </t>
  </si>
  <si>
    <t>EEJR0134i.y</t>
  </si>
  <si>
    <t>EEJR0134i.x</t>
  </si>
  <si>
    <t>EEJR0134iII.y</t>
  </si>
  <si>
    <t>EEJR0134iII.x</t>
  </si>
  <si>
    <t>EEJR0134c.x</t>
  </si>
  <si>
    <t>EEJR0134c.y</t>
  </si>
  <si>
    <t>EEJR0134fI.x</t>
  </si>
  <si>
    <t>EEJR0134fI.y</t>
  </si>
  <si>
    <t>I.y and II same RBC pulled</t>
  </si>
  <si>
    <t>2.I and 2.II same RBC pulled</t>
  </si>
  <si>
    <t>II.y and III same RBC pulled</t>
  </si>
  <si>
    <t xml:space="preserve">II.x and IV same RBC pulled </t>
  </si>
  <si>
    <t xml:space="preserve">I.x and II.x and III.x  / I.y and II.y and III.y same RBC </t>
  </si>
  <si>
    <t>EEJR0130b</t>
  </si>
  <si>
    <t>EEJR0130c</t>
  </si>
  <si>
    <t>EEJR0130i</t>
  </si>
  <si>
    <t>EEJR0130j</t>
  </si>
  <si>
    <t>2022.10.07</t>
  </si>
  <si>
    <t>EEJR0130a.x</t>
  </si>
  <si>
    <t>EEJR0130a.y</t>
  </si>
  <si>
    <t>EEJR0130dII</t>
  </si>
  <si>
    <t>EEJR0130dI</t>
  </si>
  <si>
    <t>EEJR0130f.1</t>
  </si>
  <si>
    <t>EEJR0130f.2</t>
  </si>
  <si>
    <t>EEJR0130g.1</t>
  </si>
  <si>
    <t>EEJR0130g.2</t>
  </si>
  <si>
    <t xml:space="preserve">skipping in video over egress and possible attachment </t>
  </si>
  <si>
    <t>EEJR0130hI</t>
  </si>
  <si>
    <t>EEJR0130hII</t>
  </si>
  <si>
    <t>EEJR0130hIII</t>
  </si>
  <si>
    <t>EEJR0130hIV</t>
  </si>
  <si>
    <t>EEJR0130lI.x</t>
  </si>
  <si>
    <t>EEJR0130lI.y</t>
  </si>
  <si>
    <t>EEJR0130lII.x</t>
  </si>
  <si>
    <t>EEJR0130lII.y</t>
  </si>
  <si>
    <t xml:space="preserve">Pulled RBC very donut shapped </t>
  </si>
  <si>
    <t>EEJR0130dIII</t>
  </si>
  <si>
    <t>EEJR0130dVI.x</t>
  </si>
  <si>
    <t>EEJR0130dVI.y</t>
  </si>
  <si>
    <t xml:space="preserve">Pulled RBC very donut shapped. II and III same RBC pulled </t>
  </si>
  <si>
    <t xml:space="preserve">II, III and VI.y same RBC </t>
  </si>
  <si>
    <t xml:space="preserve">I and II and III same RBC pulled, parasite and attached to RBC </t>
  </si>
  <si>
    <t xml:space="preserve">I/II/III and IV same parasite and RBC attached to different RBC ulled </t>
  </si>
  <si>
    <t>EEJR0130k.y</t>
  </si>
  <si>
    <t>EEJR0130k.x</t>
  </si>
  <si>
    <t xml:space="preserve">I and II same RBC pulled and parasite </t>
  </si>
  <si>
    <t xml:space="preserve">I and II same RBC pulled, second RBC stretched but attached to another so not measured </t>
  </si>
  <si>
    <t>EEJR0130mIII.x</t>
  </si>
  <si>
    <t>EEJR0130mIII.y</t>
  </si>
  <si>
    <t>EEJR0130mII</t>
  </si>
  <si>
    <t>EEJR0130mI</t>
  </si>
  <si>
    <t xml:space="preserve">I/II RBC pulled same III.x </t>
  </si>
  <si>
    <t>2022.09.28</t>
  </si>
  <si>
    <t>KOPfs25 C1</t>
  </si>
  <si>
    <t>EEJR0126b</t>
  </si>
  <si>
    <t>EEJR0126c</t>
  </si>
  <si>
    <t>EEJR0126d</t>
  </si>
  <si>
    <t>EEJR0126e</t>
  </si>
  <si>
    <t>EEJR0126g</t>
  </si>
  <si>
    <t>EEJR0126h</t>
  </si>
  <si>
    <t>EEJR0126a.y</t>
  </si>
  <si>
    <t>EEJR0126a.x</t>
  </si>
  <si>
    <t xml:space="preserve">One possibel RBC-RBC contact </t>
  </si>
  <si>
    <t>EEJR0126iII</t>
  </si>
  <si>
    <t>EEJR0126iI</t>
  </si>
  <si>
    <t>EEJR0126jI.y</t>
  </si>
  <si>
    <t>EEJR0126jI.x</t>
  </si>
  <si>
    <t>EEJR0126jII.x</t>
  </si>
  <si>
    <t>EEJR0126jII.y</t>
  </si>
  <si>
    <t>EEJR0126k.x</t>
  </si>
  <si>
    <t>EEJR0126k.y</t>
  </si>
  <si>
    <t xml:space="preserve">2022.10.06 </t>
  </si>
  <si>
    <t>EEJR0129b</t>
  </si>
  <si>
    <t xml:space="preserve">EEJR0129c </t>
  </si>
  <si>
    <t xml:space="preserve">EEJR0129d </t>
  </si>
  <si>
    <t xml:space="preserve">EEJR0129e </t>
  </si>
  <si>
    <t xml:space="preserve">EEJR0129f </t>
  </si>
  <si>
    <t>EEJR0129g</t>
  </si>
  <si>
    <t>EEJR0129h</t>
  </si>
  <si>
    <t xml:space="preserve">EEJR0129j </t>
  </si>
  <si>
    <t xml:space="preserve">EEJR0129k </t>
  </si>
  <si>
    <t xml:space="preserve">EEJR0129m </t>
  </si>
  <si>
    <t>EEJR0129aI.y</t>
  </si>
  <si>
    <t>EEJR0129aI.x</t>
  </si>
  <si>
    <t xml:space="preserve">Seemed to stretch more prior to detachment </t>
  </si>
  <si>
    <t>EEJR0129aII.x</t>
  </si>
  <si>
    <t>EEJR0129aII.y</t>
  </si>
  <si>
    <t>EEJR0129aIII.x</t>
  </si>
  <si>
    <t>EEJR0129aIII.y</t>
  </si>
  <si>
    <t>EEJR0129aVI.x</t>
  </si>
  <si>
    <t>EEJR0129aVI.y</t>
  </si>
  <si>
    <t xml:space="preserve">Possible this is RBC attached </t>
  </si>
  <si>
    <t xml:space="preserve">RBC-RBC attachment </t>
  </si>
  <si>
    <t>EEJR0129iII.x</t>
  </si>
  <si>
    <t>EEJR0129iII.y</t>
  </si>
  <si>
    <t>EEJR0129iI</t>
  </si>
  <si>
    <t>EEJR0129lI.x</t>
  </si>
  <si>
    <t>EEJR0129l I.y</t>
  </si>
  <si>
    <t>EEJR0129lII.x</t>
  </si>
  <si>
    <t>EEJR0129lII.y</t>
  </si>
  <si>
    <t>EEJR0129lIII.x</t>
  </si>
  <si>
    <t>EEJR0129lIII.y</t>
  </si>
  <si>
    <t xml:space="preserve">Was RBC-RBC attachment </t>
  </si>
  <si>
    <t>EEJR0126f.x</t>
  </si>
  <si>
    <t xml:space="preserve">Pulled and definly attached but on detachment pulling measured negative </t>
  </si>
  <si>
    <t xml:space="preserve">Using as x RBC not very circular </t>
  </si>
  <si>
    <t xml:space="preserve">2022.09.29 </t>
  </si>
  <si>
    <t>KOPfs25 C2</t>
  </si>
  <si>
    <t>EEJR0127b</t>
  </si>
  <si>
    <t>EEJR0127c</t>
  </si>
  <si>
    <t>EEJR0127d</t>
  </si>
  <si>
    <t>EEJR0127e</t>
  </si>
  <si>
    <t>EEJR0127g</t>
  </si>
  <si>
    <t>EEJR0127h</t>
  </si>
  <si>
    <t>EEJR0127i</t>
  </si>
  <si>
    <t>EEJR0127fI</t>
  </si>
  <si>
    <t xml:space="preserve">One pulled and on second pull sort fell off so not measured </t>
  </si>
  <si>
    <t>EEJR0127jII.x</t>
  </si>
  <si>
    <t>EEJR0127jII.y</t>
  </si>
  <si>
    <t>EEJR0127kI</t>
  </si>
  <si>
    <t>EEJR0127kII.x</t>
  </si>
  <si>
    <t xml:space="preserve">EEJR0127kII.y </t>
  </si>
  <si>
    <t xml:space="preserve">Seemed to stretch more prior to detachment. I.x and II.x same RBC </t>
  </si>
  <si>
    <t xml:space="preserve">I.y and III.x same RBC </t>
  </si>
  <si>
    <t xml:space="preserve">counting y as x undergoes enchinocytosis after shortly detahcment </t>
  </si>
  <si>
    <t xml:space="preserve">II.x and VI.x same RBC </t>
  </si>
  <si>
    <t xml:space="preserve">Attache to echinocytic RBC, pulled RBC quiet biconcave </t>
  </si>
  <si>
    <t xml:space="preserve">I and II.x same RBc and think same parasite </t>
  </si>
  <si>
    <t>EEJR0129lVI</t>
  </si>
  <si>
    <t>EEJR0129lV</t>
  </si>
  <si>
    <t>I.y and II.y same RBC</t>
  </si>
  <si>
    <t xml:space="preserve">III/II x/y same RBCs and parasite </t>
  </si>
  <si>
    <t xml:space="preserve">IV and V same RBcs and parasite </t>
  </si>
  <si>
    <t>EEJR0127a.x</t>
  </si>
  <si>
    <t xml:space="preserve">EEJR0127a.y </t>
  </si>
  <si>
    <t>EEJR0127fII.y</t>
  </si>
  <si>
    <t xml:space="preserve">x not stretched, stretch mre one previous pull </t>
  </si>
  <si>
    <t>EEJR0127jI.x</t>
  </si>
  <si>
    <t>EEJR0127jI.y</t>
  </si>
  <si>
    <t xml:space="preserve">% atatchment per egress </t>
  </si>
  <si>
    <t xml:space="preserve">2022.10.07 </t>
  </si>
  <si>
    <t>EEJR0125a</t>
  </si>
  <si>
    <t>EEJR0125b</t>
  </si>
  <si>
    <t>EEJR0125d</t>
  </si>
  <si>
    <t>EEJR0125f</t>
  </si>
  <si>
    <t>EEJR0125h</t>
  </si>
  <si>
    <t>EEJR0125i</t>
  </si>
  <si>
    <t>EEJR0125j</t>
  </si>
  <si>
    <t>EEJR0125k</t>
  </si>
  <si>
    <t>EEJR0125cI.x</t>
  </si>
  <si>
    <t xml:space="preserve">EEJR0125cI.y </t>
  </si>
  <si>
    <t>EEJR0125cII</t>
  </si>
  <si>
    <t>EEJR0125eI.x</t>
  </si>
  <si>
    <t xml:space="preserve">EEJR0125eI.y </t>
  </si>
  <si>
    <t>EEJR0125eII</t>
  </si>
  <si>
    <t>EEJR0125eIII</t>
  </si>
  <si>
    <t>EEJR0125eIV</t>
  </si>
  <si>
    <t xml:space="preserve">One attached but both RBC attached to slide so not stretched </t>
  </si>
  <si>
    <t>EEJR0125eV.x</t>
  </si>
  <si>
    <t>EEJR0125eV.y</t>
  </si>
  <si>
    <t>EEJR0125gII</t>
  </si>
  <si>
    <t>EEJR0125gI</t>
  </si>
  <si>
    <t>**</t>
  </si>
  <si>
    <t>EEJR0125gIII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</si>
</sst>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7" x14ac:knownFonts="1">
    <font>
      <sz val="11"/>
      <color theme="1"/>
      <name val="Calibri"/>
      <family val="2"/>
      <scheme val="minor"/>
    </font>
    <font>
      <b/>
      <sz val="11"/>
      <color theme="1"/>
      <name val="Calibri"/>
      <family val="2"/>
      <scheme val="minor"/>
    </font>
    <font>
      <sz val="12"/>
      <color theme="1"/>
      <name val="Calibri"/>
      <family val="2"/>
      <scheme val="minor"/>
    </font>
    <font>
      <b/>
      <sz val="12"/>
      <color theme="1"/>
      <name val="Calibri"/>
      <family val="2"/>
      <scheme val="minor"/>
    </font>
    <font>
      <sz val="11"/>
      <color rgb="FFFF0000"/>
      <name val="Calibri"/>
      <family val="2"/>
      <scheme val="minor"/>
    </font>
    <font>
      <sz val="11"/>
      <name val="Calibri"/>
      <family val="2"/>
      <scheme val="minor"/>
    </font>
    <font>
      <sz val="11"/>
      <color theme="3"/>
      <name val="Calibri"/>
      <family val="2"/>
      <scheme val="minor"/>
    </font>
    <font>
      <sz val="11"/>
      <color theme="2" tint="-0.499984740745262"/>
      <name val="Calibri"/>
      <family val="2"/>
      <scheme val="minor"/>
    </font>
    <font>
      <b/>
      <sz val="11"/>
      <color rgb="FFFF0000"/>
      <name val="Calibri"/>
      <family val="2"/>
      <scheme val="minor"/>
    </font>
    <font>
      <sz val="11"/>
      <color theme="0" tint="-0.249977111117893"/>
      <name val="Calibri"/>
      <family val="2"/>
      <scheme val="minor"/>
    </font>
    <font>
      <b/>
      <sz val="11"/>
      <name val="Calibri"/>
      <family val="2"/>
      <scheme val="minor"/>
    </font>
    <font>
      <b/>
      <sz val="11"/>
      <color theme="2" tint="-0.499984740745262"/>
      <name val="Calibri"/>
      <family val="2"/>
      <scheme val="minor"/>
    </font>
    <font>
      <b/>
      <sz val="11"/>
      <color theme="1"/>
      <name val="Calibri"/>
      <family val="2"/>
      <scheme val="minor"/>
    </font>
    <font>
      <b/>
      <sz val="11"/>
      <color theme="3"/>
      <name val="Calibri"/>
      <family val="2"/>
      <scheme val="minor"/>
    </font>
    <font>
      <sz val="11"/>
      <color theme="4" tint="-0.249977111117893"/>
      <name val="Calibri"/>
      <family val="2"/>
      <scheme val="minor"/>
    </font>
    <font>
      <b/>
      <sz val="11"/>
      <color theme="4" tint="-0.249977111117893"/>
      <name val="Calibri"/>
      <family val="2"/>
      <scheme val="minor"/>
    </font>
    <font>
      <sz val="11"/>
      <color theme="2" tint="-9.9978637043366805E-2"/>
      <name val="Calibri"/>
      <family val="2"/>
      <scheme val="minor"/>
    </font>
    <font>
      <b/>
      <sz val="11"/>
      <color theme="2" tint="-9.9978637043366805E-2"/>
      <name val="Calibri"/>
      <family val="2"/>
      <scheme val="minor"/>
    </font>
    <font>
      <sz val="11"/>
      <color theme="0" tint="-0.34998626667073579"/>
      <name val="Calibri"/>
      <family val="2"/>
      <scheme val="minor"/>
    </font>
    <font>
      <b/>
      <sz val="11"/>
      <color theme="0" tint="-0.34998626667073579"/>
      <name val="Calibri"/>
      <family val="2"/>
      <scheme val="minor"/>
    </font>
    <font>
      <sz val="11"/>
      <color theme="2" tint="-0.249977111117893"/>
      <name val="Calibri"/>
      <family val="2"/>
      <scheme val="minor"/>
    </font>
    <font>
      <b/>
      <sz val="11"/>
      <color theme="2" tint="-0.249977111117893"/>
      <name val="Calibri"/>
      <family val="2"/>
      <scheme val="minor"/>
    </font>
    <font>
      <sz val="11"/>
      <color theme="6"/>
      <name val="Calibri"/>
      <family val="2"/>
      <scheme val="minor"/>
    </font>
    <font>
      <b/>
      <sz val="11"/>
      <color theme="6"/>
      <name val="Calibri"/>
      <family val="2"/>
      <scheme val="minor"/>
    </font>
    <font>
      <sz val="11"/>
      <color rgb="FF3399FF"/>
      <name val="Calibri"/>
      <family val="2"/>
      <scheme val="minor"/>
    </font>
    <font>
      <sz val="11"/>
      <color rgb="FF6C6FDE"/>
      <name val="Calibri"/>
      <family val="2"/>
      <scheme val="minor"/>
    </font>
    <font>
      <sz val="11"/>
      <color rgb="FF92D050"/>
      <name val="Calibri"/>
      <family val="2"/>
      <scheme val="minor"/>
    </font>
    <font>
      <sz val="11"/>
      <color rgb="FF9FE9DE"/>
      <name val="Calibri"/>
      <family val="2"/>
      <scheme val="minor"/>
    </font>
    <font>
      <sz val="11"/>
      <color rgb="FFEEC98E"/>
      <name val="Calibri"/>
      <family val="2"/>
      <scheme val="minor"/>
    </font>
    <font>
      <sz val="11"/>
      <color rgb="FFBF09F1"/>
      <name val="Calibri"/>
      <family val="2"/>
      <scheme val="minor"/>
    </font>
    <font>
      <b/>
      <sz val="11"/>
      <color theme="0" tint="-0.249977111117893"/>
      <name val="Calibri"/>
      <family val="2"/>
      <scheme val="minor"/>
    </font>
    <font>
      <sz val="11"/>
      <color theme="5"/>
      <name val="Calibri"/>
      <family val="2"/>
      <scheme val="minor"/>
    </font>
    <font>
      <b/>
      <sz val="11"/>
      <color theme="5"/>
      <name val="Calibri"/>
      <family val="2"/>
      <scheme val="minor"/>
    </font>
    <font>
      <b/>
      <sz val="11"/>
      <color theme="4" tint="0.39997558519241921"/>
      <name val="Calibri"/>
      <family val="2"/>
      <scheme val="minor"/>
    </font>
    <font>
      <b/>
      <sz val="11"/>
      <color rgb="FF6C6FDE"/>
      <name val="Calibri"/>
      <family val="2"/>
      <scheme val="minor"/>
    </font>
    <font>
      <sz val="11"/>
      <color theme="4"/>
      <name val="Calibri"/>
      <family val="2"/>
      <scheme val="minor"/>
    </font>
    <font>
      <b/>
      <sz val="11"/>
      <color theme="4"/>
      <name val="Calibri"/>
      <family val="2"/>
      <scheme val="minor"/>
    </font>
    <font>
      <sz val="11"/>
      <color rgb="FF00B0F0"/>
      <name val="Calibri"/>
      <family val="2"/>
      <scheme val="minor"/>
    </font>
    <font>
      <sz val="11"/>
      <color rgb="FF0070C0"/>
      <name val="Calibri"/>
      <family val="2"/>
      <scheme val="minor"/>
    </font>
    <font>
      <b/>
      <sz val="11"/>
      <color rgb="FF0070C0"/>
      <name val="Calibri"/>
      <family val="2"/>
      <scheme val="minor"/>
    </font>
    <font>
      <b/>
      <sz val="11"/>
      <color rgb="FF3399FF"/>
      <name val="Calibri"/>
      <family val="2"/>
      <scheme val="minor"/>
    </font>
    <font>
      <sz val="11"/>
      <color rgb="FFC00000"/>
      <name val="Calibri"/>
      <family val="2"/>
      <scheme val="minor"/>
    </font>
    <font>
      <b/>
      <sz val="11"/>
      <color rgb="FFC00000"/>
      <name val="Calibri"/>
      <family val="2"/>
      <scheme val="minor"/>
    </font>
    <font>
      <b/>
      <sz val="11"/>
      <color rgb="FF00B0F0"/>
      <name val="Calibri"/>
      <family val="2"/>
      <scheme val="minor"/>
    </font>
    <font>
      <b/>
      <sz val="11"/>
      <color rgb="FFBF09F1"/>
      <name val="Calibri"/>
      <family val="2"/>
      <scheme val="minor"/>
    </font>
    <font>
      <b/>
      <sz val="11"/>
      <color rgb="FF9FE9DE"/>
      <name val="Calibri"/>
      <family val="2"/>
      <scheme val="minor"/>
    </font>
    <font>
      <sz val="8"/>
      <name val="Calibri"/>
      <family val="2"/>
      <scheme val="minor"/>
    </font>
  </fonts>
  <fills count="18">
    <fill>
      <patternFill patternType="none"/>
    </fill>
    <fill>
      <patternFill patternType="gray125"/>
    </fill>
    <fill>
      <patternFill patternType="solid">
        <fgColor theme="0" tint="-0.249977111117893"/>
        <bgColor indexed="64"/>
      </patternFill>
    </fill>
    <fill>
      <patternFill patternType="solid">
        <fgColor theme="4" tint="0.59999389629810485"/>
        <bgColor indexed="64"/>
      </patternFill>
    </fill>
    <fill>
      <patternFill patternType="solid">
        <fgColor theme="0" tint="-0.34998626667073579"/>
        <bgColor indexed="64"/>
      </patternFill>
    </fill>
    <fill>
      <patternFill patternType="solid">
        <fgColor theme="2" tint="-0.249977111117893"/>
        <bgColor indexed="64"/>
      </patternFill>
    </fill>
    <fill>
      <patternFill patternType="solid">
        <fgColor theme="6"/>
        <bgColor indexed="64"/>
      </patternFill>
    </fill>
    <fill>
      <patternFill patternType="solid">
        <fgColor theme="8" tint="0.39997558519241921"/>
        <bgColor indexed="64"/>
      </patternFill>
    </fill>
    <fill>
      <patternFill patternType="solid">
        <fgColor theme="8" tint="0.59999389629810485"/>
        <bgColor indexed="64"/>
      </patternFill>
    </fill>
    <fill>
      <patternFill patternType="solid">
        <fgColor theme="0"/>
        <bgColor indexed="64"/>
      </patternFill>
    </fill>
    <fill>
      <patternFill patternType="solid">
        <fgColor theme="2" tint="-9.9978637043366805E-2"/>
        <bgColor indexed="64"/>
      </patternFill>
    </fill>
    <fill>
      <patternFill patternType="solid">
        <fgColor rgb="FF00B0F0"/>
        <bgColor indexed="64"/>
      </patternFill>
    </fill>
    <fill>
      <patternFill patternType="solid">
        <fgColor rgb="FFFFFF00"/>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rgb="FF9FE9DE"/>
        <bgColor indexed="64"/>
      </patternFill>
    </fill>
    <fill>
      <patternFill patternType="solid">
        <fgColor theme="9"/>
        <bgColor indexed="64"/>
      </patternFill>
    </fill>
    <fill>
      <patternFill patternType="solid">
        <fgColor theme="6" tint="0.59999389629810485"/>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diagonal/>
    </border>
    <border>
      <left/>
      <right/>
      <top/>
      <bottom style="thin">
        <color indexed="64"/>
      </bottom>
      <diagonal/>
    </border>
    <border>
      <left/>
      <right/>
      <top style="thin">
        <color indexed="64"/>
      </top>
      <bottom/>
      <diagonal/>
    </border>
    <border>
      <left style="thin">
        <color indexed="64"/>
      </left>
      <right/>
      <top/>
      <bottom/>
      <diagonal/>
    </border>
  </borders>
  <cellStyleXfs count="1">
    <xf numFmtId="0" fontId="0" fillId="0" borderId="0"/>
  </cellStyleXfs>
  <cellXfs count="241">
    <xf numFmtId="0" fontId="0" fillId="0" borderId="0" xfId="0"/>
    <xf numFmtId="0" fontId="0" fillId="0" borderId="0" xfId="0" applyAlignment="1">
      <alignment wrapText="1"/>
    </xf>
    <xf numFmtId="0" fontId="1" fillId="0" borderId="0" xfId="0" applyFont="1" applyAlignment="1">
      <alignment wrapText="1"/>
    </xf>
    <xf numFmtId="0" fontId="1" fillId="0" borderId="0" xfId="0" applyFont="1"/>
    <xf numFmtId="0" fontId="2" fillId="0" borderId="0" xfId="0" applyFont="1" applyAlignment="1">
      <alignment wrapText="1"/>
    </xf>
    <xf numFmtId="0" fontId="3" fillId="0" borderId="0" xfId="0" applyFont="1" applyAlignment="1">
      <alignment wrapText="1"/>
    </xf>
    <xf numFmtId="0" fontId="4" fillId="0" borderId="0" xfId="0" applyFont="1"/>
    <xf numFmtId="0" fontId="5" fillId="0" borderId="0" xfId="0" applyFont="1"/>
    <xf numFmtId="0" fontId="6" fillId="0" borderId="0" xfId="0" applyFont="1"/>
    <xf numFmtId="0" fontId="7" fillId="0" borderId="0" xfId="0" applyFont="1"/>
    <xf numFmtId="2" fontId="0" fillId="0" borderId="0" xfId="0" applyNumberFormat="1"/>
    <xf numFmtId="0" fontId="0" fillId="0" borderId="0" xfId="0" applyFill="1"/>
    <xf numFmtId="0" fontId="8" fillId="0" borderId="0" xfId="0" applyFont="1"/>
    <xf numFmtId="0" fontId="0" fillId="0" borderId="0" xfId="0" applyFont="1" applyFill="1"/>
    <xf numFmtId="0" fontId="5" fillId="0" borderId="0" xfId="0" applyFont="1" applyFill="1"/>
    <xf numFmtId="0" fontId="0" fillId="2" borderId="0" xfId="0" applyFill="1"/>
    <xf numFmtId="0" fontId="6" fillId="0" borderId="0" xfId="0" applyFont="1" applyFill="1"/>
    <xf numFmtId="0" fontId="4" fillId="2" borderId="0" xfId="0" applyFont="1" applyFill="1"/>
    <xf numFmtId="0" fontId="9" fillId="2" borderId="0" xfId="0" applyFont="1" applyFill="1"/>
    <xf numFmtId="0" fontId="10" fillId="0" borderId="0" xfId="0" applyFont="1"/>
    <xf numFmtId="0" fontId="11" fillId="0" borderId="0" xfId="0" applyFont="1"/>
    <xf numFmtId="2" fontId="1" fillId="0" borderId="0" xfId="0" applyNumberFormat="1" applyFont="1"/>
    <xf numFmtId="0" fontId="4" fillId="0" borderId="0" xfId="0" applyFont="1" applyFill="1"/>
    <xf numFmtId="0" fontId="1" fillId="0" borderId="0" xfId="0" applyFont="1" applyFill="1"/>
    <xf numFmtId="0" fontId="12" fillId="0" borderId="0" xfId="0" applyFont="1"/>
    <xf numFmtId="0" fontId="7" fillId="2" borderId="0" xfId="0" applyFont="1" applyFill="1"/>
    <xf numFmtId="0" fontId="10" fillId="0" borderId="0" xfId="0" applyFont="1" applyFill="1"/>
    <xf numFmtId="2" fontId="0" fillId="0" borderId="0" xfId="0" applyNumberFormat="1" applyFill="1"/>
    <xf numFmtId="0" fontId="13" fillId="0" borderId="0" xfId="0" applyFont="1"/>
    <xf numFmtId="0" fontId="0" fillId="3" borderId="0" xfId="0" applyFill="1"/>
    <xf numFmtId="2" fontId="0" fillId="3" borderId="0" xfId="0" applyNumberFormat="1" applyFill="1"/>
    <xf numFmtId="0" fontId="14" fillId="0" borderId="0" xfId="0" applyFont="1"/>
    <xf numFmtId="0" fontId="15" fillId="0" borderId="0" xfId="0" applyFont="1"/>
    <xf numFmtId="0" fontId="0" fillId="4" borderId="0" xfId="0" applyFill="1"/>
    <xf numFmtId="0" fontId="0" fillId="5" borderId="0" xfId="0" applyFill="1"/>
    <xf numFmtId="0" fontId="16" fillId="0" borderId="0" xfId="0" applyFont="1"/>
    <xf numFmtId="0" fontId="18" fillId="0" borderId="0" xfId="0" applyFont="1"/>
    <xf numFmtId="0" fontId="19" fillId="0" borderId="0" xfId="0" applyFont="1"/>
    <xf numFmtId="0" fontId="20" fillId="0" borderId="0" xfId="0" applyFont="1"/>
    <xf numFmtId="0" fontId="22" fillId="0" borderId="0" xfId="0" applyFont="1"/>
    <xf numFmtId="0" fontId="23" fillId="0" borderId="0" xfId="0" applyFont="1"/>
    <xf numFmtId="0" fontId="0" fillId="6" borderId="0" xfId="0" applyFill="1"/>
    <xf numFmtId="0" fontId="18" fillId="6" borderId="0" xfId="0" applyFont="1" applyFill="1"/>
    <xf numFmtId="2" fontId="8" fillId="0" borderId="0" xfId="0" applyNumberFormat="1" applyFont="1"/>
    <xf numFmtId="2" fontId="19" fillId="0" borderId="0" xfId="0" applyNumberFormat="1" applyFont="1"/>
    <xf numFmtId="2" fontId="17" fillId="0" borderId="0" xfId="0" applyNumberFormat="1" applyFont="1"/>
    <xf numFmtId="2" fontId="23" fillId="0" borderId="0" xfId="0" applyNumberFormat="1" applyFont="1"/>
    <xf numFmtId="2" fontId="10" fillId="0" borderId="0" xfId="0" applyNumberFormat="1" applyFont="1"/>
    <xf numFmtId="0" fontId="24" fillId="0" borderId="0" xfId="0" applyFont="1" applyFill="1"/>
    <xf numFmtId="0" fontId="25" fillId="0" borderId="0" xfId="0" applyFont="1"/>
    <xf numFmtId="0" fontId="26" fillId="0" borderId="0" xfId="0" applyFont="1"/>
    <xf numFmtId="0" fontId="27" fillId="0" borderId="0" xfId="0" applyFont="1"/>
    <xf numFmtId="0" fontId="28" fillId="0" borderId="0" xfId="0" applyFont="1"/>
    <xf numFmtId="0" fontId="29" fillId="0" borderId="0" xfId="0" applyFont="1"/>
    <xf numFmtId="0" fontId="20" fillId="7" borderId="0" xfId="0" applyFont="1" applyFill="1"/>
    <xf numFmtId="0" fontId="0" fillId="7" borderId="0" xfId="0" applyFill="1"/>
    <xf numFmtId="0" fontId="20" fillId="8" borderId="0" xfId="0" applyFont="1" applyFill="1"/>
    <xf numFmtId="0" fontId="0" fillId="8" borderId="0" xfId="0" applyFill="1"/>
    <xf numFmtId="0" fontId="5" fillId="8" borderId="0" xfId="0" applyFont="1" applyFill="1"/>
    <xf numFmtId="0" fontId="5" fillId="7" borderId="0" xfId="0" applyFont="1" applyFill="1"/>
    <xf numFmtId="0" fontId="8" fillId="8" borderId="0" xfId="0" applyFont="1" applyFill="1"/>
    <xf numFmtId="0" fontId="10" fillId="8" borderId="0" xfId="0" applyFont="1" applyFill="1"/>
    <xf numFmtId="0" fontId="21" fillId="8" borderId="0" xfId="0" applyFont="1" applyFill="1"/>
    <xf numFmtId="0" fontId="1" fillId="8" borderId="0" xfId="0" applyFont="1" applyFill="1"/>
    <xf numFmtId="0" fontId="17" fillId="8" borderId="0" xfId="0" applyFont="1" applyFill="1"/>
    <xf numFmtId="0" fontId="19" fillId="8" borderId="0" xfId="0" applyFont="1" applyFill="1"/>
    <xf numFmtId="0" fontId="18" fillId="8" borderId="0" xfId="0" applyFont="1" applyFill="1"/>
    <xf numFmtId="0" fontId="18" fillId="7" borderId="0" xfId="0" applyFont="1" applyFill="1"/>
    <xf numFmtId="0" fontId="1" fillId="7" borderId="0" xfId="0" applyFont="1" applyFill="1"/>
    <xf numFmtId="0" fontId="19" fillId="7" borderId="0" xfId="0" applyFont="1" applyFill="1"/>
    <xf numFmtId="0" fontId="23" fillId="7" borderId="0" xfId="0" applyFont="1" applyFill="1"/>
    <xf numFmtId="0" fontId="10" fillId="7" borderId="0" xfId="0" applyFont="1" applyFill="1"/>
    <xf numFmtId="0" fontId="21" fillId="7" borderId="0" xfId="0" applyFont="1" applyFill="1"/>
    <xf numFmtId="0" fontId="5" fillId="9" borderId="0" xfId="0" applyFont="1" applyFill="1"/>
    <xf numFmtId="0" fontId="0" fillId="0" borderId="0" xfId="0" applyNumberFormat="1"/>
    <xf numFmtId="0" fontId="5" fillId="0" borderId="0" xfId="0" applyNumberFormat="1" applyFont="1"/>
    <xf numFmtId="2" fontId="4" fillId="0" borderId="0" xfId="0" applyNumberFormat="1" applyFont="1"/>
    <xf numFmtId="0" fontId="4" fillId="0" borderId="0" xfId="0" applyNumberFormat="1" applyFont="1"/>
    <xf numFmtId="0" fontId="0" fillId="5" borderId="0" xfId="0" applyNumberFormat="1" applyFill="1"/>
    <xf numFmtId="3" fontId="4" fillId="0" borderId="0" xfId="0" applyNumberFormat="1" applyFont="1"/>
    <xf numFmtId="0" fontId="18" fillId="0" borderId="0" xfId="0" applyNumberFormat="1" applyFont="1"/>
    <xf numFmtId="0" fontId="1" fillId="9" borderId="0" xfId="0" applyFont="1" applyFill="1"/>
    <xf numFmtId="0" fontId="9" fillId="0" borderId="0" xfId="0" applyFont="1"/>
    <xf numFmtId="0" fontId="30" fillId="0" borderId="0" xfId="0" applyFont="1"/>
    <xf numFmtId="0" fontId="9" fillId="10" borderId="0" xfId="0" applyFont="1" applyFill="1"/>
    <xf numFmtId="0" fontId="0" fillId="0" borderId="0" xfId="0" applyFont="1"/>
    <xf numFmtId="0" fontId="9" fillId="5" borderId="0" xfId="0" applyFont="1" applyFill="1"/>
    <xf numFmtId="0" fontId="0" fillId="5" borderId="0" xfId="0" applyFont="1" applyFill="1"/>
    <xf numFmtId="0" fontId="31" fillId="0" borderId="0" xfId="0" applyFont="1"/>
    <xf numFmtId="0" fontId="32" fillId="0" borderId="0" xfId="0" applyFont="1"/>
    <xf numFmtId="0" fontId="1" fillId="2" borderId="0" xfId="0" applyFont="1" applyFill="1"/>
    <xf numFmtId="0" fontId="8" fillId="0" borderId="0" xfId="0" applyFont="1" applyFill="1"/>
    <xf numFmtId="0" fontId="8" fillId="6" borderId="0" xfId="0" applyFont="1" applyFill="1"/>
    <xf numFmtId="0" fontId="1" fillId="6" borderId="0" xfId="0" applyFont="1" applyFill="1"/>
    <xf numFmtId="0" fontId="1" fillId="4" borderId="0" xfId="0" applyFont="1" applyFill="1"/>
    <xf numFmtId="0" fontId="33" fillId="4" borderId="0" xfId="0" applyFont="1" applyFill="1"/>
    <xf numFmtId="0" fontId="34" fillId="4" borderId="0" xfId="0" applyFont="1" applyFill="1"/>
    <xf numFmtId="0" fontId="17" fillId="4" borderId="0" xfId="0" applyFont="1" applyFill="1"/>
    <xf numFmtId="0" fontId="35" fillId="0" borderId="0" xfId="0" applyFont="1"/>
    <xf numFmtId="0" fontId="8" fillId="2" borderId="0" xfId="0" applyFont="1" applyFill="1"/>
    <xf numFmtId="0" fontId="35" fillId="5" borderId="0" xfId="0" applyFont="1" applyFill="1"/>
    <xf numFmtId="0" fontId="35" fillId="4" borderId="0" xfId="0" applyFont="1" applyFill="1"/>
    <xf numFmtId="0" fontId="36" fillId="0" borderId="0" xfId="0" applyFont="1"/>
    <xf numFmtId="2" fontId="15" fillId="0" borderId="0" xfId="0" applyNumberFormat="1" applyFont="1"/>
    <xf numFmtId="2" fontId="1" fillId="5" borderId="0" xfId="0" applyNumberFormat="1" applyFont="1" applyFill="1"/>
    <xf numFmtId="2" fontId="1" fillId="0" borderId="0" xfId="0" applyNumberFormat="1" applyFont="1" applyFill="1"/>
    <xf numFmtId="0" fontId="14" fillId="5" borderId="0" xfId="0" applyFont="1" applyFill="1"/>
    <xf numFmtId="0" fontId="24" fillId="0" borderId="0" xfId="0" applyFont="1"/>
    <xf numFmtId="0" fontId="0" fillId="10" borderId="0" xfId="0" applyFill="1"/>
    <xf numFmtId="0" fontId="4" fillId="10" borderId="0" xfId="0" applyFont="1" applyFill="1"/>
    <xf numFmtId="0" fontId="37" fillId="0" borderId="0" xfId="0" applyFont="1"/>
    <xf numFmtId="0" fontId="38" fillId="0" borderId="0" xfId="0" applyFont="1"/>
    <xf numFmtId="0" fontId="38" fillId="10" borderId="0" xfId="0" applyFont="1" applyFill="1"/>
    <xf numFmtId="0" fontId="39" fillId="0" borderId="0" xfId="0" applyFont="1"/>
    <xf numFmtId="0" fontId="0" fillId="0" borderId="1" xfId="0" applyBorder="1"/>
    <xf numFmtId="0" fontId="1" fillId="0" borderId="1" xfId="0" applyFont="1" applyBorder="1" applyAlignment="1">
      <alignment wrapText="1"/>
    </xf>
    <xf numFmtId="0" fontId="1" fillId="0" borderId="2" xfId="0" applyFont="1" applyFill="1" applyBorder="1" applyAlignment="1">
      <alignment wrapText="1"/>
    </xf>
    <xf numFmtId="0" fontId="1" fillId="0" borderId="3" xfId="0" applyFont="1" applyBorder="1" applyAlignment="1">
      <alignment wrapText="1"/>
    </xf>
    <xf numFmtId="0" fontId="1" fillId="0" borderId="4" xfId="0" applyFont="1" applyBorder="1" applyAlignment="1">
      <alignment wrapText="1"/>
    </xf>
    <xf numFmtId="0" fontId="1" fillId="0" borderId="5" xfId="0" applyFont="1" applyBorder="1" applyAlignment="1">
      <alignment wrapText="1"/>
    </xf>
    <xf numFmtId="0" fontId="1" fillId="0" borderId="6" xfId="0" applyFont="1" applyBorder="1" applyAlignment="1">
      <alignment wrapText="1"/>
    </xf>
    <xf numFmtId="0" fontId="0" fillId="0" borderId="1" xfId="0" applyFont="1" applyBorder="1"/>
    <xf numFmtId="0" fontId="0" fillId="0" borderId="1" xfId="0" applyFont="1" applyFill="1" applyBorder="1"/>
    <xf numFmtId="0" fontId="4" fillId="0" borderId="1" xfId="0" applyFont="1" applyBorder="1"/>
    <xf numFmtId="0" fontId="38" fillId="0" borderId="1" xfId="0" applyFont="1" applyBorder="1"/>
    <xf numFmtId="0" fontId="38" fillId="10" borderId="1" xfId="0" applyFont="1" applyFill="1" applyBorder="1"/>
    <xf numFmtId="0" fontId="0" fillId="10" borderId="1" xfId="0" applyFill="1" applyBorder="1"/>
    <xf numFmtId="0" fontId="14" fillId="0" borderId="1" xfId="0" applyFont="1" applyBorder="1"/>
    <xf numFmtId="0" fontId="14" fillId="5" borderId="1" xfId="0" applyFont="1" applyFill="1" applyBorder="1"/>
    <xf numFmtId="0" fontId="29" fillId="0" borderId="1" xfId="0" applyFont="1" applyBorder="1"/>
    <xf numFmtId="0" fontId="0" fillId="5" borderId="1" xfId="0" applyFill="1" applyBorder="1"/>
    <xf numFmtId="0" fontId="0" fillId="4" borderId="1" xfId="0" applyFill="1" applyBorder="1"/>
    <xf numFmtId="0" fontId="27" fillId="0" borderId="1" xfId="0" applyFont="1" applyBorder="1"/>
    <xf numFmtId="0" fontId="0" fillId="2" borderId="1" xfId="0" applyFill="1" applyBorder="1"/>
    <xf numFmtId="0" fontId="24" fillId="0" borderId="1" xfId="0" applyFont="1" applyBorder="1"/>
    <xf numFmtId="0" fontId="24" fillId="2" borderId="1" xfId="0" applyFont="1" applyFill="1" applyBorder="1"/>
    <xf numFmtId="0" fontId="4" fillId="2" borderId="1" xfId="0" applyFont="1" applyFill="1" applyBorder="1"/>
    <xf numFmtId="0" fontId="5" fillId="0" borderId="1" xfId="0" applyFont="1" applyBorder="1"/>
    <xf numFmtId="0" fontId="38" fillId="2" borderId="1" xfId="0" applyFont="1" applyFill="1" applyBorder="1"/>
    <xf numFmtId="0" fontId="1" fillId="0" borderId="1" xfId="0" applyFont="1" applyBorder="1"/>
    <xf numFmtId="0" fontId="15" fillId="0" borderId="1" xfId="0" applyFont="1" applyBorder="1"/>
    <xf numFmtId="0" fontId="40" fillId="0" borderId="1" xfId="0" applyFont="1" applyBorder="1"/>
    <xf numFmtId="0" fontId="8" fillId="0" borderId="1" xfId="0" applyFont="1" applyBorder="1"/>
    <xf numFmtId="0" fontId="10" fillId="0" borderId="1" xfId="0" applyFont="1" applyBorder="1"/>
    <xf numFmtId="0" fontId="39" fillId="0" borderId="1" xfId="0" applyFont="1" applyBorder="1"/>
    <xf numFmtId="0" fontId="41" fillId="0" borderId="1" xfId="0" applyFont="1" applyBorder="1"/>
    <xf numFmtId="0" fontId="42" fillId="0" borderId="1" xfId="0" applyFont="1" applyBorder="1"/>
    <xf numFmtId="0" fontId="41" fillId="0" borderId="0" xfId="0" applyFont="1"/>
    <xf numFmtId="0" fontId="27" fillId="0" borderId="1" xfId="0" applyFont="1" applyBorder="1" applyAlignment="1">
      <alignment wrapText="1"/>
    </xf>
    <xf numFmtId="2" fontId="0" fillId="0" borderId="1" xfId="0" applyNumberFormat="1" applyBorder="1"/>
    <xf numFmtId="2" fontId="0" fillId="0" borderId="1" xfId="0" applyNumberFormat="1" applyFill="1" applyBorder="1"/>
    <xf numFmtId="2" fontId="0" fillId="3" borderId="1" xfId="0" applyNumberFormat="1" applyFill="1" applyBorder="1"/>
    <xf numFmtId="0" fontId="0" fillId="0" borderId="1" xfId="0" applyBorder="1" applyAlignment="1">
      <alignment wrapText="1"/>
    </xf>
    <xf numFmtId="0" fontId="0" fillId="0" borderId="1" xfId="0" applyFill="1" applyBorder="1"/>
    <xf numFmtId="0" fontId="0" fillId="3" borderId="1" xfId="0" applyFill="1" applyBorder="1"/>
    <xf numFmtId="2" fontId="0" fillId="0" borderId="1" xfId="0" applyNumberFormat="1" applyBorder="1" applyAlignment="1">
      <alignment wrapText="1"/>
    </xf>
    <xf numFmtId="49" fontId="0" fillId="3" borderId="1" xfId="0" applyNumberFormat="1" applyFill="1" applyBorder="1"/>
    <xf numFmtId="0" fontId="38" fillId="2" borderId="0" xfId="0" applyFont="1" applyFill="1"/>
    <xf numFmtId="3" fontId="0" fillId="0" borderId="0" xfId="0" applyNumberFormat="1"/>
    <xf numFmtId="2" fontId="0" fillId="0" borderId="0" xfId="0" applyNumberFormat="1" applyFont="1"/>
    <xf numFmtId="2" fontId="0" fillId="0" borderId="1" xfId="0" applyNumberFormat="1" applyFont="1" applyBorder="1"/>
    <xf numFmtId="2" fontId="1" fillId="0" borderId="1" xfId="0" applyNumberFormat="1" applyFont="1" applyBorder="1"/>
    <xf numFmtId="0" fontId="0" fillId="0" borderId="0" xfId="0" quotePrefix="1"/>
    <xf numFmtId="0" fontId="0" fillId="0" borderId="2" xfId="0" applyFill="1" applyBorder="1"/>
    <xf numFmtId="0" fontId="0" fillId="11" borderId="1" xfId="0" applyFill="1" applyBorder="1"/>
    <xf numFmtId="0" fontId="38" fillId="11" borderId="1" xfId="0" applyFont="1" applyFill="1" applyBorder="1"/>
    <xf numFmtId="0" fontId="38" fillId="0" borderId="1" xfId="0" applyFont="1" applyFill="1" applyBorder="1"/>
    <xf numFmtId="0" fontId="0" fillId="0" borderId="2" xfId="0" applyFont="1" applyFill="1" applyBorder="1"/>
    <xf numFmtId="0" fontId="1" fillId="0" borderId="1" xfId="0" applyFont="1" applyFill="1" applyBorder="1" applyAlignment="1">
      <alignment wrapText="1"/>
    </xf>
    <xf numFmtId="0" fontId="24" fillId="0" borderId="1" xfId="0" applyFont="1" applyFill="1" applyBorder="1"/>
    <xf numFmtId="0" fontId="1" fillId="0" borderId="8" xfId="0" applyFont="1" applyBorder="1" applyAlignment="1">
      <alignment wrapText="1"/>
    </xf>
    <xf numFmtId="2" fontId="0" fillId="12" borderId="1" xfId="0" applyNumberFormat="1" applyFill="1" applyBorder="1"/>
    <xf numFmtId="0" fontId="24" fillId="0" borderId="0" xfId="0" applyFont="1" applyBorder="1"/>
    <xf numFmtId="0" fontId="0" fillId="0" borderId="0" xfId="0" applyBorder="1"/>
    <xf numFmtId="0" fontId="5" fillId="0" borderId="0" xfId="0" applyFont="1" applyBorder="1"/>
    <xf numFmtId="0" fontId="43" fillId="0" borderId="0" xfId="0" applyFont="1"/>
    <xf numFmtId="0" fontId="5" fillId="0" borderId="1" xfId="0" applyFont="1" applyFill="1" applyBorder="1"/>
    <xf numFmtId="0" fontId="5" fillId="13" borderId="1" xfId="0" applyFont="1" applyFill="1" applyBorder="1"/>
    <xf numFmtId="0" fontId="5" fillId="2" borderId="1" xfId="0" applyFont="1" applyFill="1" applyBorder="1"/>
    <xf numFmtId="0" fontId="0" fillId="0" borderId="9" xfId="0" applyBorder="1"/>
    <xf numFmtId="0" fontId="40" fillId="0" borderId="0" xfId="0" applyFont="1"/>
    <xf numFmtId="0" fontId="35" fillId="2" borderId="0" xfId="0" applyFont="1" applyFill="1"/>
    <xf numFmtId="0" fontId="24" fillId="5" borderId="0" xfId="0" applyFont="1" applyFill="1"/>
    <xf numFmtId="0" fontId="24" fillId="4" borderId="0" xfId="0" applyFont="1" applyFill="1"/>
    <xf numFmtId="0" fontId="18" fillId="5" borderId="0" xfId="0" applyFont="1" applyFill="1"/>
    <xf numFmtId="0" fontId="19" fillId="5" borderId="0" xfId="0" applyFont="1" applyFill="1"/>
    <xf numFmtId="0" fontId="44" fillId="0" borderId="1" xfId="0" applyFont="1" applyBorder="1"/>
    <xf numFmtId="0" fontId="29" fillId="10" borderId="1" xfId="0" applyFont="1" applyFill="1" applyBorder="1"/>
    <xf numFmtId="0" fontId="29" fillId="2" borderId="1" xfId="0" applyFont="1" applyFill="1" applyBorder="1"/>
    <xf numFmtId="0" fontId="45" fillId="0" borderId="1" xfId="0" applyFont="1" applyBorder="1"/>
    <xf numFmtId="0" fontId="27" fillId="2" borderId="1" xfId="0" applyFont="1" applyFill="1" applyBorder="1"/>
    <xf numFmtId="0" fontId="29" fillId="0" borderId="1" xfId="0" applyFont="1" applyFill="1" applyBorder="1"/>
    <xf numFmtId="0" fontId="29" fillId="2" borderId="0" xfId="0" applyFont="1" applyFill="1"/>
    <xf numFmtId="0" fontId="27" fillId="0" borderId="1" xfId="0" applyFont="1" applyFill="1" applyBorder="1"/>
    <xf numFmtId="0" fontId="29" fillId="0" borderId="2" xfId="0" applyFont="1" applyFill="1" applyBorder="1"/>
    <xf numFmtId="0" fontId="29" fillId="0" borderId="7" xfId="0" applyFont="1" applyBorder="1"/>
    <xf numFmtId="0" fontId="44" fillId="0" borderId="7" xfId="0" applyFont="1" applyBorder="1"/>
    <xf numFmtId="0" fontId="29" fillId="2" borderId="7" xfId="0" applyFont="1" applyFill="1" applyBorder="1"/>
    <xf numFmtId="0" fontId="29" fillId="0" borderId="0" xfId="0" applyFont="1" applyBorder="1"/>
    <xf numFmtId="0" fontId="29" fillId="13" borderId="1" xfId="0" applyFont="1" applyFill="1" applyBorder="1"/>
    <xf numFmtId="0" fontId="0" fillId="14" borderId="0" xfId="0" applyFill="1"/>
    <xf numFmtId="0" fontId="24" fillId="14" borderId="0" xfId="0" applyFont="1" applyFill="1"/>
    <xf numFmtId="2" fontId="0" fillId="0" borderId="2" xfId="0" applyNumberFormat="1" applyFill="1" applyBorder="1"/>
    <xf numFmtId="0" fontId="0" fillId="14" borderId="0" xfId="0" applyFont="1" applyFill="1"/>
    <xf numFmtId="2" fontId="0" fillId="0" borderId="0" xfId="0" applyNumberFormat="1" applyFill="1" applyBorder="1"/>
    <xf numFmtId="0" fontId="0" fillId="0" borderId="0" xfId="0" applyFill="1" applyBorder="1"/>
    <xf numFmtId="0" fontId="0" fillId="0" borderId="0" xfId="0" applyFont="1" applyBorder="1"/>
    <xf numFmtId="0" fontId="5" fillId="0" borderId="0" xfId="0" applyFont="1" applyFill="1" applyBorder="1"/>
    <xf numFmtId="0" fontId="5" fillId="0" borderId="9" xfId="0" applyFont="1" applyFill="1" applyBorder="1"/>
    <xf numFmtId="0" fontId="5" fillId="2" borderId="0" xfId="0" applyFont="1" applyFill="1" applyBorder="1"/>
    <xf numFmtId="0" fontId="38" fillId="0" borderId="0" xfId="0" applyFont="1" applyBorder="1"/>
    <xf numFmtId="0" fontId="38" fillId="0" borderId="0" xfId="0" applyFont="1" applyFill="1" applyBorder="1"/>
    <xf numFmtId="0" fontId="38" fillId="0" borderId="9" xfId="0" applyFont="1" applyBorder="1"/>
    <xf numFmtId="0" fontId="38" fillId="0" borderId="9" xfId="0" applyFont="1" applyFill="1" applyBorder="1"/>
    <xf numFmtId="0" fontId="38" fillId="2" borderId="0" xfId="0" applyFont="1" applyFill="1" applyBorder="1"/>
    <xf numFmtId="0" fontId="38" fillId="14" borderId="0" xfId="0" applyFont="1" applyFill="1"/>
    <xf numFmtId="0" fontId="0" fillId="2" borderId="0" xfId="0" applyFont="1" applyFill="1"/>
    <xf numFmtId="0" fontId="24" fillId="2" borderId="0" xfId="0" applyFont="1" applyFill="1"/>
    <xf numFmtId="2" fontId="26" fillId="0" borderId="0" xfId="0" applyNumberFormat="1" applyFont="1"/>
    <xf numFmtId="0" fontId="0" fillId="15" borderId="0" xfId="0" applyFill="1"/>
    <xf numFmtId="2" fontId="0" fillId="15" borderId="1" xfId="0" applyNumberFormat="1" applyFill="1" applyBorder="1"/>
    <xf numFmtId="2" fontId="0" fillId="15" borderId="0" xfId="0" applyNumberFormat="1" applyFill="1"/>
    <xf numFmtId="2" fontId="1" fillId="15" borderId="1" xfId="0" applyNumberFormat="1" applyFont="1" applyFill="1" applyBorder="1"/>
    <xf numFmtId="0" fontId="0" fillId="15" borderId="1" xfId="0" applyFill="1" applyBorder="1"/>
    <xf numFmtId="0" fontId="14" fillId="2" borderId="0" xfId="0" applyFont="1" applyFill="1"/>
    <xf numFmtId="0" fontId="5" fillId="2" borderId="0" xfId="0" applyFont="1" applyFill="1"/>
    <xf numFmtId="2" fontId="0" fillId="0" borderId="0" xfId="0" applyNumberFormat="1" applyBorder="1"/>
    <xf numFmtId="0" fontId="38" fillId="0" borderId="0" xfId="0" applyFont="1" applyFill="1"/>
    <xf numFmtId="0" fontId="0" fillId="0" borderId="10" xfId="0" applyFill="1" applyBorder="1"/>
    <xf numFmtId="0" fontId="0" fillId="16" borderId="1" xfId="0" applyFill="1" applyBorder="1"/>
    <xf numFmtId="2" fontId="0" fillId="16" borderId="1" xfId="0" applyNumberFormat="1" applyFill="1" applyBorder="1"/>
    <xf numFmtId="2" fontId="0" fillId="0" borderId="0" xfId="0" quotePrefix="1" applyNumberFormat="1"/>
    <xf numFmtId="0" fontId="14" fillId="14" borderId="0" xfId="0" applyFont="1" applyFill="1"/>
    <xf numFmtId="0" fontId="5" fillId="14" borderId="0" xfId="0" applyFont="1" applyFill="1"/>
    <xf numFmtId="0" fontId="37" fillId="14" borderId="0" xfId="0" applyFont="1" applyFill="1"/>
    <xf numFmtId="0" fontId="37" fillId="0" borderId="0" xfId="0" applyFont="1" applyFill="1"/>
    <xf numFmtId="0" fontId="0" fillId="17" borderId="0" xfId="0" applyFill="1"/>
    <xf numFmtId="0" fontId="37" fillId="17" borderId="0" xfId="0" applyFont="1" applyFill="1"/>
    <xf numFmtId="0" fontId="24" fillId="17" borderId="0" xfId="0" applyFont="1" applyFill="1"/>
    <xf numFmtId="0" fontId="5" fillId="17" borderId="0" xfId="0" applyFont="1" applyFill="1"/>
    <xf numFmtId="1" fontId="0" fillId="0" borderId="1" xfId="0" applyNumberFormat="1" applyBorder="1"/>
  </cellXfs>
  <cellStyles count="1">
    <cellStyle name="Normal" xfId="0" builtinId="0"/>
  </cellStyles>
  <dxfs count="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2"/>
        <color theme="1"/>
        <name val="Calibri"/>
        <scheme val="minor"/>
      </font>
      <alignment horizontal="general" vertical="bottom" textRotation="0" wrapText="1" indent="0" justifyLastLine="0" shrinkToFit="0" readingOrder="0"/>
    </dxf>
  </dxfs>
  <tableStyles count="0" defaultTableStyle="TableStyleMedium2" defaultPivotStyle="PivotStyleLight16"/>
  <colors>
    <mruColors>
      <color rgb="FF3399FF"/>
      <color rgb="FF9FE9DE"/>
      <color rgb="FFBF09F1"/>
      <color rgb="FF6C6FDE"/>
      <color rgb="FFEEC98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microsoft.com/office/2017/10/relationships/person" Target="persons/perso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38"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37"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alcChain" Target="calcChain.xml"/><Relationship Id="rId8" Type="http://schemas.openxmlformats.org/officeDocument/2006/relationships/worksheet" Target="worksheets/sheet8.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diamond"/>
            <c:size val="7"/>
            <c:spPr>
              <a:solidFill>
                <a:schemeClr val="accent1"/>
              </a:solidFill>
              <a:ln w="9525">
                <a:noFill/>
              </a:ln>
              <a:effectLst/>
            </c:spPr>
          </c:marker>
          <c:dPt>
            <c:idx val="1"/>
            <c:marker>
              <c:symbol val="diamond"/>
              <c:size val="7"/>
              <c:spPr>
                <a:solidFill>
                  <a:srgbClr val="6C6FDE"/>
                </a:solidFill>
                <a:ln w="9525">
                  <a:noFill/>
                </a:ln>
                <a:effectLst/>
              </c:spPr>
            </c:marker>
            <c:bubble3D val="0"/>
            <c:extLst>
              <c:ext xmlns:c16="http://schemas.microsoft.com/office/drawing/2014/chart" uri="{C3380CC4-5D6E-409C-BE32-E72D297353CC}">
                <c16:uniqueId val="{00000004-1E44-4E42-9250-129F9AAF7937}"/>
              </c:ext>
            </c:extLst>
          </c:dPt>
          <c:dPt>
            <c:idx val="2"/>
            <c:marker>
              <c:symbol val="diamond"/>
              <c:size val="7"/>
              <c:spPr>
                <a:solidFill>
                  <a:srgbClr val="92D050"/>
                </a:solidFill>
                <a:ln w="9525">
                  <a:noFill/>
                </a:ln>
                <a:effectLst/>
              </c:spPr>
            </c:marker>
            <c:bubble3D val="0"/>
            <c:extLst>
              <c:ext xmlns:c16="http://schemas.microsoft.com/office/drawing/2014/chart" uri="{C3380CC4-5D6E-409C-BE32-E72D297353CC}">
                <c16:uniqueId val="{00000003-1E44-4E42-9250-129F9AAF7937}"/>
              </c:ext>
            </c:extLst>
          </c:dPt>
          <c:dPt>
            <c:idx val="5"/>
            <c:marker>
              <c:symbol val="diamond"/>
              <c:size val="7"/>
              <c:spPr>
                <a:solidFill>
                  <a:srgbClr val="9FE9DE"/>
                </a:solidFill>
                <a:ln w="9525">
                  <a:noFill/>
                </a:ln>
                <a:effectLst/>
              </c:spPr>
            </c:marker>
            <c:bubble3D val="0"/>
            <c:extLst>
              <c:ext xmlns:c16="http://schemas.microsoft.com/office/drawing/2014/chart" uri="{C3380CC4-5D6E-409C-BE32-E72D297353CC}">
                <c16:uniqueId val="{00000005-1E44-4E42-9250-129F9AAF7937}"/>
              </c:ext>
            </c:extLst>
          </c:dPt>
          <c:dPt>
            <c:idx val="8"/>
            <c:marker>
              <c:symbol val="diamond"/>
              <c:size val="7"/>
              <c:spPr>
                <a:solidFill>
                  <a:srgbClr val="EEC98E"/>
                </a:solidFill>
                <a:ln w="9525">
                  <a:noFill/>
                </a:ln>
                <a:effectLst/>
              </c:spPr>
            </c:marker>
            <c:bubble3D val="0"/>
            <c:extLst>
              <c:ext xmlns:c16="http://schemas.microsoft.com/office/drawing/2014/chart" uri="{C3380CC4-5D6E-409C-BE32-E72D297353CC}">
                <c16:uniqueId val="{00000003-C04B-4EE3-A95F-7546ABB8F137}"/>
              </c:ext>
            </c:extLst>
          </c:dPt>
          <c:dPt>
            <c:idx val="9"/>
            <c:marker>
              <c:symbol val="diamond"/>
              <c:size val="7"/>
              <c:spPr>
                <a:solidFill>
                  <a:srgbClr val="BF09F1"/>
                </a:solidFill>
                <a:ln w="9525">
                  <a:noFill/>
                </a:ln>
                <a:effectLst/>
              </c:spPr>
            </c:marker>
            <c:bubble3D val="0"/>
            <c:extLst>
              <c:ext xmlns:c16="http://schemas.microsoft.com/office/drawing/2014/chart" uri="{C3380CC4-5D6E-409C-BE32-E72D297353CC}">
                <c16:uniqueId val="{00000004-C04B-4EE3-A95F-7546ABB8F137}"/>
              </c:ext>
            </c:extLst>
          </c:dPt>
          <c:xVal>
            <c:numRef>
              <c:f>Overall!$CC$19:$CC$28</c:f>
              <c:numCache>
                <c:formatCode>General</c:formatCode>
                <c:ptCount val="10"/>
                <c:pt idx="0">
                  <c:v>29.577464788732392</c:v>
                </c:pt>
                <c:pt idx="1">
                  <c:v>15.555555555555555</c:v>
                </c:pt>
                <c:pt idx="2">
                  <c:v>9.8039215686274517</c:v>
                </c:pt>
                <c:pt idx="5">
                  <c:v>8.9552238805970141</c:v>
                </c:pt>
                <c:pt idx="8">
                  <c:v>10.344827586206897</c:v>
                </c:pt>
                <c:pt idx="9">
                  <c:v>21.917808219178081</c:v>
                </c:pt>
              </c:numCache>
            </c:numRef>
          </c:xVal>
          <c:yVal>
            <c:numRef>
              <c:f>Overall!$CE$19:$CE$28</c:f>
              <c:numCache>
                <c:formatCode>General</c:formatCode>
                <c:ptCount val="10"/>
                <c:pt idx="0">
                  <c:v>100</c:v>
                </c:pt>
                <c:pt idx="1">
                  <c:v>20.88673719704121</c:v>
                </c:pt>
                <c:pt idx="2">
                  <c:v>88.217192616113635</c:v>
                </c:pt>
                <c:pt idx="5">
                  <c:v>58.08519586918149</c:v>
                </c:pt>
                <c:pt idx="8">
                  <c:v>43.02325581395349</c:v>
                </c:pt>
                <c:pt idx="9">
                  <c:v>29.218107669515845</c:v>
                </c:pt>
              </c:numCache>
            </c:numRef>
          </c:yVal>
          <c:smooth val="0"/>
          <c:extLst>
            <c:ext xmlns:c16="http://schemas.microsoft.com/office/drawing/2014/chart" uri="{C3380CC4-5D6E-409C-BE32-E72D297353CC}">
              <c16:uniqueId val="{00000000-1E44-4E42-9250-129F9AAF7937}"/>
            </c:ext>
          </c:extLst>
        </c:ser>
        <c:dLbls>
          <c:showLegendKey val="0"/>
          <c:showVal val="0"/>
          <c:showCatName val="0"/>
          <c:showSerName val="0"/>
          <c:showPercent val="0"/>
          <c:showBubbleSize val="0"/>
        </c:dLbls>
        <c:axId val="898320576"/>
        <c:axId val="898319328"/>
      </c:scatterChart>
      <c:valAx>
        <c:axId val="89832057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Attachment frequency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8319328"/>
        <c:crosses val="autoZero"/>
        <c:crossBetween val="midCat"/>
      </c:valAx>
      <c:valAx>
        <c:axId val="8983193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Invasion efficency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832057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dPt>
            <c:idx val="0"/>
            <c:marker>
              <c:symbol val="circle"/>
              <c:size val="5"/>
              <c:spPr>
                <a:solidFill>
                  <a:schemeClr val="accent2"/>
                </a:solidFill>
                <a:ln w="9525">
                  <a:solidFill>
                    <a:schemeClr val="accent1"/>
                  </a:solidFill>
                </a:ln>
                <a:effectLst/>
              </c:spPr>
            </c:marker>
            <c:bubble3D val="0"/>
            <c:extLst>
              <c:ext xmlns:c16="http://schemas.microsoft.com/office/drawing/2014/chart" uri="{C3380CC4-5D6E-409C-BE32-E72D297353CC}">
                <c16:uniqueId val="{00000001-C2B9-4309-9851-879689FDC1CC}"/>
              </c:ext>
            </c:extLst>
          </c:dPt>
          <c:xVal>
            <c:numRef>
              <c:f>Overall!$BL$35:$BL$51</c:f>
              <c:numCache>
                <c:formatCode>0.00</c:formatCode>
                <c:ptCount val="17"/>
                <c:pt idx="0">
                  <c:v>24.130333951762498</c:v>
                </c:pt>
                <c:pt idx="1">
                  <c:v>15.541541791541794</c:v>
                </c:pt>
                <c:pt idx="2">
                  <c:v>10.802469135802468</c:v>
                </c:pt>
                <c:pt idx="3">
                  <c:v>8.4061393152302237</c:v>
                </c:pt>
                <c:pt idx="4">
                  <c:v>7.7777777777777768</c:v>
                </c:pt>
                <c:pt idx="5">
                  <c:v>30.463980463980462</c:v>
                </c:pt>
                <c:pt idx="6">
                  <c:v>29.019730269730264</c:v>
                </c:pt>
                <c:pt idx="7">
                  <c:v>9.2773397237682946</c:v>
                </c:pt>
                <c:pt idx="8">
                  <c:v>14.518518518518519</c:v>
                </c:pt>
                <c:pt idx="9">
                  <c:v>15.808929632459</c:v>
                </c:pt>
                <c:pt idx="12">
                  <c:v>9.2374458330340676</c:v>
                </c:pt>
                <c:pt idx="13">
                  <c:v>8.3041958041958033</c:v>
                </c:pt>
                <c:pt idx="14" formatCode="General">
                  <c:v>13.772057191174838</c:v>
                </c:pt>
                <c:pt idx="15" formatCode="General">
                  <c:v>1.1217948717948716</c:v>
                </c:pt>
                <c:pt idx="16">
                  <c:v>11.613722534775164</c:v>
                </c:pt>
              </c:numCache>
            </c:numRef>
          </c:xVal>
          <c:yVal>
            <c:numRef>
              <c:f>Overall!$BM$35:$BM$51</c:f>
              <c:numCache>
                <c:formatCode>General</c:formatCode>
                <c:ptCount val="17"/>
                <c:pt idx="0">
                  <c:v>28.61037</c:v>
                </c:pt>
                <c:pt idx="1">
                  <c:v>30.847866451612905</c:v>
                </c:pt>
                <c:pt idx="2">
                  <c:v>19.288751999999999</c:v>
                </c:pt>
                <c:pt idx="3">
                  <c:v>12.674730444444444</c:v>
                </c:pt>
                <c:pt idx="4">
                  <c:v>30.443224000000001</c:v>
                </c:pt>
                <c:pt idx="5">
                  <c:v>35.924767565217394</c:v>
                </c:pt>
                <c:pt idx="6">
                  <c:v>32.962914292682932</c:v>
                </c:pt>
                <c:pt idx="7">
                  <c:v>23.496232941176476</c:v>
                </c:pt>
                <c:pt idx="8">
                  <c:v>19.222831250000006</c:v>
                </c:pt>
                <c:pt idx="9">
                  <c:v>19.293107333333335</c:v>
                </c:pt>
                <c:pt idx="12">
                  <c:v>22.632354230769231</c:v>
                </c:pt>
                <c:pt idx="13">
                  <c:v>19.027141913043479</c:v>
                </c:pt>
                <c:pt idx="14">
                  <c:v>29.829721894736842</c:v>
                </c:pt>
                <c:pt idx="15">
                  <c:v>9.0274939999999919</c:v>
                </c:pt>
                <c:pt idx="16">
                  <c:v>23.387028000000001</c:v>
                </c:pt>
              </c:numCache>
            </c:numRef>
          </c:yVal>
          <c:smooth val="0"/>
          <c:extLst>
            <c:ext xmlns:c16="http://schemas.microsoft.com/office/drawing/2014/chart" uri="{C3380CC4-5D6E-409C-BE32-E72D297353CC}">
              <c16:uniqueId val="{00000000-C2B9-4309-9851-879689FDC1CC}"/>
            </c:ext>
          </c:extLst>
        </c:ser>
        <c:dLbls>
          <c:showLegendKey val="0"/>
          <c:showVal val="0"/>
          <c:showCatName val="0"/>
          <c:showSerName val="0"/>
          <c:showPercent val="0"/>
          <c:showBubbleSize val="0"/>
        </c:dLbls>
        <c:axId val="1713602368"/>
        <c:axId val="1713603616"/>
      </c:scatterChart>
      <c:valAx>
        <c:axId val="1713602368"/>
        <c:scaling>
          <c:orientation val="minMax"/>
          <c:max val="35"/>
        </c:scaling>
        <c:delete val="0"/>
        <c:axPos val="b"/>
        <c:majorGridlines>
          <c:spPr>
            <a:ln w="9525" cap="flat" cmpd="sng" algn="ctr">
              <a:solidFill>
                <a:schemeClr val="tx1">
                  <a:lumMod val="15000"/>
                  <a:lumOff val="85000"/>
                </a:schemeClr>
              </a:solidFill>
              <a:round/>
            </a:ln>
            <a:effectLst/>
          </c:spPr>
        </c:majorGridlines>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3603616"/>
        <c:crosses val="autoZero"/>
        <c:crossBetween val="midCat"/>
        <c:majorUnit val="5"/>
        <c:minorUnit val="1"/>
      </c:valAx>
      <c:valAx>
        <c:axId val="17136036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Detachment</a:t>
                </a:r>
                <a:r>
                  <a:rPr lang="en-GB" baseline="0"/>
                  <a:t> force (pN)</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3602368"/>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NF54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'NF54 version 2'!$D$76:$D$90</c:f>
              <c:numCache>
                <c:formatCode>General</c:formatCode>
                <c:ptCount val="15"/>
                <c:pt idx="0">
                  <c:v>59.760000000000005</c:v>
                </c:pt>
                <c:pt idx="1">
                  <c:v>59.760000000000005</c:v>
                </c:pt>
                <c:pt idx="2">
                  <c:v>95.77000000000001</c:v>
                </c:pt>
                <c:pt idx="3">
                  <c:v>34.97</c:v>
                </c:pt>
                <c:pt idx="4">
                  <c:v>30.83</c:v>
                </c:pt>
                <c:pt idx="5">
                  <c:v>33.86</c:v>
                </c:pt>
                <c:pt idx="6">
                  <c:v>32.52000000000001</c:v>
                </c:pt>
                <c:pt idx="7">
                  <c:v>45.689999999999984</c:v>
                </c:pt>
                <c:pt idx="8">
                  <c:v>86.21</c:v>
                </c:pt>
                <c:pt idx="9">
                  <c:v>95.689999999999984</c:v>
                </c:pt>
                <c:pt idx="10">
                  <c:v>101.54</c:v>
                </c:pt>
                <c:pt idx="11">
                  <c:v>169.73</c:v>
                </c:pt>
                <c:pt idx="12">
                  <c:v>152.94</c:v>
                </c:pt>
                <c:pt idx="13">
                  <c:v>152.94</c:v>
                </c:pt>
                <c:pt idx="14">
                  <c:v>191.82999999999998</c:v>
                </c:pt>
              </c:numCache>
            </c:numRef>
          </c:xVal>
          <c:yVal>
            <c:numRef>
              <c:f>'NF54 version 2'!$E$76:$E$90</c:f>
              <c:numCache>
                <c:formatCode>General</c:formatCode>
                <c:ptCount val="15"/>
                <c:pt idx="0">
                  <c:v>11.331557999999987</c:v>
                </c:pt>
                <c:pt idx="1">
                  <c:v>0.920457999999998</c:v>
                </c:pt>
                <c:pt idx="2">
                  <c:v>20.180019999999978</c:v>
                </c:pt>
                <c:pt idx="3">
                  <c:v>2.0471920000000128</c:v>
                </c:pt>
                <c:pt idx="4">
                  <c:v>3.8102679999999967</c:v>
                </c:pt>
                <c:pt idx="5">
                  <c:v>12.115796</c:v>
                </c:pt>
                <c:pt idx="6">
                  <c:v>24.883502000000011</c:v>
                </c:pt>
                <c:pt idx="7">
                  <c:v>52.604272000000023</c:v>
                </c:pt>
                <c:pt idx="8">
                  <c:v>45.653159999999986</c:v>
                </c:pt>
                <c:pt idx="9">
                  <c:v>19.444432000000006</c:v>
                </c:pt>
                <c:pt idx="10">
                  <c:v>9.4011259999999783</c:v>
                </c:pt>
                <c:pt idx="11">
                  <c:v>41.642454000000001</c:v>
                </c:pt>
                <c:pt idx="12">
                  <c:v>43.853110000000022</c:v>
                </c:pt>
                <c:pt idx="13">
                  <c:v>31.548552000000004</c:v>
                </c:pt>
                <c:pt idx="14">
                  <c:v>27.193404000000005</c:v>
                </c:pt>
              </c:numCache>
            </c:numRef>
          </c:yVal>
          <c:smooth val="0"/>
          <c:extLst>
            <c:ext xmlns:c16="http://schemas.microsoft.com/office/drawing/2014/chart" uri="{C3380CC4-5D6E-409C-BE32-E72D297353CC}">
              <c16:uniqueId val="{00000000-1020-46AF-B408-82DB8438CDEB}"/>
            </c:ext>
          </c:extLst>
        </c:ser>
        <c:dLbls>
          <c:showLegendKey val="0"/>
          <c:showVal val="0"/>
          <c:showCatName val="0"/>
          <c:showSerName val="0"/>
          <c:showPercent val="0"/>
          <c:showBubbleSize val="0"/>
        </c:dLbls>
        <c:axId val="536466159"/>
        <c:axId val="536466575"/>
      </c:scatterChart>
      <c:valAx>
        <c:axId val="53646615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Time</a:t>
                </a:r>
                <a:r>
                  <a:rPr lang="en-GB" baseline="0"/>
                  <a:t> after egress of detachment (sec)</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6466575"/>
        <c:crosses val="autoZero"/>
        <c:crossBetween val="midCat"/>
      </c:valAx>
      <c:valAx>
        <c:axId val="53646657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Detahcment force (pN)</a:t>
                </a:r>
                <a:r>
                  <a:rPr lang="en-GB" baseline="0"/>
                  <a:t>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6466159"/>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R1 peptide data attchemnet force when two cells pulled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'R1 peptide'!$C$67:$C$78</c:f>
              <c:numCache>
                <c:formatCode>General</c:formatCode>
                <c:ptCount val="12"/>
                <c:pt idx="0">
                  <c:v>32.206299999999992</c:v>
                </c:pt>
                <c:pt idx="1">
                  <c:v>30.703987999999981</c:v>
                </c:pt>
                <c:pt idx="2">
                  <c:v>26.963775999999989</c:v>
                </c:pt>
                <c:pt idx="3">
                  <c:v>16.212126000000005</c:v>
                </c:pt>
                <c:pt idx="4">
                  <c:v>29.158864000000015</c:v>
                </c:pt>
                <c:pt idx="5">
                  <c:v>16.321102</c:v>
                </c:pt>
                <c:pt idx="6">
                  <c:v>46.166904000000002</c:v>
                </c:pt>
                <c:pt idx="7">
                  <c:v>28.374625999999978</c:v>
                </c:pt>
                <c:pt idx="8">
                  <c:v>33.046971999999997</c:v>
                </c:pt>
                <c:pt idx="9">
                  <c:v>23.606926000000001</c:v>
                </c:pt>
                <c:pt idx="10">
                  <c:v>29.186108000000004</c:v>
                </c:pt>
                <c:pt idx="11">
                  <c:v>8.6071580000000036</c:v>
                </c:pt>
              </c:numCache>
            </c:numRef>
          </c:xVal>
          <c:yVal>
            <c:numRef>
              <c:f>'R1 peptide'!$D$67:$D$78</c:f>
              <c:numCache>
                <c:formatCode>General</c:formatCode>
                <c:ptCount val="12"/>
                <c:pt idx="0">
                  <c:v>32.237436000000002</c:v>
                </c:pt>
                <c:pt idx="1">
                  <c:v>31.690610000000021</c:v>
                </c:pt>
                <c:pt idx="2">
                  <c:v>30.071538000000007</c:v>
                </c:pt>
                <c:pt idx="3">
                  <c:v>12.224772000000021</c:v>
                </c:pt>
                <c:pt idx="4">
                  <c:v>19.798604000000012</c:v>
                </c:pt>
                <c:pt idx="5">
                  <c:v>19.658492000000006</c:v>
                </c:pt>
                <c:pt idx="6">
                  <c:v>24.397001999999986</c:v>
                </c:pt>
                <c:pt idx="7">
                  <c:v>22.758470000000017</c:v>
                </c:pt>
                <c:pt idx="8">
                  <c:v>33.477037999999979</c:v>
                </c:pt>
                <c:pt idx="9">
                  <c:v>22.916095999999992</c:v>
                </c:pt>
                <c:pt idx="10">
                  <c:v>21.612276000000016</c:v>
                </c:pt>
                <c:pt idx="11">
                  <c:v>19.893957999999998</c:v>
                </c:pt>
              </c:numCache>
            </c:numRef>
          </c:yVal>
          <c:smooth val="0"/>
          <c:extLst>
            <c:ext xmlns:c16="http://schemas.microsoft.com/office/drawing/2014/chart" uri="{C3380CC4-5D6E-409C-BE32-E72D297353CC}">
              <c16:uniqueId val="{00000000-6727-4ABB-ADDD-7B9F0EB210B0}"/>
            </c:ext>
          </c:extLst>
        </c:ser>
        <c:dLbls>
          <c:showLegendKey val="0"/>
          <c:showVal val="0"/>
          <c:showCatName val="0"/>
          <c:showSerName val="0"/>
          <c:showPercent val="0"/>
          <c:showBubbleSize val="0"/>
        </c:dLbls>
        <c:axId val="1014852928"/>
        <c:axId val="1014848352"/>
      </c:scatterChart>
      <c:valAx>
        <c:axId val="101485292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4848352"/>
        <c:crosses val="autoZero"/>
        <c:crossBetween val="midCat"/>
      </c:valAx>
      <c:valAx>
        <c:axId val="10148483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485292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'R1 peptide'!$Q$68:$Q$128</c:f>
              <c:numCache>
                <c:formatCode>General</c:formatCode>
                <c:ptCount val="61"/>
                <c:pt idx="0">
                  <c:v>45.410000000000011</c:v>
                </c:pt>
                <c:pt idx="1">
                  <c:v>144.42000000000002</c:v>
                </c:pt>
                <c:pt idx="3">
                  <c:v>58.31</c:v>
                </c:pt>
                <c:pt idx="4">
                  <c:v>67.94</c:v>
                </c:pt>
                <c:pt idx="5">
                  <c:v>73.88</c:v>
                </c:pt>
                <c:pt idx="7">
                  <c:v>94.390000000000015</c:v>
                </c:pt>
                <c:pt idx="8">
                  <c:v>155.91999999999999</c:v>
                </c:pt>
                <c:pt idx="10">
                  <c:v>31.820000000000004</c:v>
                </c:pt>
                <c:pt idx="11">
                  <c:v>78.48</c:v>
                </c:pt>
                <c:pt idx="12">
                  <c:v>52.75</c:v>
                </c:pt>
                <c:pt idx="13">
                  <c:v>52.75</c:v>
                </c:pt>
                <c:pt idx="14">
                  <c:v>146.26999999999998</c:v>
                </c:pt>
                <c:pt idx="15">
                  <c:v>146.26999999999998</c:v>
                </c:pt>
                <c:pt idx="18">
                  <c:v>35.699999999999996</c:v>
                </c:pt>
                <c:pt idx="19">
                  <c:v>49.48</c:v>
                </c:pt>
                <c:pt idx="20">
                  <c:v>93.72</c:v>
                </c:pt>
                <c:pt idx="21">
                  <c:v>100.14999999999998</c:v>
                </c:pt>
                <c:pt idx="22">
                  <c:v>107.23</c:v>
                </c:pt>
                <c:pt idx="23">
                  <c:v>107.23</c:v>
                </c:pt>
                <c:pt idx="24">
                  <c:v>62.26</c:v>
                </c:pt>
                <c:pt idx="25">
                  <c:v>87.32</c:v>
                </c:pt>
                <c:pt idx="26">
                  <c:v>110.97</c:v>
                </c:pt>
                <c:pt idx="27">
                  <c:v>110.97</c:v>
                </c:pt>
                <c:pt idx="28">
                  <c:v>154.22</c:v>
                </c:pt>
                <c:pt idx="29">
                  <c:v>154.22</c:v>
                </c:pt>
                <c:pt idx="31">
                  <c:v>110.14000000000001</c:v>
                </c:pt>
                <c:pt idx="32">
                  <c:v>56.42</c:v>
                </c:pt>
                <c:pt idx="33">
                  <c:v>81.89</c:v>
                </c:pt>
                <c:pt idx="34">
                  <c:v>114.66000000000001</c:v>
                </c:pt>
                <c:pt idx="37">
                  <c:v>26.639999999999997</c:v>
                </c:pt>
                <c:pt idx="38">
                  <c:v>87.36</c:v>
                </c:pt>
                <c:pt idx="39">
                  <c:v>105.61</c:v>
                </c:pt>
                <c:pt idx="40">
                  <c:v>33.83</c:v>
                </c:pt>
                <c:pt idx="41">
                  <c:v>67.100000000000009</c:v>
                </c:pt>
                <c:pt idx="42">
                  <c:v>100.93</c:v>
                </c:pt>
                <c:pt idx="43">
                  <c:v>152.07999999999998</c:v>
                </c:pt>
                <c:pt idx="44">
                  <c:v>186.81</c:v>
                </c:pt>
                <c:pt idx="45">
                  <c:v>62.670000000000016</c:v>
                </c:pt>
                <c:pt idx="46">
                  <c:v>62.670000000000016</c:v>
                </c:pt>
                <c:pt idx="47">
                  <c:v>201.16000000000003</c:v>
                </c:pt>
                <c:pt idx="48">
                  <c:v>201.16000000000003</c:v>
                </c:pt>
                <c:pt idx="49">
                  <c:v>37.53</c:v>
                </c:pt>
                <c:pt idx="50">
                  <c:v>44.42</c:v>
                </c:pt>
                <c:pt idx="51">
                  <c:v>72.099999999999994</c:v>
                </c:pt>
                <c:pt idx="52">
                  <c:v>72.099999999999994</c:v>
                </c:pt>
                <c:pt idx="53">
                  <c:v>159.43</c:v>
                </c:pt>
                <c:pt idx="54">
                  <c:v>159.43</c:v>
                </c:pt>
                <c:pt idx="55">
                  <c:v>187.51</c:v>
                </c:pt>
                <c:pt idx="56">
                  <c:v>187.51</c:v>
                </c:pt>
                <c:pt idx="57">
                  <c:v>44.99</c:v>
                </c:pt>
                <c:pt idx="58">
                  <c:v>44.99</c:v>
                </c:pt>
                <c:pt idx="59">
                  <c:v>140.05000000000001</c:v>
                </c:pt>
                <c:pt idx="60">
                  <c:v>140.05000000000001</c:v>
                </c:pt>
              </c:numCache>
            </c:numRef>
          </c:xVal>
          <c:yVal>
            <c:numRef>
              <c:f>'R1 peptide'!$R$68:$R$128</c:f>
              <c:numCache>
                <c:formatCode>General</c:formatCode>
                <c:ptCount val="61"/>
                <c:pt idx="0">
                  <c:v>15.102906000000019</c:v>
                </c:pt>
                <c:pt idx="1">
                  <c:v>73.584098000000012</c:v>
                </c:pt>
                <c:pt idx="3">
                  <c:v>44.055493999999989</c:v>
                </c:pt>
                <c:pt idx="4">
                  <c:v>10.739974000000011</c:v>
                </c:pt>
                <c:pt idx="5">
                  <c:v>26.078345999999989</c:v>
                </c:pt>
                <c:pt idx="7">
                  <c:v>17.117015999999985</c:v>
                </c:pt>
                <c:pt idx="8">
                  <c:v>78.966733999999988</c:v>
                </c:pt>
                <c:pt idx="10">
                  <c:v>45.544183999999994</c:v>
                </c:pt>
                <c:pt idx="11">
                  <c:v>49.12871599999999</c:v>
                </c:pt>
                <c:pt idx="12">
                  <c:v>8.6071580000000036</c:v>
                </c:pt>
                <c:pt idx="13">
                  <c:v>19.893957999999998</c:v>
                </c:pt>
                <c:pt idx="14">
                  <c:v>29.186108000000004</c:v>
                </c:pt>
                <c:pt idx="15">
                  <c:v>21.612276000000016</c:v>
                </c:pt>
                <c:pt idx="18">
                  <c:v>14.501591999999997</c:v>
                </c:pt>
                <c:pt idx="19">
                  <c:v>15.994174000000017</c:v>
                </c:pt>
                <c:pt idx="20">
                  <c:v>-13.102417999999981</c:v>
                </c:pt>
                <c:pt idx="21">
                  <c:v>43.50283000000001</c:v>
                </c:pt>
                <c:pt idx="22">
                  <c:v>23.606926000000001</c:v>
                </c:pt>
                <c:pt idx="23">
                  <c:v>22.916095999999992</c:v>
                </c:pt>
                <c:pt idx="24">
                  <c:v>33.272708000000023</c:v>
                </c:pt>
                <c:pt idx="25">
                  <c:v>32.577985999999996</c:v>
                </c:pt>
                <c:pt idx="26">
                  <c:v>33.046971999999997</c:v>
                </c:pt>
                <c:pt idx="27">
                  <c:v>33.477037999999979</c:v>
                </c:pt>
                <c:pt idx="28">
                  <c:v>1.7475079999999923</c:v>
                </c:pt>
                <c:pt idx="29">
                  <c:v>19.210912</c:v>
                </c:pt>
                <c:pt idx="31">
                  <c:v>11.71491999999999</c:v>
                </c:pt>
                <c:pt idx="32">
                  <c:v>34.06472999999999</c:v>
                </c:pt>
                <c:pt idx="33">
                  <c:v>49.099526000000012</c:v>
                </c:pt>
                <c:pt idx="34">
                  <c:v>63.671173999999986</c:v>
                </c:pt>
                <c:pt idx="37">
                  <c:v>68.279301999999973</c:v>
                </c:pt>
                <c:pt idx="38">
                  <c:v>50.619351999999999</c:v>
                </c:pt>
                <c:pt idx="39">
                  <c:v>56.871850000000009</c:v>
                </c:pt>
                <c:pt idx="40">
                  <c:v>10.537589999999984</c:v>
                </c:pt>
                <c:pt idx="41">
                  <c:v>8.5604540000000018</c:v>
                </c:pt>
                <c:pt idx="42">
                  <c:v>28.555603999999985</c:v>
                </c:pt>
                <c:pt idx="43">
                  <c:v>23.503788000000007</c:v>
                </c:pt>
                <c:pt idx="44">
                  <c:v>53.193909999999988</c:v>
                </c:pt>
                <c:pt idx="45">
                  <c:v>46.166904000000002</c:v>
                </c:pt>
                <c:pt idx="46">
                  <c:v>24.397001999999986</c:v>
                </c:pt>
                <c:pt idx="47">
                  <c:v>16.321102</c:v>
                </c:pt>
                <c:pt idx="48">
                  <c:v>19.658492000000006</c:v>
                </c:pt>
                <c:pt idx="49">
                  <c:v>26.16980800000001</c:v>
                </c:pt>
                <c:pt idx="50">
                  <c:v>25.718336000000015</c:v>
                </c:pt>
                <c:pt idx="51">
                  <c:v>29.158864000000015</c:v>
                </c:pt>
                <c:pt idx="52">
                  <c:v>19.798604000000012</c:v>
                </c:pt>
                <c:pt idx="53">
                  <c:v>16.212126000000005</c:v>
                </c:pt>
                <c:pt idx="54">
                  <c:v>12.224772000000021</c:v>
                </c:pt>
                <c:pt idx="55">
                  <c:v>26.963775999999989</c:v>
                </c:pt>
                <c:pt idx="56">
                  <c:v>30.071538000000007</c:v>
                </c:pt>
                <c:pt idx="57">
                  <c:v>30.703987999999981</c:v>
                </c:pt>
                <c:pt idx="58">
                  <c:v>31.690610000000021</c:v>
                </c:pt>
                <c:pt idx="59">
                  <c:v>32.206299999999992</c:v>
                </c:pt>
                <c:pt idx="60">
                  <c:v>32.237436000000002</c:v>
                </c:pt>
              </c:numCache>
            </c:numRef>
          </c:yVal>
          <c:smooth val="0"/>
          <c:extLst>
            <c:ext xmlns:c16="http://schemas.microsoft.com/office/drawing/2014/chart" uri="{C3380CC4-5D6E-409C-BE32-E72D297353CC}">
              <c16:uniqueId val="{00000000-93BB-498E-9358-E1C7A036485F}"/>
            </c:ext>
          </c:extLst>
        </c:ser>
        <c:dLbls>
          <c:showLegendKey val="0"/>
          <c:showVal val="0"/>
          <c:showCatName val="0"/>
          <c:showSerName val="0"/>
          <c:showPercent val="0"/>
          <c:showBubbleSize val="0"/>
        </c:dLbls>
        <c:axId val="739944351"/>
        <c:axId val="739931039"/>
      </c:scatterChart>
      <c:valAx>
        <c:axId val="73994435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9931039"/>
        <c:crosses val="autoZero"/>
        <c:crossBetween val="midCat"/>
      </c:valAx>
      <c:valAx>
        <c:axId val="7399310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9944351"/>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'NF54 '!$AA$26:$AA$32</c:f>
              <c:numCache>
                <c:formatCode>General</c:formatCode>
                <c:ptCount val="7"/>
                <c:pt idx="0">
                  <c:v>32.82</c:v>
                </c:pt>
                <c:pt idx="1">
                  <c:v>40.379999999999995</c:v>
                </c:pt>
                <c:pt idx="2">
                  <c:v>45.779999999999987</c:v>
                </c:pt>
                <c:pt idx="3">
                  <c:v>86.3</c:v>
                </c:pt>
                <c:pt idx="4">
                  <c:v>95.83</c:v>
                </c:pt>
                <c:pt idx="5">
                  <c:v>101.63000000000001</c:v>
                </c:pt>
                <c:pt idx="6">
                  <c:v>169.78</c:v>
                </c:pt>
              </c:numCache>
            </c:numRef>
          </c:xVal>
          <c:yVal>
            <c:numRef>
              <c:f>'NF54 '!$AB$26:$AB$32</c:f>
              <c:numCache>
                <c:formatCode>General</c:formatCode>
                <c:ptCount val="7"/>
                <c:pt idx="0">
                  <c:v>14.112392000000018</c:v>
                </c:pt>
                <c:pt idx="1">
                  <c:v>19.456107999999979</c:v>
                </c:pt>
                <c:pt idx="2">
                  <c:v>50.560972</c:v>
                </c:pt>
                <c:pt idx="3">
                  <c:v>50.210692000000009</c:v>
                </c:pt>
                <c:pt idx="4">
                  <c:v>19.964014000000002</c:v>
                </c:pt>
                <c:pt idx="5">
                  <c:v>12.434940000000001</c:v>
                </c:pt>
                <c:pt idx="6">
                  <c:v>46.338152000000022</c:v>
                </c:pt>
              </c:numCache>
            </c:numRef>
          </c:yVal>
          <c:smooth val="0"/>
          <c:extLst>
            <c:ext xmlns:c15="http://schemas.microsoft.com/office/drawing/2012/chart" uri="{02D57815-91ED-43cb-92C2-25804820EDAC}">
              <c15:filteredSeriesTitle>
                <c15:tx>
                  <c:strRef>
                    <c:extLst>
                      <c:ext uri="{02D57815-91ED-43cb-92C2-25804820EDAC}">
                        <c15:formulaRef>
                          <c15:sqref>'NF54 EEJR0001-4'!#REF!</c15:sqref>
                        </c15:formulaRef>
                      </c:ext>
                    </c:extLst>
                    <c:strCache>
                      <c:ptCount val="1"/>
                      <c:pt idx="0">
                        <c:v>#REF!</c:v>
                      </c:pt>
                    </c:strCache>
                  </c:strRef>
                </c15:tx>
              </c15:filteredSeriesTitle>
            </c:ext>
            <c:ext xmlns:c16="http://schemas.microsoft.com/office/drawing/2014/chart" uri="{C3380CC4-5D6E-409C-BE32-E72D297353CC}">
              <c16:uniqueId val="{00000000-CD01-451A-88CD-7B9F7A34DC28}"/>
            </c:ext>
          </c:extLst>
        </c:ser>
        <c:dLbls>
          <c:showLegendKey val="0"/>
          <c:showVal val="0"/>
          <c:showCatName val="0"/>
          <c:showSerName val="0"/>
          <c:showPercent val="0"/>
          <c:showBubbleSize val="0"/>
        </c:dLbls>
        <c:axId val="359899416"/>
        <c:axId val="359895496"/>
      </c:scatterChart>
      <c:valAx>
        <c:axId val="35989941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000" b="0" i="0" u="none" strike="noStrike" baseline="0">
                    <a:latin typeface="Berlin Sans FB" panose="020E0602020502020306" pitchFamily="34" charset="0"/>
                  </a:rPr>
                  <a:t>Detachment force (N</a:t>
                </a:r>
                <a:r>
                  <a:rPr lang="en-GB" sz="1000" b="0" i="0" u="none" strike="noStrike" baseline="0"/>
                  <a:t>) </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9895496"/>
        <c:crosses val="autoZero"/>
        <c:crossBetween val="midCat"/>
      </c:valAx>
      <c:valAx>
        <c:axId val="3598954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latin typeface="Berlin Sans FB" panose="020E0602020502020306" pitchFamily="34" charset="0"/>
                  </a:rPr>
                  <a:t>Time after egress (sec)</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989941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77</xdr:col>
      <xdr:colOff>173355</xdr:colOff>
      <xdr:row>36</xdr:row>
      <xdr:rowOff>34290</xdr:rowOff>
    </xdr:from>
    <xdr:to>
      <xdr:col>84</xdr:col>
      <xdr:colOff>264795</xdr:colOff>
      <xdr:row>51</xdr:row>
      <xdr:rowOff>34290</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53</xdr:col>
      <xdr:colOff>561447</xdr:colOff>
      <xdr:row>32</xdr:row>
      <xdr:rowOff>23021</xdr:rowOff>
    </xdr:from>
    <xdr:to>
      <xdr:col>60</xdr:col>
      <xdr:colOff>281438</xdr:colOff>
      <xdr:row>47</xdr:row>
      <xdr:rowOff>32960</xdr:rowOff>
    </xdr:to>
    <xdr:graphicFrame macro="">
      <xdr:nvGraphicFramePr>
        <xdr:cNvPr id="3" name="Chart 2">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463899</xdr:colOff>
      <xdr:row>78</xdr:row>
      <xdr:rowOff>16958</xdr:rowOff>
    </xdr:from>
    <xdr:to>
      <xdr:col>13</xdr:col>
      <xdr:colOff>217715</xdr:colOff>
      <xdr:row>95</xdr:row>
      <xdr:rowOff>46893</xdr:rowOff>
    </xdr:to>
    <xdr:graphicFrame macro="">
      <xdr:nvGraphicFramePr>
        <xdr:cNvPr id="3" name="Chart 2">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582930</xdr:colOff>
      <xdr:row>66</xdr:row>
      <xdr:rowOff>17145</xdr:rowOff>
    </xdr:from>
    <xdr:to>
      <xdr:col>13</xdr:col>
      <xdr:colOff>34290</xdr:colOff>
      <xdr:row>81</xdr:row>
      <xdr:rowOff>17145</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17290</xdr:colOff>
      <xdr:row>72</xdr:row>
      <xdr:rowOff>46350</xdr:rowOff>
    </xdr:from>
    <xdr:to>
      <xdr:col>23</xdr:col>
      <xdr:colOff>105805</xdr:colOff>
      <xdr:row>87</xdr:row>
      <xdr:rowOff>32904</xdr:rowOff>
    </xdr:to>
    <xdr:graphicFrame macro="">
      <xdr:nvGraphicFramePr>
        <xdr:cNvPr id="3" name="Chart 2">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34</xdr:col>
      <xdr:colOff>76199</xdr:colOff>
      <xdr:row>21</xdr:row>
      <xdr:rowOff>10885</xdr:rowOff>
    </xdr:from>
    <xdr:to>
      <xdr:col>41</xdr:col>
      <xdr:colOff>380999</xdr:colOff>
      <xdr:row>34</xdr:row>
      <xdr:rowOff>163285</xdr:rowOff>
    </xdr:to>
    <xdr:graphicFrame macro="">
      <xdr:nvGraphicFramePr>
        <xdr:cNvPr id="3" name="Chart 2">
          <a:extLst>
            <a:ext uri="{FF2B5EF4-FFF2-40B4-BE49-F238E27FC236}">
              <a16:creationId xmlns:a16="http://schemas.microsoft.com/office/drawing/2014/main" id="{00000000-0008-0000-18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119743</xdr:colOff>
      <xdr:row>0</xdr:row>
      <xdr:rowOff>538843</xdr:rowOff>
    </xdr:from>
    <xdr:to>
      <xdr:col>10</xdr:col>
      <xdr:colOff>729343</xdr:colOff>
      <xdr:row>11</xdr:row>
      <xdr:rowOff>174171</xdr:rowOff>
    </xdr:to>
    <xdr:sp macro="" textlink="">
      <xdr:nvSpPr>
        <xdr:cNvPr id="2" name="TextBox 1">
          <a:extLst>
            <a:ext uri="{FF2B5EF4-FFF2-40B4-BE49-F238E27FC236}">
              <a16:creationId xmlns:a16="http://schemas.microsoft.com/office/drawing/2014/main" id="{00000000-0008-0000-1800-000002000000}"/>
            </a:ext>
          </a:extLst>
        </xdr:cNvPr>
        <xdr:cNvSpPr txBox="1"/>
      </xdr:nvSpPr>
      <xdr:spPr>
        <a:xfrm>
          <a:off x="1404257" y="538843"/>
          <a:ext cx="7222672" cy="302622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3600">
              <a:solidFill>
                <a:srgbClr val="FF0000"/>
              </a:solidFill>
            </a:rPr>
            <a:t>Redone</a:t>
          </a:r>
          <a:r>
            <a:rPr lang="en-GB" sz="3600" baseline="0">
              <a:solidFill>
                <a:srgbClr val="FF0000"/>
              </a:solidFill>
            </a:rPr>
            <a:t> all the analysis for this data - see NF54 version 2 </a:t>
          </a:r>
          <a:endParaRPr lang="en-GB" sz="3600">
            <a:solidFill>
              <a:srgbClr val="FF0000"/>
            </a:solidFill>
          </a:endParaRPr>
        </a:p>
      </xdr:txBody>
    </xdr:sp>
    <xdr:clientData/>
  </xdr:twoCellAnchor>
</xdr:wsDr>
</file>

<file path=xl/persons/person.xml><?xml version="1.0" encoding="utf-8"?>
<personList xmlns="http://schemas.microsoft.com/office/spreadsheetml/2018/threadedcomments" xmlns:x="http://schemas.openxmlformats.org/spreadsheetml/2006/mai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D2:T58" totalsRowCount="1" headerRowDxfId="6">
  <autoFilter ref="D2:T57" xr:uid="{00000000-0009-0000-0100-000001000000}"/>
  <tableColumns count="17">
    <tableColumn id="1" xr3:uid="{00000000-0010-0000-0000-000001000000}" name="Column1"/>
    <tableColumn id="2" xr3:uid="{00000000-0010-0000-0000-000002000000}" name="Column2"/>
    <tableColumn id="3" xr3:uid="{00000000-0010-0000-0000-000003000000}" name="Column3" dataCellStyle="Normal"/>
    <tableColumn id="16" xr3:uid="{00000000-0010-0000-0000-000010000000}" name="Column32"/>
    <tableColumn id="17" xr3:uid="{00000000-0010-0000-0000-000011000000}" name="Column33"/>
    <tableColumn id="4" xr3:uid="{00000000-0010-0000-0000-000004000000}" name="Column4" dataCellStyle="Normal"/>
    <tableColumn id="5" xr3:uid="{00000000-0010-0000-0000-000005000000}" name="Column5" dataCellStyle="Normal"/>
    <tableColumn id="6" xr3:uid="{00000000-0010-0000-0000-000006000000}" name="Column6" dataCellStyle="Normal"/>
    <tableColumn id="7" xr3:uid="{00000000-0010-0000-0000-000007000000}" name="Column7" dataCellStyle="Normal"/>
    <tableColumn id="8" xr3:uid="{00000000-0010-0000-0000-000008000000}" name="Column8" totalsRowFunction="custom" totalsRowDxfId="5" dataCellStyle="Normal">
      <totalsRowFormula>(SUM(M3,M6:M9,M11,M13,M18,M23,M27:M34,M36:M44,M46:M54))/(COUNT(M3,M6:M9,M11,M13,M18,M23,M27:M34,M36:M44,M46:M54))</totalsRowFormula>
    </tableColumn>
    <tableColumn id="9" xr3:uid="{00000000-0010-0000-0000-000009000000}" name="Column9" dataCellStyle="Normal"/>
    <tableColumn id="10" xr3:uid="{00000000-0010-0000-0000-00000A000000}" name="Column10" dataCellStyle="Normal"/>
    <tableColumn id="11" xr3:uid="{00000000-0010-0000-0000-00000B000000}" name="Column11" dataCellStyle="Normal"/>
    <tableColumn id="12" xr3:uid="{00000000-0010-0000-0000-00000C000000}" name="Column12" dataCellStyle="Normal"/>
    <tableColumn id="13" xr3:uid="{00000000-0010-0000-0000-00000D000000}" name="Column13" dataCellStyle="Normal"/>
    <tableColumn id="14" xr3:uid="{00000000-0010-0000-0000-00000E000000}" name="Column14" dataCellStyle="Normal"/>
    <tableColumn id="15" xr3:uid="{00000000-0010-0000-0000-00000F000000}" name="Column15" dataCellStyle="Normal"/>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4.xml"/><Relationship Id="rId1" Type="http://schemas.openxmlformats.org/officeDocument/2006/relationships/printerSettings" Target="../printerSettings/printerSettings27.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CE55"/>
  <sheetViews>
    <sheetView tabSelected="1" zoomScaleNormal="100" workbookViewId="0">
      <pane xSplit="1" topLeftCell="E1" activePane="topRight" state="frozen"/>
      <selection pane="topRight" activeCell="B5" sqref="B5:AD26"/>
    </sheetView>
  </sheetViews>
  <sheetFormatPr defaultRowHeight="14.4" x14ac:dyDescent="0.55000000000000004"/>
  <cols>
    <col min="1" max="1" width="16.05078125" customWidth="1"/>
    <col min="2" max="51" width="8.83984375" style="10"/>
    <col min="53" max="53" width="12.20703125" customWidth="1"/>
    <col min="58" max="58" width="14" customWidth="1"/>
    <col min="62" max="62" width="9.9453125" customWidth="1"/>
    <col min="63" max="63" width="43.7890625" customWidth="1"/>
    <col min="64" max="64" width="9.83984375" customWidth="1"/>
    <col min="65" max="65" width="11.3671875" customWidth="1"/>
    <col min="66" max="68" width="9.83984375" customWidth="1"/>
    <col min="70" max="70" width="20.68359375" customWidth="1"/>
  </cols>
  <sheetData>
    <row r="1" spans="1:71" x14ac:dyDescent="0.55000000000000004">
      <c r="B1" s="149"/>
      <c r="C1" s="149"/>
      <c r="D1" s="149"/>
      <c r="E1" s="149"/>
      <c r="F1" s="149"/>
      <c r="G1" s="149"/>
      <c r="H1" s="149"/>
      <c r="I1" s="149"/>
      <c r="J1" s="149"/>
      <c r="K1" s="149"/>
      <c r="L1" s="149"/>
      <c r="M1" s="149"/>
      <c r="N1" s="149"/>
      <c r="O1" s="149"/>
      <c r="P1" s="149"/>
      <c r="Q1" s="149"/>
      <c r="R1" s="149"/>
      <c r="S1" s="149"/>
      <c r="T1" s="149"/>
      <c r="U1" s="149"/>
      <c r="V1" s="149"/>
      <c r="W1" s="149"/>
      <c r="X1" s="149"/>
      <c r="Y1" s="149"/>
      <c r="Z1" s="149"/>
      <c r="AA1" s="149"/>
      <c r="AB1" s="149"/>
      <c r="AC1" s="149"/>
      <c r="AD1" s="149"/>
      <c r="AE1" s="149"/>
      <c r="AF1" s="149"/>
      <c r="AG1" s="149"/>
      <c r="AH1" s="149"/>
      <c r="AI1" s="149"/>
      <c r="AJ1" s="149"/>
      <c r="AK1" s="149"/>
      <c r="AL1" s="149"/>
      <c r="AM1" s="149"/>
      <c r="AN1" s="149"/>
      <c r="AO1" s="149"/>
      <c r="AP1" s="149"/>
      <c r="AQ1" s="149"/>
      <c r="AR1" s="149"/>
      <c r="AS1" s="149"/>
      <c r="AT1" s="149"/>
      <c r="AU1" s="149"/>
      <c r="AV1" s="149"/>
      <c r="AW1" s="149"/>
      <c r="AX1" s="149"/>
      <c r="AY1" s="149"/>
      <c r="AZ1" s="114"/>
      <c r="BA1" s="114"/>
      <c r="BB1" s="114"/>
      <c r="BC1" s="114"/>
      <c r="BD1" s="114"/>
      <c r="BE1" s="114"/>
      <c r="BF1" s="114"/>
    </row>
    <row r="2" spans="1:71" x14ac:dyDescent="0.55000000000000004">
      <c r="B2" s="149"/>
      <c r="C2" s="149"/>
      <c r="D2" s="149"/>
      <c r="E2" s="149"/>
      <c r="F2" s="149"/>
      <c r="G2" s="149"/>
      <c r="H2" s="149"/>
      <c r="I2" s="149"/>
      <c r="J2" s="149"/>
      <c r="K2" s="149"/>
      <c r="L2" s="149"/>
      <c r="M2" s="149"/>
      <c r="N2" s="149"/>
      <c r="O2" s="149"/>
      <c r="P2" s="149"/>
      <c r="Q2" s="149"/>
      <c r="R2" s="149"/>
      <c r="S2" s="149"/>
      <c r="T2" s="149"/>
      <c r="U2" s="149"/>
      <c r="V2" s="149"/>
      <c r="W2" s="149"/>
      <c r="X2" s="149"/>
      <c r="Y2" s="149"/>
      <c r="Z2" s="149"/>
      <c r="AA2" s="149"/>
      <c r="AB2" s="149"/>
      <c r="AC2" s="149"/>
      <c r="AD2" s="149"/>
      <c r="AE2" s="149"/>
      <c r="AF2" s="149"/>
      <c r="AG2" s="149"/>
      <c r="AH2" s="149"/>
      <c r="AI2" s="149"/>
      <c r="AJ2" s="149"/>
      <c r="AK2" s="149"/>
      <c r="AL2" s="149"/>
      <c r="AM2" s="149"/>
      <c r="AN2" s="149"/>
      <c r="AO2" s="149"/>
      <c r="AP2" s="149"/>
      <c r="AQ2" s="149"/>
      <c r="AR2" s="149"/>
      <c r="AS2" s="149"/>
      <c r="AT2" s="149"/>
      <c r="AU2" s="149"/>
      <c r="AV2" s="149"/>
      <c r="AW2" s="149"/>
      <c r="AX2" s="149"/>
      <c r="AY2" s="149"/>
      <c r="AZ2" s="114"/>
      <c r="BA2" s="114"/>
      <c r="BB2" s="114"/>
      <c r="BC2" s="114"/>
      <c r="BD2" s="114"/>
      <c r="BE2" s="114"/>
      <c r="BF2" s="114"/>
    </row>
    <row r="3" spans="1:71" s="1" customFormat="1" ht="72" x14ac:dyDescent="0.55000000000000004">
      <c r="B3" s="155"/>
      <c r="C3" s="155"/>
      <c r="D3" s="155"/>
      <c r="E3" s="155"/>
      <c r="F3" s="155"/>
      <c r="G3" s="155"/>
      <c r="H3" s="155"/>
      <c r="I3" s="155"/>
      <c r="J3" s="155"/>
      <c r="K3" s="155"/>
      <c r="L3" s="155"/>
      <c r="M3" s="155"/>
      <c r="N3" s="155"/>
      <c r="O3" s="155"/>
      <c r="P3" s="155"/>
      <c r="Q3" s="155"/>
      <c r="R3" s="155"/>
      <c r="S3" s="155"/>
      <c r="T3" s="155"/>
      <c r="U3" s="155"/>
      <c r="V3" s="155"/>
      <c r="W3" s="155"/>
      <c r="X3" s="155"/>
      <c r="Y3" s="155"/>
      <c r="Z3" s="155"/>
      <c r="AA3" s="155"/>
      <c r="AB3" s="155"/>
      <c r="AC3" s="155"/>
      <c r="AD3" s="155"/>
      <c r="AE3" s="155"/>
      <c r="AF3" s="155"/>
      <c r="AG3" s="155"/>
      <c r="AH3" s="155"/>
      <c r="AI3" s="155"/>
      <c r="AJ3" s="155"/>
      <c r="AK3" s="155"/>
      <c r="AL3" s="155"/>
      <c r="AM3" s="155"/>
      <c r="AN3" s="155"/>
      <c r="AO3" s="155"/>
      <c r="AP3" s="155"/>
      <c r="AQ3" s="155"/>
      <c r="AR3" s="155"/>
      <c r="AS3" s="155"/>
      <c r="AT3" s="155"/>
      <c r="AU3" s="155"/>
      <c r="AV3" s="155"/>
      <c r="AW3" s="155"/>
      <c r="AX3" s="155"/>
      <c r="AY3" s="155"/>
      <c r="AZ3" s="152" t="s">
        <v>633</v>
      </c>
      <c r="BA3" s="152"/>
      <c r="BB3" s="152" t="s">
        <v>453</v>
      </c>
      <c r="BC3" s="152" t="s">
        <v>225</v>
      </c>
      <c r="BD3" s="152" t="s">
        <v>226</v>
      </c>
      <c r="BE3" s="152" t="s">
        <v>1134</v>
      </c>
      <c r="BF3" s="152" t="s">
        <v>456</v>
      </c>
      <c r="BH3" s="152" t="s">
        <v>1004</v>
      </c>
      <c r="BJ3" s="152" t="s">
        <v>449</v>
      </c>
      <c r="BK3" s="152" t="s">
        <v>450</v>
      </c>
      <c r="BL3" s="152" t="s">
        <v>451</v>
      </c>
      <c r="BM3" s="152" t="s">
        <v>870</v>
      </c>
      <c r="BO3" s="148" t="s">
        <v>846</v>
      </c>
      <c r="BP3" s="148" t="s">
        <v>847</v>
      </c>
      <c r="BR3" s="152" t="s">
        <v>801</v>
      </c>
      <c r="BS3" s="152" t="s">
        <v>226</v>
      </c>
    </row>
    <row r="4" spans="1:71" x14ac:dyDescent="0.55000000000000004">
      <c r="B4" s="240">
        <v>1</v>
      </c>
      <c r="C4" s="240">
        <v>2</v>
      </c>
      <c r="D4" s="240">
        <v>3</v>
      </c>
      <c r="E4" s="240">
        <v>4</v>
      </c>
      <c r="F4" s="240">
        <v>5</v>
      </c>
      <c r="G4" s="240">
        <v>6</v>
      </c>
      <c r="H4" s="240">
        <v>7</v>
      </c>
      <c r="I4" s="240">
        <v>8</v>
      </c>
      <c r="J4" s="240">
        <v>9</v>
      </c>
      <c r="K4" s="240">
        <v>10</v>
      </c>
      <c r="L4" s="240">
        <v>11</v>
      </c>
      <c r="M4" s="240">
        <v>12</v>
      </c>
      <c r="N4" s="240">
        <v>13</v>
      </c>
      <c r="O4" s="240">
        <v>14</v>
      </c>
      <c r="P4" s="240">
        <v>15</v>
      </c>
      <c r="Q4" s="240">
        <v>16</v>
      </c>
      <c r="R4" s="240">
        <v>17</v>
      </c>
      <c r="S4" s="240">
        <v>18</v>
      </c>
      <c r="T4" s="240">
        <v>19</v>
      </c>
      <c r="U4" s="240">
        <v>20</v>
      </c>
      <c r="V4" s="240">
        <v>21</v>
      </c>
      <c r="W4" s="240">
        <v>22</v>
      </c>
      <c r="X4" s="240">
        <v>23</v>
      </c>
      <c r="Y4" s="240">
        <v>24</v>
      </c>
      <c r="Z4" s="240">
        <v>25</v>
      </c>
      <c r="AA4" s="240">
        <v>26</v>
      </c>
      <c r="AB4" s="240">
        <v>27</v>
      </c>
      <c r="AC4" s="240">
        <v>28</v>
      </c>
      <c r="AD4" s="240">
        <v>29</v>
      </c>
      <c r="AE4" s="240">
        <v>30</v>
      </c>
      <c r="AF4" s="240">
        <v>31</v>
      </c>
      <c r="AG4" s="240">
        <v>32</v>
      </c>
      <c r="AH4" s="240">
        <v>33</v>
      </c>
      <c r="AI4" s="240">
        <v>34</v>
      </c>
      <c r="AJ4" s="240">
        <v>35</v>
      </c>
      <c r="AK4" s="240">
        <v>36</v>
      </c>
      <c r="AL4" s="240">
        <v>37</v>
      </c>
      <c r="AM4" s="240">
        <v>38</v>
      </c>
      <c r="AN4" s="240">
        <v>39</v>
      </c>
      <c r="AO4" s="240">
        <v>40</v>
      </c>
      <c r="AP4" s="240">
        <v>41</v>
      </c>
      <c r="AQ4" s="240">
        <v>42</v>
      </c>
      <c r="AR4" s="240">
        <v>43</v>
      </c>
      <c r="AS4" s="240">
        <v>44</v>
      </c>
      <c r="AT4" s="240">
        <v>45</v>
      </c>
      <c r="AU4" s="240">
        <v>46</v>
      </c>
      <c r="AV4" s="240">
        <v>47</v>
      </c>
      <c r="AW4" s="240">
        <v>48</v>
      </c>
      <c r="AX4" s="240">
        <v>49</v>
      </c>
      <c r="AY4" s="149"/>
      <c r="AZ4" s="114"/>
      <c r="BA4" s="114"/>
      <c r="BB4" s="114"/>
      <c r="BC4" s="114"/>
      <c r="BD4" s="114"/>
      <c r="BE4" s="114"/>
      <c r="BF4" s="114"/>
      <c r="BH4" s="114"/>
      <c r="BJ4" s="114"/>
      <c r="BK4" s="153"/>
      <c r="BL4" s="153"/>
      <c r="BM4" s="114"/>
      <c r="BO4" s="114"/>
      <c r="BP4" s="114"/>
      <c r="BR4" s="114"/>
      <c r="BS4" s="114"/>
    </row>
    <row r="5" spans="1:71" x14ac:dyDescent="0.55000000000000004">
      <c r="A5" t="s">
        <v>89</v>
      </c>
      <c r="B5" s="10">
        <v>11.331557999999987</v>
      </c>
      <c r="C5" s="10">
        <v>20.180019999999978</v>
      </c>
      <c r="D5" s="10">
        <v>57.562680000000022</v>
      </c>
      <c r="E5" s="10">
        <v>2.0471920000000128</v>
      </c>
      <c r="F5" s="10">
        <v>47.357855999999998</v>
      </c>
      <c r="G5" s="10">
        <v>21.476056000000003</v>
      </c>
      <c r="H5" s="10">
        <v>3.8102679999999967</v>
      </c>
      <c r="I5" s="10">
        <v>12.115796</v>
      </c>
      <c r="J5" s="10">
        <v>24.883502000000011</v>
      </c>
      <c r="K5" s="10">
        <v>52.604272000000023</v>
      </c>
      <c r="L5" s="10">
        <v>45.653159999999986</v>
      </c>
      <c r="M5" s="10">
        <v>19.444432000000006</v>
      </c>
      <c r="N5" s="10">
        <v>9.4011259999999783</v>
      </c>
      <c r="O5" s="10">
        <v>49.412831999999995</v>
      </c>
      <c r="P5" s="10">
        <v>34.648529999999987</v>
      </c>
      <c r="Q5" s="10">
        <v>17.101447999999991</v>
      </c>
      <c r="R5" s="10">
        <v>41.642454000000001</v>
      </c>
      <c r="S5" s="10">
        <v>43.853110000000022</v>
      </c>
      <c r="T5" s="10">
        <v>27.193404000000005</v>
      </c>
      <c r="U5" s="10">
        <v>32.558525999999986</v>
      </c>
      <c r="V5" s="10">
        <v>45.75629799999998</v>
      </c>
      <c r="W5" s="10">
        <v>32.827074000000003</v>
      </c>
      <c r="X5" s="10">
        <v>49.944089999999981</v>
      </c>
      <c r="Y5" s="10">
        <v>33.231841999999993</v>
      </c>
      <c r="Z5" s="10">
        <v>10.594024000000005</v>
      </c>
      <c r="AA5" s="10">
        <v>20.084665999999999</v>
      </c>
      <c r="AB5" s="10">
        <v>17.920714000000007</v>
      </c>
      <c r="AC5" s="10">
        <v>16.453429999999997</v>
      </c>
      <c r="AD5" s="149"/>
      <c r="AE5" s="149"/>
      <c r="AF5" s="149"/>
      <c r="AG5" s="149"/>
      <c r="AH5" s="149"/>
      <c r="AI5" s="149"/>
      <c r="AJ5" s="149"/>
      <c r="AK5" s="149"/>
      <c r="AL5" s="149"/>
      <c r="AM5" s="149"/>
      <c r="AN5" s="149"/>
      <c r="AO5" s="149"/>
      <c r="AP5" s="149"/>
      <c r="AQ5" s="149"/>
      <c r="AR5" s="149"/>
      <c r="AS5" s="149"/>
      <c r="AT5" s="149"/>
      <c r="AU5" s="149"/>
      <c r="AV5" s="149"/>
      <c r="AW5" s="149"/>
      <c r="AX5" s="149"/>
      <c r="AY5" s="149"/>
      <c r="AZ5" s="149"/>
      <c r="BA5" s="149"/>
      <c r="BB5" s="149">
        <v>28</v>
      </c>
      <c r="BC5" s="150">
        <f>(SUM(B5:AC5))/(COUNT(B5:AC5))</f>
        <v>28.61037</v>
      </c>
      <c r="BD5" s="150">
        <f xml:space="preserve"> STDEV(B5:AC5)/SQRT(COUNT(B5:AC5))</f>
        <v>3.0439955333486841</v>
      </c>
      <c r="BE5" s="149" t="s">
        <v>558</v>
      </c>
      <c r="BF5" s="149" t="s">
        <v>1125</v>
      </c>
      <c r="BG5" s="10"/>
      <c r="BH5" s="149">
        <v>26</v>
      </c>
      <c r="BI5" s="10"/>
      <c r="BJ5" s="149">
        <v>161</v>
      </c>
      <c r="BK5" s="150">
        <v>36</v>
      </c>
      <c r="BL5" s="150">
        <f t="shared" ref="BL5:BL26" si="0">(BK5/BJ5)*100</f>
        <v>22.36024844720497</v>
      </c>
      <c r="BM5" s="149">
        <f t="shared" ref="BM5:BM26" si="1">(BB5/BK5)*100</f>
        <v>77.777777777777786</v>
      </c>
      <c r="BN5" s="10"/>
      <c r="BO5" s="161">
        <v>24.130333951762498</v>
      </c>
      <c r="BP5" s="161">
        <v>4.4021824967676899</v>
      </c>
      <c r="BR5" s="114">
        <v>100</v>
      </c>
      <c r="BS5" s="114"/>
    </row>
    <row r="6" spans="1:71" s="11" customFormat="1" x14ac:dyDescent="0.55000000000000004">
      <c r="A6" s="11" t="s">
        <v>864</v>
      </c>
      <c r="B6" s="150">
        <v>39.200000000000003</v>
      </c>
      <c r="C6" s="150">
        <v>22.13</v>
      </c>
      <c r="D6" s="150">
        <v>35.270000000000003</v>
      </c>
      <c r="E6" s="150">
        <v>24.6</v>
      </c>
      <c r="F6" s="150">
        <v>57.2</v>
      </c>
      <c r="G6" s="150">
        <v>39.619999999999997</v>
      </c>
      <c r="H6" s="150">
        <v>56.11</v>
      </c>
      <c r="I6" s="150">
        <v>42.13</v>
      </c>
      <c r="J6" s="150">
        <v>63.34</v>
      </c>
      <c r="K6" s="150">
        <v>51</v>
      </c>
      <c r="L6" s="150">
        <v>37.200000000000003</v>
      </c>
      <c r="M6" s="150">
        <v>38.85</v>
      </c>
      <c r="N6" s="150">
        <v>53.23</v>
      </c>
      <c r="O6" s="150">
        <v>31.9</v>
      </c>
      <c r="P6" s="150">
        <v>32.47</v>
      </c>
      <c r="Q6" s="150">
        <v>20.350000000000001</v>
      </c>
      <c r="R6" s="150">
        <v>70.48</v>
      </c>
      <c r="S6" s="150">
        <v>27.285</v>
      </c>
      <c r="T6" s="150">
        <v>37.387999999999998</v>
      </c>
      <c r="U6" s="150">
        <v>35.24</v>
      </c>
      <c r="V6" s="150">
        <v>78.28</v>
      </c>
      <c r="W6" s="150"/>
      <c r="X6" s="150"/>
      <c r="Y6" s="150"/>
      <c r="Z6" s="150"/>
      <c r="AA6" s="150"/>
      <c r="AB6" s="150"/>
      <c r="AC6" s="150"/>
      <c r="AD6" s="150"/>
      <c r="AE6" s="150"/>
      <c r="AF6" s="150"/>
      <c r="AG6" s="150"/>
      <c r="AH6" s="150"/>
      <c r="AI6" s="150"/>
      <c r="AJ6" s="150"/>
      <c r="AK6" s="150"/>
      <c r="AL6" s="150"/>
      <c r="AM6" s="150"/>
      <c r="AN6" s="150"/>
      <c r="AO6" s="150"/>
      <c r="AP6" s="150"/>
      <c r="AQ6" s="150"/>
      <c r="AR6" s="150"/>
      <c r="AS6" s="150"/>
      <c r="AT6" s="150"/>
      <c r="AU6" s="150"/>
      <c r="AV6" s="150"/>
      <c r="AW6" s="150"/>
      <c r="AX6" s="150"/>
      <c r="AY6" s="150"/>
      <c r="AZ6" s="150"/>
      <c r="BA6" s="150"/>
      <c r="BB6" s="150"/>
      <c r="BC6" s="150">
        <f>(SUM(B6:V6))/(COUNT(B6:V6))</f>
        <v>42.536809523809524</v>
      </c>
      <c r="BD6" s="150">
        <f xml:space="preserve"> STDEV(B6:V6)/SQRT(COUNT(B6:V6))</f>
        <v>3.4324586201640246</v>
      </c>
      <c r="BE6" s="150"/>
      <c r="BF6" s="150"/>
      <c r="BG6" s="27"/>
      <c r="BH6" s="150">
        <v>13</v>
      </c>
      <c r="BI6" s="27"/>
      <c r="BJ6" s="150"/>
      <c r="BK6" s="150"/>
      <c r="BL6" s="150"/>
      <c r="BM6" s="149"/>
      <c r="BN6" s="27"/>
      <c r="BO6" s="27"/>
      <c r="BP6" s="27"/>
      <c r="BR6" s="153"/>
      <c r="BS6" s="153"/>
    </row>
    <row r="7" spans="1:71" s="29" customFormat="1" x14ac:dyDescent="0.55000000000000004">
      <c r="A7" s="29" t="s">
        <v>310</v>
      </c>
      <c r="B7" s="151">
        <v>78.153306000000001</v>
      </c>
      <c r="C7" s="151">
        <v>31.464873999999995</v>
      </c>
      <c r="D7" s="151">
        <v>47.832679999999996</v>
      </c>
      <c r="E7" s="151">
        <v>42.130899999999983</v>
      </c>
      <c r="F7" s="151">
        <v>82.232121999999976</v>
      </c>
      <c r="G7" s="151">
        <v>25.823419999999992</v>
      </c>
      <c r="H7" s="151">
        <v>54.867470000000012</v>
      </c>
      <c r="I7" s="151">
        <v>1.1734379999999891</v>
      </c>
      <c r="J7" s="151">
        <v>9.3544220000000049</v>
      </c>
      <c r="K7" s="151">
        <v>11.880330000000008</v>
      </c>
      <c r="L7" s="151">
        <v>5.0965739999999995</v>
      </c>
      <c r="M7" s="151">
        <v>11.847248000000015</v>
      </c>
      <c r="N7" s="151">
        <v>47.315043999999986</v>
      </c>
      <c r="O7" s="151">
        <v>39.568017999999995</v>
      </c>
      <c r="P7" s="151">
        <v>52.193666</v>
      </c>
      <c r="Q7" s="151">
        <v>10.831436000000005</v>
      </c>
      <c r="R7" s="151">
        <v>2.6270999999999889</v>
      </c>
      <c r="S7" s="151">
        <v>9.8720579999999867</v>
      </c>
      <c r="T7" s="151">
        <v>11.979575999999984</v>
      </c>
      <c r="U7" s="151">
        <v>11.827788000000005</v>
      </c>
      <c r="V7" s="151">
        <v>2.9345679999999912</v>
      </c>
      <c r="W7" s="151"/>
      <c r="X7" s="151"/>
      <c r="Y7" s="151"/>
      <c r="Z7" s="151"/>
      <c r="AA7" s="151"/>
      <c r="AB7" s="151"/>
      <c r="AC7" s="151"/>
      <c r="AD7" s="151"/>
      <c r="AE7" s="151"/>
      <c r="AF7" s="151"/>
      <c r="AG7" s="151"/>
      <c r="AH7" s="151"/>
      <c r="AI7" s="151"/>
      <c r="AJ7" s="151"/>
      <c r="AK7" s="151"/>
      <c r="AL7" s="151"/>
      <c r="AM7" s="151"/>
      <c r="AN7" s="151"/>
      <c r="AO7" s="151"/>
      <c r="AP7" s="151"/>
      <c r="AQ7" s="151"/>
      <c r="AR7" s="151"/>
      <c r="AS7" s="151"/>
      <c r="AT7" s="151"/>
      <c r="AU7" s="151"/>
      <c r="AV7" s="151"/>
      <c r="AW7" s="151"/>
      <c r="AX7" s="151"/>
      <c r="AY7" s="151"/>
      <c r="AZ7" s="156" t="s">
        <v>634</v>
      </c>
      <c r="BA7" s="156"/>
      <c r="BB7" s="151">
        <v>21</v>
      </c>
      <c r="BC7" s="151">
        <f>(SUM(B7:V7))/(COUNT(B7:V7))</f>
        <v>28.143144666666672</v>
      </c>
      <c r="BD7" s="151">
        <f xml:space="preserve"> STDEV(B7:V7)/SQRT(COUNT(B7:V7))</f>
        <v>5.4349337292190079</v>
      </c>
      <c r="BE7" s="151" t="s">
        <v>455</v>
      </c>
      <c r="BF7" s="151" t="s">
        <v>1130</v>
      </c>
      <c r="BG7" s="30"/>
      <c r="BH7" s="151"/>
      <c r="BI7" s="30"/>
      <c r="BJ7" s="151">
        <v>84</v>
      </c>
      <c r="BK7" s="151">
        <v>25</v>
      </c>
      <c r="BL7" s="151">
        <f t="shared" si="0"/>
        <v>29.761904761904763</v>
      </c>
      <c r="BM7" s="149">
        <f t="shared" si="1"/>
        <v>84</v>
      </c>
      <c r="BN7" s="30"/>
      <c r="BO7" s="151"/>
      <c r="BP7" s="151"/>
      <c r="BR7" s="154"/>
      <c r="BS7" s="154"/>
    </row>
    <row r="8" spans="1:71" s="219" customFormat="1" x14ac:dyDescent="0.55000000000000004">
      <c r="A8" s="219" t="s">
        <v>447</v>
      </c>
      <c r="B8" s="220">
        <v>16.655813999999996</v>
      </c>
      <c r="C8" s="220">
        <v>8.5643459999999934</v>
      </c>
      <c r="D8" s="220">
        <v>26.72831</v>
      </c>
      <c r="E8" s="220">
        <v>28.717121999999978</v>
      </c>
      <c r="F8" s="220">
        <v>56.973042000000007</v>
      </c>
      <c r="G8" s="220">
        <v>16.463160000000016</v>
      </c>
      <c r="H8" s="220">
        <v>56.515732000000007</v>
      </c>
      <c r="I8" s="220">
        <v>9.3057719999999939</v>
      </c>
      <c r="J8" s="220">
        <v>32.400900000000014</v>
      </c>
      <c r="K8" s="220">
        <v>34.703018</v>
      </c>
      <c r="L8" s="220">
        <v>24.875717999999999</v>
      </c>
      <c r="M8" s="220">
        <v>41.759213999999972</v>
      </c>
      <c r="N8" s="220">
        <v>36.726857999999979</v>
      </c>
      <c r="O8" s="220">
        <v>38.145492000000004</v>
      </c>
      <c r="P8" s="220">
        <v>18.919011999999988</v>
      </c>
      <c r="Q8" s="220">
        <v>32.708368</v>
      </c>
      <c r="R8" s="220">
        <v>46.141605999999996</v>
      </c>
      <c r="S8" s="220">
        <v>14.351749999999999</v>
      </c>
      <c r="T8" s="220">
        <v>33.276600000000016</v>
      </c>
      <c r="U8" s="220">
        <v>35.561203999999975</v>
      </c>
      <c r="V8" s="220">
        <v>10.307961999999995</v>
      </c>
      <c r="W8" s="220">
        <v>64.085672000000002</v>
      </c>
      <c r="X8" s="220">
        <v>17.587947999999994</v>
      </c>
      <c r="Y8" s="220">
        <v>6.9783559999999962</v>
      </c>
      <c r="Z8" s="220">
        <v>10.901492000000008</v>
      </c>
      <c r="AA8" s="220">
        <v>8.8056499999999822</v>
      </c>
      <c r="AB8" s="220">
        <v>22.135750000000002</v>
      </c>
      <c r="AC8" s="220">
        <v>52.088581999999988</v>
      </c>
      <c r="AD8" s="220">
        <v>41.850676</v>
      </c>
      <c r="AE8" s="220">
        <v>60.304594000000009</v>
      </c>
      <c r="AF8" s="220">
        <v>51.744140000000002</v>
      </c>
      <c r="AG8" s="220"/>
      <c r="AH8" s="220"/>
      <c r="AI8" s="220"/>
      <c r="AJ8" s="220"/>
      <c r="AK8" s="220"/>
      <c r="AL8" s="220"/>
      <c r="AM8" s="220"/>
      <c r="AN8" s="220"/>
      <c r="AO8" s="220"/>
      <c r="AP8" s="220"/>
      <c r="AQ8" s="220"/>
      <c r="AR8" s="220"/>
      <c r="AS8" s="220"/>
      <c r="AT8" s="220"/>
      <c r="AU8" s="220"/>
      <c r="AV8" s="220"/>
      <c r="AW8" s="220"/>
      <c r="AX8" s="220"/>
      <c r="AY8" s="220"/>
      <c r="AZ8" s="220" t="s">
        <v>635</v>
      </c>
      <c r="BA8" t="s">
        <v>1407</v>
      </c>
      <c r="BB8" s="220">
        <v>31</v>
      </c>
      <c r="BC8" s="220">
        <f>(SUM(B8:AF8))/(COUNT(B8:AF8))</f>
        <v>30.847866451612905</v>
      </c>
      <c r="BD8" s="220">
        <f xml:space="preserve"> STDEV(B8:AF8)/SQRT(COUNT(B8:AF8))</f>
        <v>3.072590453435688</v>
      </c>
      <c r="BE8" s="220" t="s">
        <v>558</v>
      </c>
      <c r="BF8" s="220" t="s">
        <v>1127</v>
      </c>
      <c r="BG8" s="221"/>
      <c r="BH8" s="220"/>
      <c r="BI8" s="221"/>
      <c r="BJ8" s="220">
        <v>175</v>
      </c>
      <c r="BK8" s="220">
        <v>31</v>
      </c>
      <c r="BL8" s="220">
        <f t="shared" si="0"/>
        <v>17.714285714285712</v>
      </c>
      <c r="BM8" s="220">
        <f t="shared" si="1"/>
        <v>100</v>
      </c>
      <c r="BN8" s="221"/>
      <c r="BO8" s="222">
        <v>15.541541791541794</v>
      </c>
      <c r="BP8" s="222">
        <v>3.2422361464408724</v>
      </c>
      <c r="BR8" s="223">
        <v>22.970624272803104</v>
      </c>
      <c r="BS8" s="223">
        <v>3.6366097407312776</v>
      </c>
    </row>
    <row r="9" spans="1:71" s="219" customFormat="1" x14ac:dyDescent="0.55000000000000004">
      <c r="A9" s="219" t="s">
        <v>452</v>
      </c>
      <c r="B9" s="220">
        <v>19.25956200000001</v>
      </c>
      <c r="C9" s="220">
        <v>1.7475079999999923</v>
      </c>
      <c r="D9" s="220">
        <v>6.6845099999999764</v>
      </c>
      <c r="E9" s="220">
        <v>33.663854000000015</v>
      </c>
      <c r="F9" s="220">
        <v>45.394341999999995</v>
      </c>
      <c r="G9" s="220">
        <v>8.9827359999999992</v>
      </c>
      <c r="H9" s="220"/>
      <c r="I9" s="220"/>
      <c r="J9" s="220"/>
      <c r="K9" s="220"/>
      <c r="L9" s="220"/>
      <c r="M9" s="220"/>
      <c r="N9" s="220"/>
      <c r="O9" s="220"/>
      <c r="P9" s="220"/>
      <c r="Q9" s="220"/>
      <c r="R9" s="220"/>
      <c r="S9" s="220"/>
      <c r="T9" s="220"/>
      <c r="U9" s="220"/>
      <c r="V9" s="220"/>
      <c r="W9" s="220"/>
      <c r="X9" s="220"/>
      <c r="Y9" s="220"/>
      <c r="Z9" s="220"/>
      <c r="AA9" s="220"/>
      <c r="AB9" s="220"/>
      <c r="AC9" s="220"/>
      <c r="AD9" s="220"/>
      <c r="AE9" s="220"/>
      <c r="AF9" s="220"/>
      <c r="AG9" s="220"/>
      <c r="AH9" s="220"/>
      <c r="AI9" s="220"/>
      <c r="AJ9" s="220"/>
      <c r="AK9" s="220"/>
      <c r="AL9" s="220"/>
      <c r="AM9" s="220"/>
      <c r="AN9" s="220"/>
      <c r="AO9" s="220"/>
      <c r="AP9" s="220"/>
      <c r="AQ9" s="220"/>
      <c r="AR9" s="220"/>
      <c r="AS9" s="220"/>
      <c r="AT9" s="220"/>
      <c r="AU9" s="220"/>
      <c r="AV9" s="220"/>
      <c r="AW9" s="220"/>
      <c r="AX9" s="220"/>
      <c r="AY9" s="220"/>
      <c r="AZ9" s="220" t="s">
        <v>635</v>
      </c>
      <c r="BA9" t="s">
        <v>1406</v>
      </c>
      <c r="BB9" s="220">
        <v>6</v>
      </c>
      <c r="BC9" s="220">
        <f>(SUM(B9:T9))/(COUNT(B9:T9))</f>
        <v>19.288751999999999</v>
      </c>
      <c r="BD9" s="220">
        <f xml:space="preserve"> STDEV(B9:T9)/SQRT(COUNT(B9:T9))</f>
        <v>6.978353105781145</v>
      </c>
      <c r="BE9" s="220" t="s">
        <v>558</v>
      </c>
      <c r="BF9" s="220" t="s">
        <v>1131</v>
      </c>
      <c r="BG9" s="221"/>
      <c r="BH9" s="220"/>
      <c r="BI9" s="221"/>
      <c r="BJ9" s="223">
        <v>51</v>
      </c>
      <c r="BK9" s="223">
        <v>6</v>
      </c>
      <c r="BL9" s="220">
        <f t="shared" si="0"/>
        <v>11.76470588235294</v>
      </c>
      <c r="BM9" s="220">
        <f t="shared" si="1"/>
        <v>100</v>
      </c>
      <c r="BN9" s="221"/>
      <c r="BO9" s="222">
        <v>10.802469135802468</v>
      </c>
      <c r="BP9" s="222">
        <v>4.4991912768868056</v>
      </c>
      <c r="BR9" s="223">
        <v>82.120807035481334</v>
      </c>
      <c r="BS9" s="223">
        <v>6.1035008393071815</v>
      </c>
    </row>
    <row r="10" spans="1:71" s="219" customFormat="1" x14ac:dyDescent="0.55000000000000004">
      <c r="A10" s="219" t="s">
        <v>448</v>
      </c>
      <c r="B10" s="220">
        <v>12.643161999999998</v>
      </c>
      <c r="C10" s="220">
        <v>2.3449299999999966</v>
      </c>
      <c r="D10" s="220">
        <v>9.6910799999999799</v>
      </c>
      <c r="E10" s="220">
        <v>10.500616000000001</v>
      </c>
      <c r="F10" s="220">
        <v>12.117742000000007</v>
      </c>
      <c r="G10" s="220">
        <v>11.545617999999987</v>
      </c>
      <c r="H10" s="221">
        <v>15.507674000000016</v>
      </c>
      <c r="I10" s="221">
        <v>24.225754000000023</v>
      </c>
      <c r="J10" s="221">
        <v>15.49599799999999</v>
      </c>
      <c r="K10" s="220"/>
      <c r="L10" s="220"/>
      <c r="M10" s="220"/>
      <c r="N10" s="220"/>
      <c r="O10" s="220"/>
      <c r="P10" s="220"/>
      <c r="Q10" s="220"/>
      <c r="R10" s="220"/>
      <c r="S10" s="220"/>
      <c r="T10" s="220"/>
      <c r="U10" s="220"/>
      <c r="V10" s="220"/>
      <c r="W10" s="220"/>
      <c r="X10" s="220"/>
      <c r="Y10" s="220"/>
      <c r="Z10" s="220"/>
      <c r="AA10" s="220"/>
      <c r="AB10" s="220"/>
      <c r="AC10" s="220"/>
      <c r="AD10" s="220"/>
      <c r="AE10" s="220"/>
      <c r="AF10" s="220"/>
      <c r="AG10" s="220"/>
      <c r="AH10" s="220"/>
      <c r="AI10" s="220"/>
      <c r="AJ10" s="220"/>
      <c r="AK10" s="220"/>
      <c r="AL10" s="220"/>
      <c r="AM10" s="220"/>
      <c r="AN10" s="220"/>
      <c r="AO10" s="220"/>
      <c r="AP10" s="220"/>
      <c r="AQ10" s="220"/>
      <c r="AR10" s="220"/>
      <c r="AS10" s="220"/>
      <c r="AT10" s="220"/>
      <c r="AU10" s="220"/>
      <c r="AV10" s="220"/>
      <c r="AW10" s="220"/>
      <c r="AX10" s="220"/>
      <c r="AY10" s="220"/>
      <c r="AZ10" s="220" t="s">
        <v>635</v>
      </c>
      <c r="BA10" t="s">
        <v>1409</v>
      </c>
      <c r="BB10" s="220">
        <v>6</v>
      </c>
      <c r="BC10" s="220">
        <f>(SUM(B10:T10))/(COUNT(B10:T10))</f>
        <v>12.674730444444444</v>
      </c>
      <c r="BD10" s="220">
        <f xml:space="preserve"> STDEV(B10:T10)/SQRT(COUNT(B10:T10))</f>
        <v>1.9412593042287674</v>
      </c>
      <c r="BE10" s="220" t="s">
        <v>455</v>
      </c>
      <c r="BF10" s="230" t="s">
        <v>1132</v>
      </c>
      <c r="BG10" s="221"/>
      <c r="BH10" s="220"/>
      <c r="BI10" s="221"/>
      <c r="BJ10" s="220">
        <v>67</v>
      </c>
      <c r="BK10" s="220">
        <v>6</v>
      </c>
      <c r="BL10" s="220">
        <f t="shared" si="0"/>
        <v>8.9552238805970141</v>
      </c>
      <c r="BM10" s="220">
        <f t="shared" si="1"/>
        <v>100</v>
      </c>
      <c r="BN10" s="221"/>
      <c r="BO10" s="222">
        <v>8.4061393152302237</v>
      </c>
      <c r="BP10" s="222">
        <v>5.5246268364249191</v>
      </c>
      <c r="BR10" s="223">
        <v>55.541309921887546</v>
      </c>
      <c r="BS10" s="223">
        <v>7.3818619618921169</v>
      </c>
    </row>
    <row r="11" spans="1:71" s="219" customFormat="1" x14ac:dyDescent="0.55000000000000004">
      <c r="A11" s="219" t="s">
        <v>463</v>
      </c>
      <c r="B11" s="220">
        <v>21.248373999999991</v>
      </c>
      <c r="C11" s="220">
        <v>29.174432000000007</v>
      </c>
      <c r="D11" s="220">
        <v>38.367336000000016</v>
      </c>
      <c r="E11" s="220">
        <v>32.982754</v>
      </c>
      <c r="F11" s="220"/>
      <c r="G11" s="220"/>
      <c r="H11" s="220"/>
      <c r="I11" s="220"/>
      <c r="J11" s="220"/>
      <c r="K11" s="220"/>
      <c r="L11" s="220"/>
      <c r="M11" s="220"/>
      <c r="N11" s="220"/>
      <c r="O11" s="220"/>
      <c r="P11" s="220"/>
      <c r="Q11" s="220"/>
      <c r="R11" s="220"/>
      <c r="S11" s="220"/>
      <c r="T11" s="220"/>
      <c r="U11" s="220"/>
      <c r="V11" s="220"/>
      <c r="W11" s="220"/>
      <c r="X11" s="220"/>
      <c r="Y11" s="220"/>
      <c r="Z11" s="220"/>
      <c r="AA11" s="220"/>
      <c r="AB11" s="220"/>
      <c r="AC11" s="220"/>
      <c r="AD11" s="220"/>
      <c r="AE11" s="220"/>
      <c r="AF11" s="220"/>
      <c r="AG11" s="220"/>
      <c r="AH11" s="220"/>
      <c r="AI11" s="220"/>
      <c r="AJ11" s="220"/>
      <c r="AK11" s="220"/>
      <c r="AL11" s="220"/>
      <c r="AM11" s="220"/>
      <c r="AN11" s="220"/>
      <c r="AO11" s="220"/>
      <c r="AP11" s="220"/>
      <c r="AQ11" s="220"/>
      <c r="AR11" s="220"/>
      <c r="AS11" s="220"/>
      <c r="AT11" s="220"/>
      <c r="AU11" s="220"/>
      <c r="AV11" s="220"/>
      <c r="AW11" s="220"/>
      <c r="AX11" s="220"/>
      <c r="AY11" s="220"/>
      <c r="AZ11" s="220" t="s">
        <v>636</v>
      </c>
      <c r="BA11" s="220"/>
      <c r="BB11" s="220">
        <v>4</v>
      </c>
      <c r="BC11" s="220">
        <f>(SUM(B11:T11))/(COUNT(B11:T11))</f>
        <v>30.443224000000001</v>
      </c>
      <c r="BD11" s="220">
        <f xml:space="preserve"> STDEV(B11:T11)/SQRT(COUNT(B11:T11))</f>
        <v>3.5985629454826507</v>
      </c>
      <c r="BE11" s="223" t="s">
        <v>558</v>
      </c>
      <c r="BF11" s="223" t="s">
        <v>1126</v>
      </c>
      <c r="BH11" s="223"/>
      <c r="BJ11" s="223">
        <v>29</v>
      </c>
      <c r="BK11" s="223">
        <v>3</v>
      </c>
      <c r="BL11" s="220">
        <f t="shared" si="0"/>
        <v>10.344827586206897</v>
      </c>
      <c r="BM11" s="220">
        <f t="shared" si="1"/>
        <v>133.33333333333331</v>
      </c>
      <c r="BN11" s="221"/>
      <c r="BO11" s="222">
        <v>7.7777777777777768</v>
      </c>
      <c r="BP11" s="222">
        <v>4.8432210483785259</v>
      </c>
      <c r="BR11" s="223">
        <v>24.710715049953933</v>
      </c>
      <c r="BS11" s="223">
        <v>9.7058648269227419</v>
      </c>
    </row>
    <row r="12" spans="1:71" s="10" customFormat="1" x14ac:dyDescent="0.55000000000000004">
      <c r="A12" s="10" t="s">
        <v>550</v>
      </c>
      <c r="B12" s="149">
        <v>72.634449999999973</v>
      </c>
      <c r="C12" s="149">
        <v>42.21068600000001</v>
      </c>
      <c r="D12" s="149">
        <v>35.448335999999983</v>
      </c>
      <c r="E12" s="149">
        <v>56.762873999999996</v>
      </c>
      <c r="F12" s="149">
        <v>23.243024000000005</v>
      </c>
      <c r="G12" s="149">
        <v>25.912936000000006</v>
      </c>
      <c r="H12" s="149">
        <v>45.119956000000016</v>
      </c>
      <c r="I12" s="149">
        <v>22.624196000000008</v>
      </c>
      <c r="J12" s="149">
        <v>27.063022000000018</v>
      </c>
      <c r="K12" s="149">
        <v>44.061331999999993</v>
      </c>
      <c r="L12" s="149">
        <v>31.23135400000001</v>
      </c>
      <c r="M12" s="149">
        <v>48.017550000000014</v>
      </c>
      <c r="N12" s="149">
        <v>10.516183999999992</v>
      </c>
      <c r="O12" s="149">
        <v>52.814439999999998</v>
      </c>
      <c r="P12" s="149">
        <v>46.589186000000005</v>
      </c>
      <c r="Q12" s="149">
        <v>40.967191999999983</v>
      </c>
      <c r="R12" s="149">
        <v>41.496503999999995</v>
      </c>
      <c r="S12" s="149">
        <v>28.553658000000006</v>
      </c>
      <c r="T12" s="149">
        <v>40.208252000000009</v>
      </c>
      <c r="U12" s="149">
        <v>32.173217999999999</v>
      </c>
      <c r="V12" s="149">
        <v>21.094639999999977</v>
      </c>
      <c r="W12" s="149">
        <v>24.55851999999998</v>
      </c>
      <c r="X12" s="149">
        <v>12.968144000000002</v>
      </c>
      <c r="Y12" s="149"/>
      <c r="Z12" s="149"/>
      <c r="AA12" s="149"/>
      <c r="AB12" s="149"/>
      <c r="AC12" s="149"/>
      <c r="AD12" s="149"/>
      <c r="AE12" s="149"/>
      <c r="AF12" s="149"/>
      <c r="AG12" s="149"/>
      <c r="AH12" s="149"/>
      <c r="AI12" s="149"/>
      <c r="AJ12" s="149"/>
      <c r="AK12" s="149"/>
      <c r="AL12" s="149"/>
      <c r="AM12" s="149"/>
      <c r="AN12" s="149"/>
      <c r="AO12" s="149"/>
      <c r="AP12" s="149"/>
      <c r="AQ12" s="149"/>
      <c r="AR12" s="149"/>
      <c r="AS12" s="149"/>
      <c r="AT12" s="149"/>
      <c r="AU12" s="149"/>
      <c r="AV12" s="149"/>
      <c r="AW12" s="149"/>
      <c r="AX12" s="149"/>
      <c r="AY12" s="149"/>
      <c r="AZ12" s="149" t="s">
        <v>726</v>
      </c>
      <c r="BA12" s="149"/>
      <c r="BB12" s="149">
        <v>23</v>
      </c>
      <c r="BC12" s="149">
        <f>(SUM(B12:X12))/(COUNT(B12:X12))</f>
        <v>35.924767565217394</v>
      </c>
      <c r="BD12" s="149">
        <f xml:space="preserve"> STDEV(B12:X12)/SQRT(COUNT(B12:X12))</f>
        <v>3.0545206431775429</v>
      </c>
      <c r="BE12" s="149" t="s">
        <v>558</v>
      </c>
      <c r="BF12" s="149" t="s">
        <v>1133</v>
      </c>
      <c r="BH12" s="149"/>
      <c r="BJ12" s="149">
        <v>92</v>
      </c>
      <c r="BK12" s="149">
        <v>25</v>
      </c>
      <c r="BL12" s="149">
        <f t="shared" si="0"/>
        <v>27.173913043478258</v>
      </c>
      <c r="BM12" s="149">
        <f t="shared" si="1"/>
        <v>92</v>
      </c>
      <c r="BO12" s="150">
        <v>30.463980463980462</v>
      </c>
      <c r="BP12" s="150">
        <v>9.2094750622654686</v>
      </c>
      <c r="BR12" s="149"/>
      <c r="BS12" s="149"/>
    </row>
    <row r="13" spans="1:71" s="219" customFormat="1" x14ac:dyDescent="0.55000000000000004">
      <c r="A13" s="219" t="s">
        <v>613</v>
      </c>
      <c r="B13" s="220">
        <v>15.102906000000019</v>
      </c>
      <c r="C13" s="220">
        <v>73.584098000000012</v>
      </c>
      <c r="D13" s="220">
        <v>44.055493999999989</v>
      </c>
      <c r="E13" s="220">
        <v>10.739974000000011</v>
      </c>
      <c r="F13" s="220">
        <v>26.078345999999989</v>
      </c>
      <c r="G13" s="220">
        <v>17.117015999999985</v>
      </c>
      <c r="H13" s="220">
        <v>78.966733999999988</v>
      </c>
      <c r="I13" s="220">
        <v>45.544183999999994</v>
      </c>
      <c r="J13" s="220">
        <v>49.12871599999999</v>
      </c>
      <c r="K13" s="220">
        <v>8.6071580000000036</v>
      </c>
      <c r="L13" s="220">
        <v>29.186108000000004</v>
      </c>
      <c r="M13" s="220">
        <v>14.501591999999997</v>
      </c>
      <c r="N13" s="220">
        <v>15.994174000000017</v>
      </c>
      <c r="O13" s="220">
        <v>43.50283000000001</v>
      </c>
      <c r="P13" s="220">
        <v>23.606926000000001</v>
      </c>
      <c r="Q13" s="220">
        <v>33.272708000000023</v>
      </c>
      <c r="R13" s="220">
        <v>32.577985999999996</v>
      </c>
      <c r="S13" s="220">
        <v>33.046971999999997</v>
      </c>
      <c r="T13" s="220">
        <v>19.210912</v>
      </c>
      <c r="U13" s="220">
        <v>11.71491999999999</v>
      </c>
      <c r="V13" s="220">
        <v>34.06472999999999</v>
      </c>
      <c r="W13" s="220">
        <v>49.099526000000012</v>
      </c>
      <c r="X13" s="220">
        <v>63.671173999999986</v>
      </c>
      <c r="Y13" s="220">
        <v>28.374625999999978</v>
      </c>
      <c r="Z13" s="220">
        <v>68.279301999999973</v>
      </c>
      <c r="AA13" s="220">
        <v>50.619351999999999</v>
      </c>
      <c r="AB13" s="220">
        <v>56.871850000000009</v>
      </c>
      <c r="AC13" s="220">
        <v>10.537589999999984</v>
      </c>
      <c r="AD13" s="220">
        <v>8.5604540000000018</v>
      </c>
      <c r="AE13" s="220">
        <v>28.555603999999985</v>
      </c>
      <c r="AF13" s="220">
        <v>23.503788000000007</v>
      </c>
      <c r="AG13" s="220">
        <v>53.193909999999988</v>
      </c>
      <c r="AH13" s="220">
        <v>46.166904000000002</v>
      </c>
      <c r="AI13" s="220">
        <v>16.321102</v>
      </c>
      <c r="AJ13" s="220">
        <v>26.16980800000001</v>
      </c>
      <c r="AK13" s="220">
        <v>25.718336000000015</v>
      </c>
      <c r="AL13" s="220">
        <v>29.158864000000015</v>
      </c>
      <c r="AM13" s="220">
        <v>16.212126000000005</v>
      </c>
      <c r="AN13" s="220">
        <v>26.963775999999989</v>
      </c>
      <c r="AO13" s="220">
        <v>31.690610000000021</v>
      </c>
      <c r="AP13" s="220">
        <v>32.206299999999992</v>
      </c>
      <c r="AQ13" s="220"/>
      <c r="AR13" s="220"/>
      <c r="AS13" s="220"/>
      <c r="AT13" s="220"/>
      <c r="AU13" s="220"/>
      <c r="AV13" s="220"/>
      <c r="AW13" s="220"/>
      <c r="AX13" s="220"/>
      <c r="AY13" s="220"/>
      <c r="AZ13" s="220" t="s">
        <v>637</v>
      </c>
      <c r="BA13" s="220"/>
      <c r="BB13" s="220">
        <v>41</v>
      </c>
      <c r="BC13" s="220">
        <f t="shared" ref="BC13:BC26" si="2">(SUM(B13:AP13))/(COUNT(B13:AP13))</f>
        <v>32.962914292682932</v>
      </c>
      <c r="BD13" s="220">
        <f t="shared" ref="BD13:BD26" si="3" xml:space="preserve"> STDEV(B13:AP13)/SQRT(COUNT(B13:AP13))</f>
        <v>2.8533405376344043</v>
      </c>
      <c r="BE13" s="223" t="s">
        <v>455</v>
      </c>
      <c r="BF13" s="223" t="s">
        <v>1135</v>
      </c>
      <c r="BH13" s="223"/>
      <c r="BJ13" s="223">
        <v>188</v>
      </c>
      <c r="BK13" s="223">
        <v>48</v>
      </c>
      <c r="BL13" s="220">
        <f t="shared" si="0"/>
        <v>25.531914893617021</v>
      </c>
      <c r="BM13" s="220">
        <f t="shared" si="1"/>
        <v>85.416666666666657</v>
      </c>
      <c r="BN13" s="221"/>
      <c r="BO13" s="222">
        <v>29.019730269730264</v>
      </c>
      <c r="BP13" s="222">
        <v>3.4971676142488342</v>
      </c>
      <c r="BR13" s="223">
        <v>29.218107669515845</v>
      </c>
      <c r="BS13" s="223">
        <v>1.711476234856862</v>
      </c>
    </row>
    <row r="14" spans="1:71" x14ac:dyDescent="0.55000000000000004">
      <c r="A14" t="s">
        <v>800</v>
      </c>
      <c r="B14" s="149">
        <v>24.618845999999994</v>
      </c>
      <c r="C14" s="149">
        <v>3.1369519999999893</v>
      </c>
      <c r="D14" s="149">
        <v>13.668704</v>
      </c>
      <c r="E14" s="149">
        <v>16.875711999999993</v>
      </c>
      <c r="F14" s="149">
        <v>19.419134</v>
      </c>
      <c r="G14" s="149">
        <v>20.137208000000022</v>
      </c>
      <c r="H14" s="149">
        <v>23.497950000000003</v>
      </c>
      <c r="I14" s="149">
        <v>29.649256000000008</v>
      </c>
      <c r="J14" s="149">
        <v>8.5079119999999993</v>
      </c>
      <c r="K14" s="149">
        <v>16.640246000000005</v>
      </c>
      <c r="L14" s="149">
        <v>26.784744000000021</v>
      </c>
      <c r="M14" s="149">
        <v>20.612032000000028</v>
      </c>
      <c r="N14" s="149">
        <v>12.798841999999997</v>
      </c>
      <c r="O14" s="149">
        <v>71.659504000000027</v>
      </c>
      <c r="P14" s="149">
        <v>38.458798000000009</v>
      </c>
      <c r="Q14" s="149">
        <v>33.488714000000009</v>
      </c>
      <c r="R14" s="149">
        <v>19.481405999999989</v>
      </c>
      <c r="S14" s="149"/>
      <c r="T14" s="149"/>
      <c r="U14" s="149"/>
      <c r="V14" s="149"/>
      <c r="W14" s="149"/>
      <c r="X14" s="149"/>
      <c r="Y14" s="149"/>
      <c r="Z14" s="149"/>
      <c r="AA14" s="149"/>
      <c r="AB14" s="149"/>
      <c r="AC14" s="149"/>
      <c r="AD14" s="149"/>
      <c r="AE14" s="149"/>
      <c r="AF14" s="149"/>
      <c r="AG14" s="149"/>
      <c r="AH14" s="149"/>
      <c r="AI14" s="149"/>
      <c r="AJ14" s="149"/>
      <c r="AK14" s="149"/>
      <c r="AL14" s="149"/>
      <c r="AM14" s="149"/>
      <c r="AN14" s="149"/>
      <c r="AO14" s="149"/>
      <c r="AP14" s="149"/>
      <c r="AQ14" s="149"/>
      <c r="AR14" s="149"/>
      <c r="AS14" s="149"/>
      <c r="AT14" s="149"/>
      <c r="AU14" s="149"/>
      <c r="AV14" s="149"/>
      <c r="AW14" s="149"/>
      <c r="AX14" s="149"/>
      <c r="AY14" s="149"/>
      <c r="AZ14" s="149" t="s">
        <v>726</v>
      </c>
      <c r="BA14" s="149"/>
      <c r="BB14" s="149">
        <v>17</v>
      </c>
      <c r="BC14" s="149">
        <f t="shared" si="2"/>
        <v>23.496232941176476</v>
      </c>
      <c r="BD14" s="149">
        <f t="shared" si="3"/>
        <v>3.6815850581887659</v>
      </c>
      <c r="BE14" s="149" t="s">
        <v>455</v>
      </c>
      <c r="BF14" s="149" t="s">
        <v>1136</v>
      </c>
      <c r="BG14" s="10"/>
      <c r="BH14" s="149"/>
      <c r="BJ14" s="114">
        <v>217</v>
      </c>
      <c r="BK14" s="114">
        <v>17</v>
      </c>
      <c r="BL14" s="149">
        <f t="shared" si="0"/>
        <v>7.8341013824884786</v>
      </c>
      <c r="BM14" s="149">
        <f t="shared" si="1"/>
        <v>100</v>
      </c>
      <c r="BN14" s="10"/>
      <c r="BO14" s="161">
        <v>9.2773397237682946</v>
      </c>
      <c r="BP14" s="161">
        <v>3.8110577031003587</v>
      </c>
      <c r="BR14" s="114"/>
      <c r="BS14" s="114"/>
    </row>
    <row r="15" spans="1:71" x14ac:dyDescent="0.55000000000000004">
      <c r="A15" t="s">
        <v>1193</v>
      </c>
      <c r="B15" s="149">
        <v>16.727816000000008</v>
      </c>
      <c r="C15" s="149">
        <v>16.130394000000003</v>
      </c>
      <c r="D15" s="149">
        <v>5.0887899999999897</v>
      </c>
      <c r="E15" s="149">
        <v>25.210429999999995</v>
      </c>
      <c r="F15" s="149">
        <v>21.104369999999996</v>
      </c>
      <c r="G15" s="149">
        <v>49.659974000000005</v>
      </c>
      <c r="H15" s="149">
        <v>9.103388000000022</v>
      </c>
      <c r="I15" s="149">
        <v>10.757488000000011</v>
      </c>
      <c r="J15" s="149"/>
      <c r="K15" s="149"/>
      <c r="L15" s="149"/>
      <c r="M15" s="149"/>
      <c r="N15" s="149"/>
      <c r="O15" s="149"/>
      <c r="P15" s="149"/>
      <c r="Q15" s="149"/>
      <c r="R15" s="149"/>
      <c r="S15" s="149"/>
      <c r="T15" s="149"/>
      <c r="U15" s="149"/>
      <c r="V15" s="149"/>
      <c r="W15" s="149"/>
      <c r="X15" s="149"/>
      <c r="Y15" s="149"/>
      <c r="Z15" s="149"/>
      <c r="AA15" s="149"/>
      <c r="AB15" s="149"/>
      <c r="AC15" s="149"/>
      <c r="AD15" s="149"/>
      <c r="AE15" s="149"/>
      <c r="AF15" s="149"/>
      <c r="AG15" s="149"/>
      <c r="AH15" s="149"/>
      <c r="AI15" s="149"/>
      <c r="AJ15" s="149"/>
      <c r="AK15" s="149"/>
      <c r="AL15" s="149"/>
      <c r="AM15" s="149"/>
      <c r="AN15" s="149"/>
      <c r="AO15" s="149"/>
      <c r="AP15" s="149"/>
      <c r="AQ15" s="149"/>
      <c r="AR15" s="149"/>
      <c r="AS15" s="149"/>
      <c r="AT15" s="149"/>
      <c r="AU15" s="149"/>
      <c r="AV15" s="149"/>
      <c r="AW15" s="149"/>
      <c r="AX15" s="149"/>
      <c r="AY15" s="149"/>
      <c r="AZ15" s="149" t="s">
        <v>635</v>
      </c>
      <c r="BA15" s="149"/>
      <c r="BB15" s="171">
        <v>8</v>
      </c>
      <c r="BC15" s="171">
        <f t="shared" si="2"/>
        <v>19.222831250000006</v>
      </c>
      <c r="BD15" s="149">
        <f t="shared" si="3"/>
        <v>4.9197774067179632</v>
      </c>
      <c r="BE15" s="114" t="s">
        <v>558</v>
      </c>
      <c r="BF15" s="114" t="s">
        <v>1137</v>
      </c>
      <c r="BH15" s="114"/>
      <c r="BJ15" s="114">
        <v>115</v>
      </c>
      <c r="BK15" s="114">
        <v>11</v>
      </c>
      <c r="BL15" s="149">
        <f t="shared" si="0"/>
        <v>9.5652173913043477</v>
      </c>
      <c r="BM15" s="149">
        <f t="shared" si="1"/>
        <v>72.727272727272734</v>
      </c>
      <c r="BO15" s="161">
        <v>14.518518518518519</v>
      </c>
      <c r="BP15" s="161">
        <v>6.5789794650454185</v>
      </c>
      <c r="BR15" s="114"/>
      <c r="BS15" s="114"/>
    </row>
    <row r="16" spans="1:71" s="219" customFormat="1" x14ac:dyDescent="0.55000000000000004">
      <c r="A16" s="219" t="s">
        <v>1192</v>
      </c>
      <c r="B16" s="221">
        <v>16.727816000000008</v>
      </c>
      <c r="C16" s="221">
        <v>16.130394000000003</v>
      </c>
      <c r="D16" s="221">
        <v>5.0887899999999897</v>
      </c>
      <c r="E16" s="221">
        <v>25.210429999999995</v>
      </c>
      <c r="F16" s="221">
        <v>21.104369999999996</v>
      </c>
      <c r="G16" s="221">
        <v>49.659974000000005</v>
      </c>
      <c r="H16" s="221">
        <v>9.103388000000022</v>
      </c>
      <c r="I16" s="221">
        <v>10.757488000000011</v>
      </c>
      <c r="J16" s="221">
        <v>37.05767800000001</v>
      </c>
      <c r="K16" s="221">
        <v>22.030665999999997</v>
      </c>
      <c r="L16" s="221">
        <v>25.57238599999998</v>
      </c>
      <c r="M16" s="221">
        <v>28.495278000000003</v>
      </c>
      <c r="N16" s="221">
        <v>13.055714000000005</v>
      </c>
      <c r="O16" s="221">
        <v>3.4210679999999916</v>
      </c>
      <c r="P16" s="221">
        <v>36.308467999999998</v>
      </c>
      <c r="Q16" s="221">
        <v>9.153983999999987</v>
      </c>
      <c r="R16" s="221">
        <v>13.505239999999997</v>
      </c>
      <c r="S16" s="221">
        <v>11.25177200000002</v>
      </c>
      <c r="T16" s="221">
        <v>6.0909800000000196</v>
      </c>
      <c r="U16" s="221">
        <v>13.203610000000021</v>
      </c>
      <c r="V16" s="221">
        <v>32.225759999999973</v>
      </c>
      <c r="X16" s="220"/>
      <c r="Y16" s="220"/>
      <c r="Z16" s="220"/>
      <c r="AA16" s="220"/>
      <c r="AB16" s="220"/>
      <c r="AC16" s="220"/>
      <c r="AD16" s="220"/>
      <c r="AE16" s="220"/>
      <c r="AF16" s="220"/>
      <c r="AG16" s="220"/>
      <c r="AH16" s="220"/>
      <c r="AI16" s="220"/>
      <c r="AJ16" s="220"/>
      <c r="AK16" s="220"/>
      <c r="AL16" s="220"/>
      <c r="AM16" s="220"/>
      <c r="AN16" s="220"/>
      <c r="AO16" s="220"/>
      <c r="AP16" s="220"/>
      <c r="AQ16" s="220"/>
      <c r="AR16" s="220"/>
      <c r="AS16" s="220"/>
      <c r="AT16" s="220"/>
      <c r="AU16" s="220"/>
      <c r="AV16" s="220"/>
      <c r="AW16" s="220"/>
      <c r="AX16" s="220"/>
      <c r="AY16" s="220"/>
      <c r="AZ16" s="220" t="s">
        <v>635</v>
      </c>
      <c r="BA16" s="219" t="s">
        <v>1405</v>
      </c>
      <c r="BB16" s="220">
        <v>21</v>
      </c>
      <c r="BC16" s="220">
        <f t="shared" si="2"/>
        <v>19.293107333333335</v>
      </c>
      <c r="BD16" s="220">
        <f t="shared" si="3"/>
        <v>2.655902634948609</v>
      </c>
      <c r="BE16" s="223" t="s">
        <v>558</v>
      </c>
      <c r="BF16" s="229" t="s">
        <v>1194</v>
      </c>
      <c r="BH16" s="223"/>
      <c r="BJ16" s="223">
        <v>267</v>
      </c>
      <c r="BK16" s="223">
        <v>29</v>
      </c>
      <c r="BL16" s="220">
        <f t="shared" si="0"/>
        <v>10.861423220973784</v>
      </c>
      <c r="BM16" s="220">
        <f t="shared" si="1"/>
        <v>72.41379310344827</v>
      </c>
      <c r="BO16" s="222">
        <v>15.808929632459</v>
      </c>
      <c r="BP16" s="222">
        <v>4.0931826829192524</v>
      </c>
      <c r="BR16" s="223">
        <v>88.975955250698846</v>
      </c>
      <c r="BS16" s="223">
        <v>7.2054454515958071</v>
      </c>
    </row>
    <row r="17" spans="1:83" s="10" customFormat="1" x14ac:dyDescent="0.55000000000000004">
      <c r="A17" s="10" t="s">
        <v>853</v>
      </c>
      <c r="B17" s="149">
        <v>31.859911999999998</v>
      </c>
      <c r="C17" s="149">
        <v>18.080285999999994</v>
      </c>
      <c r="D17" s="149">
        <v>6.7156460000000155</v>
      </c>
      <c r="E17" s="149">
        <v>4.3103899999999786</v>
      </c>
      <c r="F17" s="149">
        <v>48.632485999999993</v>
      </c>
      <c r="G17" s="149">
        <v>26.037479999999992</v>
      </c>
      <c r="H17" s="149">
        <v>21.750441999999985</v>
      </c>
      <c r="I17" s="149">
        <v>49.897385999999997</v>
      </c>
      <c r="J17" s="149">
        <v>39.182710000000007</v>
      </c>
      <c r="K17" s="149">
        <v>22.022882000000013</v>
      </c>
      <c r="L17" s="149">
        <v>4.9525699999999757</v>
      </c>
      <c r="M17" s="149">
        <v>43.273201999999991</v>
      </c>
      <c r="N17" s="149">
        <v>0.91267399999998844</v>
      </c>
      <c r="O17" s="149">
        <v>30.721501999999987</v>
      </c>
      <c r="P17" s="149">
        <v>32.138190000000002</v>
      </c>
      <c r="Q17" s="149">
        <v>36.427173999999987</v>
      </c>
      <c r="R17" s="149">
        <v>22.655331999999994</v>
      </c>
      <c r="S17" s="149"/>
      <c r="T17" s="149"/>
      <c r="U17" s="149"/>
      <c r="V17" s="149"/>
      <c r="W17" s="149"/>
      <c r="X17" s="149"/>
      <c r="Y17" s="149"/>
      <c r="Z17" s="149"/>
      <c r="AA17" s="149"/>
      <c r="AB17" s="149"/>
      <c r="AC17" s="149"/>
      <c r="AD17" s="149"/>
      <c r="AE17" s="149"/>
      <c r="AF17" s="149"/>
      <c r="AG17" s="149"/>
      <c r="AH17" s="149"/>
      <c r="AI17" s="149"/>
      <c r="AJ17" s="149"/>
      <c r="AK17" s="149"/>
      <c r="AL17" s="149"/>
      <c r="AM17" s="149"/>
      <c r="AN17" s="149"/>
      <c r="AO17" s="149"/>
      <c r="AP17" s="149"/>
      <c r="AQ17" s="149"/>
      <c r="AR17" s="149"/>
      <c r="AS17" s="149"/>
      <c r="AT17" s="149"/>
      <c r="AU17" s="149"/>
      <c r="AV17" s="149"/>
      <c r="AW17" s="149"/>
      <c r="AX17" s="149"/>
      <c r="AY17" s="149"/>
      <c r="AZ17" s="149" t="s">
        <v>635</v>
      </c>
      <c r="BA17" t="s">
        <v>1408</v>
      </c>
      <c r="BB17" s="171">
        <v>17</v>
      </c>
      <c r="BC17" s="171">
        <f t="shared" si="2"/>
        <v>25.857074352941169</v>
      </c>
      <c r="BD17" s="149">
        <f t="shared" si="3"/>
        <v>3.7281860923866472</v>
      </c>
      <c r="BE17" s="149" t="s">
        <v>558</v>
      </c>
      <c r="BF17" s="149" t="s">
        <v>1138</v>
      </c>
      <c r="BH17" s="149"/>
      <c r="BJ17" s="149">
        <v>90</v>
      </c>
      <c r="BK17" s="149">
        <v>17</v>
      </c>
      <c r="BL17" s="149">
        <f t="shared" si="0"/>
        <v>18.888888888888889</v>
      </c>
      <c r="BM17" s="149">
        <f t="shared" si="1"/>
        <v>100</v>
      </c>
      <c r="BO17" s="161">
        <v>22.248458612094975</v>
      </c>
      <c r="BP17" s="161">
        <v>6.9496409527577265</v>
      </c>
      <c r="BR17" s="149"/>
      <c r="BS17" s="149"/>
    </row>
    <row r="18" spans="1:83" s="10" customFormat="1" x14ac:dyDescent="0.55000000000000004">
      <c r="A18" s="10" t="s">
        <v>1451</v>
      </c>
      <c r="B18" s="10">
        <v>8.9477079999999969</v>
      </c>
      <c r="C18" s="10">
        <v>34.195112000000009</v>
      </c>
      <c r="D18" s="10">
        <v>36.061326000000008</v>
      </c>
      <c r="E18" s="10">
        <v>30.610580000000006</v>
      </c>
      <c r="F18" s="10">
        <v>35.518391999999992</v>
      </c>
      <c r="G18" s="10">
        <v>3.043544000000014</v>
      </c>
      <c r="H18" s="10">
        <v>30.758475999999995</v>
      </c>
      <c r="I18" s="10">
        <v>12.711271999999994</v>
      </c>
      <c r="J18" s="10">
        <v>40.223819999999975</v>
      </c>
      <c r="K18" s="10">
        <v>34.459767999999997</v>
      </c>
      <c r="L18" s="10">
        <v>17.482863999999989</v>
      </c>
      <c r="M18" s="10">
        <v>40.225765999999979</v>
      </c>
      <c r="N18" s="10">
        <v>52.146961999999995</v>
      </c>
      <c r="O18" s="226"/>
      <c r="P18" s="226"/>
      <c r="Q18" s="226"/>
      <c r="R18" s="226"/>
      <c r="S18" s="226"/>
      <c r="T18" s="226"/>
      <c r="U18" s="226"/>
      <c r="V18" s="226"/>
      <c r="W18" s="226"/>
      <c r="X18" s="226"/>
      <c r="Y18" s="226"/>
      <c r="Z18" s="226"/>
      <c r="AA18" s="226"/>
      <c r="AB18" s="149"/>
      <c r="AC18" s="149"/>
      <c r="AD18" s="149"/>
      <c r="AE18" s="149"/>
      <c r="AF18" s="149"/>
      <c r="AG18" s="149"/>
      <c r="AH18" s="149"/>
      <c r="AI18" s="149"/>
      <c r="AJ18" s="149"/>
      <c r="AK18" s="149"/>
      <c r="AL18" s="149"/>
      <c r="AM18" s="149"/>
      <c r="AN18" s="149"/>
      <c r="AO18" s="149"/>
      <c r="AP18" s="149"/>
      <c r="AQ18" s="149"/>
      <c r="AR18" s="149"/>
      <c r="AS18" s="149"/>
      <c r="AT18" s="149"/>
      <c r="AU18" s="149"/>
      <c r="AV18" s="149"/>
      <c r="AW18" s="149"/>
      <c r="AX18" s="149"/>
      <c r="AY18" s="149"/>
      <c r="AZ18" s="149" t="s">
        <v>1449</v>
      </c>
      <c r="BA18" s="1" t="s">
        <v>1450</v>
      </c>
      <c r="BB18" s="171">
        <v>13</v>
      </c>
      <c r="BC18" s="171">
        <f t="shared" si="2"/>
        <v>28.952737692307689</v>
      </c>
      <c r="BD18" s="149">
        <f t="shared" si="3"/>
        <v>3.9356849445719191</v>
      </c>
      <c r="BE18" s="149"/>
      <c r="BF18" s="149"/>
      <c r="BH18" s="149"/>
      <c r="BJ18">
        <v>96</v>
      </c>
      <c r="BK18">
        <v>20</v>
      </c>
      <c r="BL18" s="149">
        <f t="shared" si="0"/>
        <v>20.833333333333336</v>
      </c>
      <c r="BM18" s="149">
        <f t="shared" si="1"/>
        <v>65</v>
      </c>
      <c r="BO18" s="10">
        <v>23.262108262108299</v>
      </c>
      <c r="BP18" s="10">
        <v>4.88705209088016</v>
      </c>
      <c r="BR18" s="149"/>
      <c r="BS18" s="149"/>
    </row>
    <row r="19" spans="1:83" x14ac:dyDescent="0.55000000000000004">
      <c r="A19" t="s">
        <v>1003</v>
      </c>
      <c r="B19" s="159">
        <v>62.573629999999994</v>
      </c>
      <c r="C19" s="159">
        <v>37.024595999999988</v>
      </c>
      <c r="D19" s="159">
        <v>20.469973999999983</v>
      </c>
      <c r="E19" s="159">
        <v>22.853823999999999</v>
      </c>
      <c r="F19" s="159">
        <v>22.449055999999999</v>
      </c>
      <c r="G19" s="159">
        <v>23.067883999999999</v>
      </c>
      <c r="H19" s="159">
        <v>21.900283999999985</v>
      </c>
      <c r="I19" s="159">
        <v>15.957199999999979</v>
      </c>
      <c r="J19" s="159">
        <v>13.242530000000013</v>
      </c>
      <c r="K19" s="159">
        <v>2.2203860000000102</v>
      </c>
      <c r="L19" s="159">
        <v>6.7545660000000076</v>
      </c>
      <c r="M19" s="159">
        <v>9.5918339999999755</v>
      </c>
      <c r="N19" s="159">
        <v>20.343483999999986</v>
      </c>
      <c r="O19" s="159">
        <v>26.393598000000004</v>
      </c>
      <c r="P19" s="159">
        <v>14.458780000000013</v>
      </c>
      <c r="Q19" s="159">
        <v>8.8640300000000121</v>
      </c>
      <c r="R19" s="159">
        <v>27.360760000000003</v>
      </c>
      <c r="S19" s="159">
        <v>36.497229999999988</v>
      </c>
      <c r="T19" s="159">
        <v>19.471675999999999</v>
      </c>
      <c r="U19" s="159">
        <v>23.566059999999997</v>
      </c>
      <c r="V19" s="159">
        <v>17.064474000000011</v>
      </c>
      <c r="W19" s="159">
        <v>29.748502000000009</v>
      </c>
      <c r="X19" s="159">
        <v>13.501348000000004</v>
      </c>
      <c r="Y19" s="159">
        <v>51.541755999999978</v>
      </c>
      <c r="Z19" s="159">
        <v>22.988097999999976</v>
      </c>
      <c r="AA19" s="159">
        <v>18.535650000000011</v>
      </c>
      <c r="AB19" s="149"/>
      <c r="AC19" s="149"/>
      <c r="AD19" s="149"/>
      <c r="AE19" s="149"/>
      <c r="AF19" s="149"/>
      <c r="AG19" s="149"/>
      <c r="AH19" s="149"/>
      <c r="AI19" s="149"/>
      <c r="AJ19" s="149"/>
      <c r="AK19" s="149"/>
      <c r="AL19" s="149"/>
      <c r="AM19" s="149"/>
      <c r="AN19" s="149"/>
      <c r="AO19" s="149"/>
      <c r="AP19" s="149"/>
      <c r="AQ19" s="149"/>
      <c r="AR19" s="149"/>
      <c r="AS19" s="149"/>
      <c r="AT19" s="149"/>
      <c r="AU19" s="149"/>
      <c r="AV19" s="149"/>
      <c r="AW19" s="149"/>
      <c r="AX19" s="149"/>
      <c r="AY19" s="149"/>
      <c r="AZ19" s="149" t="s">
        <v>726</v>
      </c>
      <c r="BA19" s="149"/>
      <c r="BB19" s="149">
        <v>18</v>
      </c>
      <c r="BC19" s="149">
        <f t="shared" si="2"/>
        <v>22.632354230769231</v>
      </c>
      <c r="BD19" s="149">
        <f t="shared" si="3"/>
        <v>2.5715466632090425</v>
      </c>
      <c r="BE19" s="114" t="s">
        <v>455</v>
      </c>
      <c r="BF19" s="114" t="s">
        <v>1139</v>
      </c>
      <c r="BH19" s="114">
        <v>26</v>
      </c>
      <c r="BJ19" s="114">
        <v>312</v>
      </c>
      <c r="BK19" s="114">
        <v>28</v>
      </c>
      <c r="BL19" s="149">
        <f t="shared" si="0"/>
        <v>8.9743589743589745</v>
      </c>
      <c r="BM19" s="149">
        <f t="shared" si="1"/>
        <v>64.285714285714292</v>
      </c>
      <c r="BO19" s="21">
        <v>9.2374458330340676</v>
      </c>
      <c r="BP19" s="21">
        <v>2.370121512252096</v>
      </c>
      <c r="BR19" s="133"/>
      <c r="BS19" s="133"/>
      <c r="CB19" s="48" t="s">
        <v>384</v>
      </c>
      <c r="CC19">
        <v>29.577464788732392</v>
      </c>
      <c r="CE19">
        <v>100</v>
      </c>
    </row>
    <row r="20" spans="1:83" x14ac:dyDescent="0.55000000000000004">
      <c r="A20" t="s">
        <v>1005</v>
      </c>
      <c r="B20" s="149">
        <v>26.500627999999988</v>
      </c>
      <c r="C20" s="149">
        <v>51.491159999999986</v>
      </c>
      <c r="D20" s="149">
        <v>11.884221999999998</v>
      </c>
      <c r="E20" s="149">
        <v>19.681844000000002</v>
      </c>
      <c r="F20" s="149">
        <v>5.7990799999999796</v>
      </c>
      <c r="G20" s="149">
        <v>17.475079999999981</v>
      </c>
      <c r="H20" s="149">
        <v>2.1561680000000081</v>
      </c>
      <c r="I20" s="149">
        <v>21.830228000000005</v>
      </c>
      <c r="J20" s="160">
        <v>31.326707999999996</v>
      </c>
      <c r="K20" s="149">
        <v>5.4429619999999943</v>
      </c>
      <c r="L20" s="149">
        <v>24.899070000000002</v>
      </c>
      <c r="M20" s="149">
        <v>28.213108000000009</v>
      </c>
      <c r="N20" s="149">
        <v>35.461957999999996</v>
      </c>
      <c r="O20" s="149">
        <v>1.7494540000000016</v>
      </c>
      <c r="P20" s="149">
        <v>13.203610000000021</v>
      </c>
      <c r="Q20" s="149">
        <v>18.339104000000013</v>
      </c>
      <c r="R20" s="149">
        <v>31.521308000000015</v>
      </c>
      <c r="S20" s="149">
        <v>6.8382439999999907</v>
      </c>
      <c r="T20" s="149">
        <v>21.629789999999993</v>
      </c>
      <c r="U20" s="149">
        <v>12.405749999999999</v>
      </c>
      <c r="V20" s="149">
        <v>15.365615999999973</v>
      </c>
      <c r="W20" s="149">
        <v>18.566785999999993</v>
      </c>
      <c r="X20" s="149">
        <v>15.84238600000001</v>
      </c>
      <c r="Y20" s="149"/>
      <c r="Z20" s="149"/>
      <c r="AA20" s="149"/>
      <c r="AB20" s="149"/>
      <c r="AC20" s="149"/>
      <c r="AD20" s="149"/>
      <c r="AE20" s="149"/>
      <c r="AF20" s="149"/>
      <c r="AG20" s="149"/>
      <c r="AH20" s="149"/>
      <c r="AI20" s="149"/>
      <c r="AJ20" s="149"/>
      <c r="AK20" s="149"/>
      <c r="AL20" s="149"/>
      <c r="AM20" s="149"/>
      <c r="AN20" s="149"/>
      <c r="AO20" s="149"/>
      <c r="AP20" s="149"/>
      <c r="AQ20" s="149"/>
      <c r="AR20" s="149"/>
      <c r="AS20" s="149"/>
      <c r="AT20" s="149"/>
      <c r="AU20" s="149"/>
      <c r="AV20" s="149"/>
      <c r="AW20" s="149"/>
      <c r="AX20" s="149"/>
      <c r="AY20" s="149"/>
      <c r="AZ20" s="149" t="s">
        <v>726</v>
      </c>
      <c r="BA20" s="149"/>
      <c r="BB20" s="149">
        <v>23</v>
      </c>
      <c r="BC20" s="149">
        <f t="shared" si="2"/>
        <v>19.027141913043479</v>
      </c>
      <c r="BD20" s="149">
        <f t="shared" si="3"/>
        <v>2.4622942132110248</v>
      </c>
      <c r="BE20" s="114" t="s">
        <v>558</v>
      </c>
      <c r="BF20" s="229" t="s">
        <v>1140</v>
      </c>
      <c r="BH20" s="114">
        <v>28</v>
      </c>
      <c r="BJ20" s="114">
        <v>265</v>
      </c>
      <c r="BK20" s="114">
        <v>26</v>
      </c>
      <c r="BL20" s="149">
        <f t="shared" si="0"/>
        <v>9.8113207547169825</v>
      </c>
      <c r="BM20" s="149">
        <f t="shared" si="1"/>
        <v>88.461538461538453</v>
      </c>
      <c r="BO20" s="161">
        <v>8.3041958041958033</v>
      </c>
      <c r="BP20" s="161">
        <v>2.4271408152359202</v>
      </c>
      <c r="BR20" s="133"/>
      <c r="BS20" s="133"/>
      <c r="CB20" s="49" t="s">
        <v>447</v>
      </c>
      <c r="CC20">
        <v>15.555555555555555</v>
      </c>
      <c r="CE20">
        <v>20.88673719704121</v>
      </c>
    </row>
    <row r="21" spans="1:83" x14ac:dyDescent="0.55000000000000004">
      <c r="A21" t="s">
        <v>1235</v>
      </c>
      <c r="B21" s="10">
        <v>43.981545999999994</v>
      </c>
      <c r="C21" s="10">
        <v>27.860881999999986</v>
      </c>
      <c r="D21" s="10">
        <v>26.457816000000008</v>
      </c>
      <c r="E21" s="10">
        <v>11.637080000000008</v>
      </c>
      <c r="F21" s="10">
        <v>21.573355999999997</v>
      </c>
      <c r="G21" s="10">
        <v>36.839725999999992</v>
      </c>
      <c r="H21" s="10">
        <v>41.850676</v>
      </c>
      <c r="I21" s="10">
        <v>34.512309999999999</v>
      </c>
      <c r="J21" s="10">
        <v>42.74389</v>
      </c>
      <c r="K21" s="10">
        <v>37.808834000000004</v>
      </c>
      <c r="L21" s="10">
        <v>31.254706000000013</v>
      </c>
      <c r="M21" s="10">
        <v>17.159827999999994</v>
      </c>
      <c r="N21" s="10">
        <v>31.61276999999998</v>
      </c>
      <c r="O21" s="10">
        <v>34.235978000000003</v>
      </c>
      <c r="P21" s="10">
        <v>16.126502000000013</v>
      </c>
      <c r="Q21" s="10">
        <v>19.709087999999998</v>
      </c>
      <c r="R21" s="10">
        <v>47.252772000000014</v>
      </c>
      <c r="S21" s="10">
        <v>19.51643399999999</v>
      </c>
      <c r="T21" s="10">
        <v>24.630521999999996</v>
      </c>
      <c r="AZ21" s="10" t="s">
        <v>726</v>
      </c>
      <c r="BA21" s="10"/>
      <c r="BB21" s="202">
        <v>19</v>
      </c>
      <c r="BC21" s="149">
        <f t="shared" si="2"/>
        <v>29.829721894736842</v>
      </c>
      <c r="BD21" s="149">
        <f t="shared" si="3"/>
        <v>2.4018675535396379</v>
      </c>
      <c r="BE21" s="163" t="s">
        <v>1094</v>
      </c>
      <c r="BF21" s="163" t="s">
        <v>1288</v>
      </c>
      <c r="BG21" t="s">
        <v>1289</v>
      </c>
      <c r="BJ21">
        <v>171</v>
      </c>
      <c r="BK21">
        <v>23</v>
      </c>
      <c r="BL21" s="149">
        <f t="shared" si="0"/>
        <v>13.450292397660817</v>
      </c>
      <c r="BM21" s="149">
        <f t="shared" si="1"/>
        <v>82.608695652173907</v>
      </c>
      <c r="BO21" s="10">
        <v>13.772057191174838</v>
      </c>
      <c r="BP21" s="10">
        <v>2.5975276935846567</v>
      </c>
      <c r="CB21" s="50" t="s">
        <v>638</v>
      </c>
      <c r="CC21">
        <v>9.8039215686274517</v>
      </c>
      <c r="CE21">
        <v>88.217192616113635</v>
      </c>
    </row>
    <row r="22" spans="1:83" x14ac:dyDescent="0.55000000000000004">
      <c r="A22" t="s">
        <v>1290</v>
      </c>
      <c r="B22" s="10">
        <v>9.9265459999999983</v>
      </c>
      <c r="C22" s="10">
        <v>8.1284419999999855</v>
      </c>
      <c r="D22" s="10">
        <v>7.4804239999999886</v>
      </c>
      <c r="E22" s="10">
        <v>27.802501999999983</v>
      </c>
      <c r="AZ22" s="10" t="s">
        <v>726</v>
      </c>
      <c r="BA22" s="10"/>
      <c r="BB22" s="204">
        <v>4</v>
      </c>
      <c r="BC22" s="149">
        <f>(SUM(B22:AP22))/(COUNT(B22:AP22))</f>
        <v>13.334478499999989</v>
      </c>
      <c r="BD22" s="149">
        <f t="shared" si="3"/>
        <v>4.8503477370992938</v>
      </c>
      <c r="BE22" s="163" t="s">
        <v>455</v>
      </c>
      <c r="BF22" s="163" t="s">
        <v>1521</v>
      </c>
      <c r="BH22">
        <v>22</v>
      </c>
      <c r="BJ22">
        <v>224</v>
      </c>
      <c r="BK22">
        <v>5</v>
      </c>
      <c r="BL22" s="149">
        <f t="shared" si="0"/>
        <v>2.2321428571428572</v>
      </c>
      <c r="BM22" s="149">
        <f t="shared" si="1"/>
        <v>80</v>
      </c>
      <c r="BO22" s="10">
        <v>2.034313725490196</v>
      </c>
      <c r="BP22" s="10">
        <v>0.93571613572652335</v>
      </c>
      <c r="BR22">
        <v>56.962714681945954</v>
      </c>
      <c r="BS22">
        <v>3.1645367691676074</v>
      </c>
      <c r="CB22" s="50"/>
    </row>
    <row r="23" spans="1:83" s="10" customFormat="1" x14ac:dyDescent="0.55000000000000004">
      <c r="A23" s="10" t="s">
        <v>1318</v>
      </c>
      <c r="B23" s="10">
        <v>3.4619340000000203</v>
      </c>
      <c r="C23" s="10">
        <v>10.882031999999997</v>
      </c>
      <c r="D23" s="10">
        <v>43.734404000000005</v>
      </c>
      <c r="E23" s="10">
        <v>25.782554000000019</v>
      </c>
      <c r="F23" s="10">
        <v>13.937251999999985</v>
      </c>
      <c r="G23" s="10">
        <v>3.4463660000000012</v>
      </c>
      <c r="H23" s="10">
        <v>42.401394000000003</v>
      </c>
      <c r="I23" s="10">
        <v>28.637335999999991</v>
      </c>
      <c r="J23" s="10">
        <v>23.832661999999999</v>
      </c>
      <c r="K23" s="10">
        <v>47.805436000000007</v>
      </c>
      <c r="L23" s="10">
        <v>25.613251999999985</v>
      </c>
      <c r="M23" s="10">
        <v>2.8937019999999896</v>
      </c>
      <c r="N23" s="10">
        <v>24.904907999999978</v>
      </c>
      <c r="O23" s="10">
        <v>38.739021999999991</v>
      </c>
      <c r="P23" s="10">
        <v>8.9010040000000235</v>
      </c>
      <c r="Q23" s="10">
        <v>43.2012</v>
      </c>
      <c r="R23" s="10">
        <v>31.776234000000013</v>
      </c>
      <c r="S23" s="10">
        <v>27.27513600000001</v>
      </c>
      <c r="T23" s="10">
        <v>34.500633999999998</v>
      </c>
      <c r="U23" s="10">
        <v>21.33399799999999</v>
      </c>
      <c r="V23" s="10">
        <v>10.274880000000001</v>
      </c>
      <c r="W23" s="10">
        <v>6.6475360000000219</v>
      </c>
      <c r="X23" s="10">
        <v>16.144016000000011</v>
      </c>
      <c r="Y23" s="10">
        <v>21.042098000000003</v>
      </c>
      <c r="Z23" s="10">
        <v>12.726840000000013</v>
      </c>
      <c r="AA23" s="10">
        <v>46.587239999999994</v>
      </c>
      <c r="AB23" s="10">
        <v>34.132840000000016</v>
      </c>
      <c r="AC23" s="10">
        <v>15.538809999999998</v>
      </c>
      <c r="AD23" s="10">
        <v>45.28147400000001</v>
      </c>
      <c r="AE23" s="10">
        <v>34.160084000000005</v>
      </c>
      <c r="AF23" s="10">
        <v>28.973994000000019</v>
      </c>
      <c r="AG23" s="10">
        <v>30.484090000000013</v>
      </c>
      <c r="AH23" s="10">
        <v>7.1048460000000198</v>
      </c>
      <c r="AI23" s="10">
        <v>17.879847999999974</v>
      </c>
      <c r="AJ23" s="10">
        <v>18.072502000000014</v>
      </c>
      <c r="AK23" s="10">
        <v>0.81926600000001271</v>
      </c>
      <c r="AL23" s="10">
        <v>22.406244000000019</v>
      </c>
      <c r="AM23" s="10">
        <v>17.369995999999976</v>
      </c>
      <c r="AZ23" s="10" t="s">
        <v>726</v>
      </c>
      <c r="BB23" s="204">
        <v>38</v>
      </c>
      <c r="BC23" s="149">
        <f t="shared" si="2"/>
        <v>23.387028000000001</v>
      </c>
      <c r="BD23" s="149">
        <f t="shared" si="3"/>
        <v>2.2008730694597336</v>
      </c>
      <c r="BE23" s="204" t="s">
        <v>558</v>
      </c>
      <c r="BF23" s="204" t="s">
        <v>1520</v>
      </c>
      <c r="BH23" s="10">
        <v>27</v>
      </c>
      <c r="BJ23" s="10">
        <v>376</v>
      </c>
      <c r="BK23" s="10">
        <v>40</v>
      </c>
      <c r="BL23" s="149">
        <f t="shared" si="0"/>
        <v>10.638297872340425</v>
      </c>
      <c r="BM23" s="149">
        <f t="shared" si="1"/>
        <v>95</v>
      </c>
      <c r="BO23" s="10">
        <v>11.613722534775164</v>
      </c>
      <c r="BP23" s="10">
        <v>2.2429698316556177</v>
      </c>
      <c r="CB23" s="218"/>
    </row>
    <row r="24" spans="1:83" x14ac:dyDescent="0.55000000000000004">
      <c r="A24" t="s">
        <v>1460</v>
      </c>
      <c r="B24" s="159">
        <v>15.383130000000003</v>
      </c>
      <c r="C24" s="10">
        <v>14.07541799999998</v>
      </c>
      <c r="D24" s="10">
        <v>46.338151999999994</v>
      </c>
      <c r="E24" s="10">
        <v>24.387271999999992</v>
      </c>
      <c r="F24" s="10">
        <v>14.384831999999992</v>
      </c>
      <c r="G24" s="10">
        <v>14.826573999999999</v>
      </c>
      <c r="H24" s="10">
        <v>22.962799999999994</v>
      </c>
      <c r="I24" s="10">
        <v>18.514243999999991</v>
      </c>
      <c r="J24" s="10">
        <v>19.977635999999983</v>
      </c>
      <c r="K24" s="10">
        <v>11.498914000000012</v>
      </c>
      <c r="L24" s="10">
        <v>24.190725999999994</v>
      </c>
      <c r="M24" s="10">
        <v>7.0133839999999985</v>
      </c>
      <c r="AZ24" s="10" t="s">
        <v>726</v>
      </c>
      <c r="BA24" s="10"/>
      <c r="BB24" s="204">
        <v>12</v>
      </c>
      <c r="BC24" s="149">
        <f t="shared" si="2"/>
        <v>19.462756833333327</v>
      </c>
      <c r="BD24" s="149">
        <f t="shared" si="3"/>
        <v>2.8784234558685107</v>
      </c>
      <c r="BE24" s="228" t="s">
        <v>455</v>
      </c>
      <c r="BF24" s="205" t="s">
        <v>1522</v>
      </c>
      <c r="BH24">
        <v>26</v>
      </c>
      <c r="BJ24">
        <v>256</v>
      </c>
      <c r="BK24">
        <v>18</v>
      </c>
      <c r="BL24" s="149">
        <f t="shared" si="0"/>
        <v>7.03125</v>
      </c>
      <c r="BM24" s="149">
        <f t="shared" si="1"/>
        <v>66.666666666666657</v>
      </c>
      <c r="BO24" s="231">
        <v>6.213260423786739</v>
      </c>
      <c r="BP24" s="10">
        <v>1.7179686801844174</v>
      </c>
      <c r="CB24" s="51" t="s">
        <v>639</v>
      </c>
      <c r="CC24">
        <v>8.9552238805970141</v>
      </c>
      <c r="CE24">
        <v>58.08519586918149</v>
      </c>
    </row>
    <row r="25" spans="1:83" x14ac:dyDescent="0.55000000000000004">
      <c r="A25" s="10" t="s">
        <v>1724</v>
      </c>
      <c r="B25" s="10">
        <v>45.53834599999999</v>
      </c>
      <c r="C25" s="10">
        <v>15.252747999999986</v>
      </c>
      <c r="D25" s="10">
        <v>11.407451999999989</v>
      </c>
      <c r="E25" s="10">
        <v>68.571201999999985</v>
      </c>
      <c r="F25" s="10">
        <v>34.516202000000014</v>
      </c>
      <c r="G25" s="159">
        <v>11.773299999999994</v>
      </c>
      <c r="H25" s="10">
        <v>38.131869999999999</v>
      </c>
      <c r="I25" s="10">
        <v>15.35004800000001</v>
      </c>
      <c r="J25" s="10">
        <v>7.3539340000000211</v>
      </c>
      <c r="K25" s="159">
        <v>32.786208000000023</v>
      </c>
      <c r="L25" s="10">
        <v>0.28995400000000177</v>
      </c>
      <c r="M25" s="10">
        <v>30.009266000000011</v>
      </c>
      <c r="N25" s="10">
        <v>5.2717140000000065</v>
      </c>
      <c r="O25" s="10">
        <v>1.2454400000000012</v>
      </c>
      <c r="P25" s="10">
        <v>14.838249999999999</v>
      </c>
      <c r="Q25" s="10">
        <v>15.009498000000015</v>
      </c>
      <c r="R25" s="21">
        <v>57.506246000000004</v>
      </c>
      <c r="S25" s="21">
        <v>27.911478000000006</v>
      </c>
      <c r="T25" s="21">
        <v>60.874772000000021</v>
      </c>
      <c r="U25" s="21">
        <v>30.684528</v>
      </c>
      <c r="V25" s="21">
        <v>18.518135999999984</v>
      </c>
      <c r="W25" s="21">
        <v>25.471193999999997</v>
      </c>
      <c r="X25" s="21">
        <v>56.474865999999999</v>
      </c>
      <c r="Y25" s="21">
        <v>24.523492000000008</v>
      </c>
      <c r="Z25" s="21">
        <v>26.214566000000005</v>
      </c>
      <c r="AA25" s="21">
        <v>18.794468000000002</v>
      </c>
      <c r="AB25" s="21">
        <v>27.812232000000002</v>
      </c>
      <c r="AC25" s="21">
        <v>25.611306000000003</v>
      </c>
      <c r="AD25" s="21">
        <v>12.11774199999998</v>
      </c>
      <c r="AE25" s="21">
        <v>30.491873999999992</v>
      </c>
      <c r="AF25" s="21">
        <v>51.205098000000007</v>
      </c>
      <c r="AG25" s="21">
        <v>26.936531999999996</v>
      </c>
      <c r="AH25" s="21">
        <v>29.908073999999999</v>
      </c>
      <c r="AI25" s="21">
        <v>35.594285999999997</v>
      </c>
      <c r="AJ25" s="21">
        <v>53.178341999999994</v>
      </c>
      <c r="AK25" s="21">
        <v>33.445901999999997</v>
      </c>
      <c r="AL25" s="21">
        <v>13.310640000000006</v>
      </c>
      <c r="AM25" s="21">
        <v>14.164933999999993</v>
      </c>
      <c r="AN25" s="21">
        <v>17.71249199999998</v>
      </c>
      <c r="AO25" s="21">
        <v>28.462195999999981</v>
      </c>
      <c r="AP25" s="21">
        <v>39.875485999999995</v>
      </c>
      <c r="AQ25" s="21">
        <v>48.068146000000013</v>
      </c>
      <c r="AR25" s="21">
        <v>43.000762000000009</v>
      </c>
      <c r="AS25" s="21">
        <v>31.532984000000013</v>
      </c>
      <c r="AT25" s="21">
        <v>71.791832000000014</v>
      </c>
      <c r="AU25" s="21">
        <v>30.70593400000002</v>
      </c>
      <c r="AV25" s="21">
        <v>29.847748000000017</v>
      </c>
      <c r="AW25" s="21">
        <v>44.02825</v>
      </c>
      <c r="BB25" s="204">
        <v>48</v>
      </c>
      <c r="BC25" s="149">
        <f t="shared" si="2"/>
        <v>27.662105219512192</v>
      </c>
      <c r="BD25" s="149">
        <f t="shared" si="3"/>
        <v>2.577967568568019</v>
      </c>
      <c r="BF25" s="205"/>
      <c r="BJ25">
        <v>222</v>
      </c>
      <c r="BK25">
        <v>66</v>
      </c>
      <c r="BL25" s="226">
        <f t="shared" si="0"/>
        <v>29.72972972972973</v>
      </c>
      <c r="BM25" s="226">
        <f t="shared" si="1"/>
        <v>72.727272727272734</v>
      </c>
      <c r="BO25" s="231">
        <v>28.4337970251283</v>
      </c>
      <c r="BP25" s="10">
        <v>2.9287877131818698</v>
      </c>
      <c r="CB25" s="51"/>
    </row>
    <row r="26" spans="1:83" x14ac:dyDescent="0.55000000000000004">
      <c r="A26" s="10" t="s">
        <v>1725</v>
      </c>
      <c r="B26" s="10">
        <v>43.19536200000001</v>
      </c>
      <c r="C26" s="10">
        <v>12.662621999999981</v>
      </c>
      <c r="D26" s="10">
        <v>7.4804239999999886</v>
      </c>
      <c r="E26" s="10">
        <v>11.701297999999982</v>
      </c>
      <c r="F26" s="10">
        <v>35.160327999999993</v>
      </c>
      <c r="G26" s="10">
        <v>23.104857999999982</v>
      </c>
      <c r="H26" s="10">
        <v>18.97155399999999</v>
      </c>
      <c r="I26" s="10">
        <v>33.046971999999997</v>
      </c>
      <c r="J26" s="10">
        <v>6.5599659999999904</v>
      </c>
      <c r="K26" s="10">
        <v>27.586496000000004</v>
      </c>
      <c r="L26" s="10">
        <v>18.751655999999993</v>
      </c>
      <c r="M26" s="10">
        <v>51.343263999999998</v>
      </c>
      <c r="N26" s="10">
        <v>32.797883999999996</v>
      </c>
      <c r="O26" s="10">
        <v>14.991983999999988</v>
      </c>
      <c r="P26" s="10">
        <v>18.634895999999987</v>
      </c>
      <c r="Q26" s="10">
        <v>42.54734400000001</v>
      </c>
      <c r="R26" s="10">
        <v>40.591614000000014</v>
      </c>
      <c r="S26" s="10">
        <v>8.7764599999999824</v>
      </c>
      <c r="T26" s="10">
        <v>15.478483999999987</v>
      </c>
      <c r="U26" s="10">
        <v>35.938728000000005</v>
      </c>
      <c r="V26" s="10">
        <v>31.721746000000003</v>
      </c>
      <c r="W26" s="10">
        <v>26.154239999999994</v>
      </c>
      <c r="AZ26" s="10"/>
      <c r="BA26" s="10"/>
      <c r="BB26" s="204">
        <v>22</v>
      </c>
      <c r="BC26" s="149">
        <f t="shared" si="2"/>
        <v>25.327189999999995</v>
      </c>
      <c r="BD26" s="149">
        <f t="shared" si="3"/>
        <v>2.7621803951220278</v>
      </c>
      <c r="BE26" s="205"/>
      <c r="BF26" s="205"/>
      <c r="BJ26">
        <v>178</v>
      </c>
      <c r="BK26">
        <v>26</v>
      </c>
      <c r="BL26" s="226">
        <f t="shared" si="0"/>
        <v>14.606741573033707</v>
      </c>
      <c r="BM26" s="226">
        <f t="shared" si="1"/>
        <v>84.615384615384613</v>
      </c>
      <c r="BO26" s="231">
        <v>17.533572772543362</v>
      </c>
      <c r="BP26" s="10">
        <v>4.6154526337171538</v>
      </c>
      <c r="CB26" s="51"/>
    </row>
    <row r="27" spans="1:83" x14ac:dyDescent="0.55000000000000004">
      <c r="B27" s="21"/>
      <c r="AZ27" s="10"/>
      <c r="BA27" s="10"/>
      <c r="CB27" s="52" t="s">
        <v>640</v>
      </c>
      <c r="CC27">
        <v>10.344827586206897</v>
      </c>
      <c r="CE27">
        <v>43.02325581395349</v>
      </c>
    </row>
    <row r="28" spans="1:83" x14ac:dyDescent="0.55000000000000004">
      <c r="B28" s="21"/>
      <c r="AZ28" s="10"/>
      <c r="BA28" s="10"/>
      <c r="BE28" t="s">
        <v>1519</v>
      </c>
      <c r="CB28" s="53" t="s">
        <v>641</v>
      </c>
      <c r="CC28">
        <v>21.917808219178081</v>
      </c>
      <c r="CE28">
        <v>29.218107669515845</v>
      </c>
    </row>
    <row r="29" spans="1:83" x14ac:dyDescent="0.55000000000000004">
      <c r="B29" s="21" t="s">
        <v>5</v>
      </c>
      <c r="AZ29" s="10"/>
      <c r="BA29" s="10"/>
      <c r="BE29" t="s">
        <v>1129</v>
      </c>
    </row>
    <row r="30" spans="1:83" x14ac:dyDescent="0.55000000000000004">
      <c r="B30" s="103" t="s">
        <v>875</v>
      </c>
      <c r="C30" s="10" t="s">
        <v>872</v>
      </c>
      <c r="AZ30" s="10"/>
      <c r="BA30" s="10"/>
      <c r="BE30" t="s">
        <v>1128</v>
      </c>
    </row>
    <row r="31" spans="1:83" x14ac:dyDescent="0.55000000000000004">
      <c r="B31" s="43" t="s">
        <v>873</v>
      </c>
      <c r="C31" s="10" t="s">
        <v>874</v>
      </c>
      <c r="AZ31" s="10"/>
      <c r="BA31" s="10"/>
    </row>
    <row r="32" spans="1:83" x14ac:dyDescent="0.55000000000000004">
      <c r="B32" s="104"/>
      <c r="AZ32" s="10"/>
      <c r="BA32" s="10"/>
    </row>
    <row r="33" spans="2:78" x14ac:dyDescent="0.55000000000000004">
      <c r="B33" s="21"/>
      <c r="AZ33" s="10"/>
      <c r="BA33" s="10"/>
    </row>
    <row r="34" spans="2:78" x14ac:dyDescent="0.55000000000000004">
      <c r="B34" s="21"/>
      <c r="AZ34" s="10"/>
      <c r="BA34" s="10"/>
      <c r="BL34" t="s">
        <v>1452</v>
      </c>
      <c r="BM34" t="s">
        <v>1453</v>
      </c>
      <c r="BP34" s="162" t="s">
        <v>89</v>
      </c>
      <c r="BQ34" t="s">
        <v>1083</v>
      </c>
      <c r="BR34" t="s">
        <v>639</v>
      </c>
      <c r="BS34" t="s">
        <v>1084</v>
      </c>
      <c r="BT34" t="s">
        <v>1085</v>
      </c>
      <c r="BU34" t="s">
        <v>1086</v>
      </c>
      <c r="BV34" t="s">
        <v>1087</v>
      </c>
      <c r="BW34" t="s">
        <v>1088</v>
      </c>
      <c r="BX34" t="s">
        <v>1089</v>
      </c>
      <c r="BY34" t="s">
        <v>641</v>
      </c>
      <c r="BZ34" t="s">
        <v>638</v>
      </c>
    </row>
    <row r="35" spans="2:78" x14ac:dyDescent="0.55000000000000004">
      <c r="B35" s="44"/>
      <c r="AZ35" s="10"/>
      <c r="BA35" s="10"/>
      <c r="BK35" t="s">
        <v>89</v>
      </c>
      <c r="BL35" s="161">
        <v>24.130333951762498</v>
      </c>
      <c r="BM35">
        <v>28.61037</v>
      </c>
      <c r="BP35" s="161">
        <v>30.925925925925927</v>
      </c>
      <c r="BQ35" s="161">
        <v>7.7777777777777768</v>
      </c>
      <c r="BR35" s="161">
        <v>8.4061393152302237</v>
      </c>
      <c r="BS35" s="161">
        <v>14.518518518518519</v>
      </c>
      <c r="BT35" s="161">
        <v>9.2773397237682946</v>
      </c>
      <c r="BU35" s="161">
        <v>22.248458612094975</v>
      </c>
      <c r="BV35" s="161">
        <v>8.3041958041958033</v>
      </c>
      <c r="BW35" s="21">
        <v>9.2374458330340676</v>
      </c>
      <c r="BX35" s="161">
        <v>15.541541791541794</v>
      </c>
      <c r="BY35" s="161">
        <v>29.019730269730264</v>
      </c>
      <c r="BZ35" s="161">
        <v>10.802469135802468</v>
      </c>
    </row>
    <row r="36" spans="2:78" x14ac:dyDescent="0.55000000000000004">
      <c r="B36" s="21"/>
      <c r="AZ36" s="10"/>
      <c r="BA36" s="10"/>
      <c r="BK36" s="219" t="s">
        <v>447</v>
      </c>
      <c r="BL36" s="222">
        <v>15.541541791541794</v>
      </c>
      <c r="BM36">
        <v>30.847866451612905</v>
      </c>
      <c r="BP36" s="161">
        <v>5.1776264651329802</v>
      </c>
      <c r="BQ36" s="161">
        <v>4.8432210483785259</v>
      </c>
      <c r="BR36" s="161">
        <v>5.5246268364249191</v>
      </c>
      <c r="BS36" s="161">
        <v>6.5789794650454185</v>
      </c>
      <c r="BT36" s="161">
        <v>3.8110577031003587</v>
      </c>
      <c r="BU36" s="161">
        <v>6.9496409527577265</v>
      </c>
      <c r="BV36" s="161">
        <v>2.4271408152359202</v>
      </c>
      <c r="BW36" s="21">
        <v>2.370121512252096</v>
      </c>
      <c r="BX36" s="161">
        <v>3.2422361464408724</v>
      </c>
      <c r="BY36" s="161">
        <v>3.4971676142488342</v>
      </c>
      <c r="BZ36" s="161">
        <v>4.4991912768868056</v>
      </c>
    </row>
    <row r="37" spans="2:78" x14ac:dyDescent="0.55000000000000004">
      <c r="B37" s="43"/>
      <c r="AZ37" s="10"/>
      <c r="BA37" s="10"/>
      <c r="BK37" s="219" t="s">
        <v>452</v>
      </c>
      <c r="BL37" s="222">
        <v>10.802469135802468</v>
      </c>
      <c r="BM37">
        <v>19.288751999999999</v>
      </c>
    </row>
    <row r="38" spans="2:78" x14ac:dyDescent="0.55000000000000004">
      <c r="B38" s="21"/>
      <c r="AZ38" s="10"/>
      <c r="BA38" s="10"/>
      <c r="BK38" s="219" t="s">
        <v>448</v>
      </c>
      <c r="BL38" s="222">
        <v>8.4061393152302237</v>
      </c>
      <c r="BM38">
        <v>12.674730444444444</v>
      </c>
    </row>
    <row r="39" spans="2:78" x14ac:dyDescent="0.55000000000000004">
      <c r="B39" s="21"/>
      <c r="AZ39" s="10"/>
      <c r="BA39" s="10"/>
      <c r="BK39" s="219" t="s">
        <v>463</v>
      </c>
      <c r="BL39" s="222">
        <v>7.7777777777777768</v>
      </c>
      <c r="BM39">
        <v>30.443224000000001</v>
      </c>
    </row>
    <row r="40" spans="2:78" x14ac:dyDescent="0.55000000000000004">
      <c r="B40" s="43"/>
      <c r="AZ40" s="10"/>
      <c r="BA40" s="10"/>
      <c r="BK40" s="10" t="s">
        <v>550</v>
      </c>
      <c r="BL40" s="150">
        <v>30.463980463980462</v>
      </c>
      <c r="BM40">
        <v>35.924767565217394</v>
      </c>
    </row>
    <row r="41" spans="2:78" x14ac:dyDescent="0.55000000000000004">
      <c r="B41" s="21"/>
      <c r="AZ41" s="10"/>
      <c r="BA41" s="10"/>
      <c r="BK41" s="219" t="s">
        <v>613</v>
      </c>
      <c r="BL41" s="222">
        <v>29.019730269730264</v>
      </c>
      <c r="BM41">
        <v>32.962914292682932</v>
      </c>
    </row>
    <row r="42" spans="2:78" x14ac:dyDescent="0.55000000000000004">
      <c r="B42" s="21"/>
      <c r="AZ42" s="10"/>
      <c r="BA42" s="10"/>
      <c r="BK42" t="s">
        <v>800</v>
      </c>
      <c r="BL42" s="161">
        <v>9.2773397237682946</v>
      </c>
      <c r="BM42">
        <v>23.496232941176476</v>
      </c>
    </row>
    <row r="43" spans="2:78" x14ac:dyDescent="0.55000000000000004">
      <c r="B43" s="45"/>
      <c r="AZ43" s="10"/>
      <c r="BA43" s="10"/>
      <c r="BK43" t="s">
        <v>1193</v>
      </c>
      <c r="BL43" s="161">
        <v>14.518518518518519</v>
      </c>
      <c r="BM43">
        <v>19.222831250000006</v>
      </c>
    </row>
    <row r="44" spans="2:78" x14ac:dyDescent="0.55000000000000004">
      <c r="B44" s="21"/>
      <c r="AZ44" s="10"/>
      <c r="BA44" s="10"/>
      <c r="BK44" s="219" t="s">
        <v>1192</v>
      </c>
      <c r="BL44" s="222">
        <v>15.808929632459</v>
      </c>
      <c r="BM44">
        <v>19.293107333333335</v>
      </c>
    </row>
    <row r="45" spans="2:78" x14ac:dyDescent="0.55000000000000004">
      <c r="B45" s="21"/>
      <c r="AZ45" s="10"/>
      <c r="BA45" s="10"/>
      <c r="BK45" s="10"/>
      <c r="BL45" s="161"/>
    </row>
    <row r="46" spans="2:78" x14ac:dyDescent="0.55000000000000004">
      <c r="B46" s="21"/>
      <c r="AZ46" s="10"/>
      <c r="BA46" s="10"/>
      <c r="BK46" s="10"/>
      <c r="BL46" s="10"/>
    </row>
    <row r="47" spans="2:78" x14ac:dyDescent="0.55000000000000004">
      <c r="B47" s="46"/>
      <c r="AZ47" s="10"/>
      <c r="BA47" s="10"/>
      <c r="BK47" t="s">
        <v>1003</v>
      </c>
      <c r="BL47" s="21">
        <v>9.2374458330340676</v>
      </c>
      <c r="BM47">
        <v>22.632354230769231</v>
      </c>
    </row>
    <row r="48" spans="2:78" x14ac:dyDescent="0.55000000000000004">
      <c r="B48" s="43"/>
      <c r="AZ48" s="10"/>
      <c r="BA48" s="10"/>
      <c r="BK48" t="s">
        <v>1005</v>
      </c>
      <c r="BL48" s="161">
        <v>8.3041958041958033</v>
      </c>
      <c r="BM48">
        <v>19.027141913043479</v>
      </c>
    </row>
    <row r="49" spans="2:65" x14ac:dyDescent="0.55000000000000004">
      <c r="B49" s="47"/>
      <c r="AZ49" s="10"/>
      <c r="BA49" s="10"/>
      <c r="BK49" t="s">
        <v>1235</v>
      </c>
      <c r="BL49">
        <v>13.772057191174838</v>
      </c>
      <c r="BM49">
        <v>29.829721894736842</v>
      </c>
    </row>
    <row r="50" spans="2:65" x14ac:dyDescent="0.55000000000000004">
      <c r="B50" s="21"/>
      <c r="AZ50" s="10"/>
      <c r="BA50" s="10"/>
      <c r="BK50" t="s">
        <v>1290</v>
      </c>
      <c r="BL50">
        <v>1.1217948717948716</v>
      </c>
      <c r="BM50">
        <v>9.0274939999999919</v>
      </c>
    </row>
    <row r="51" spans="2:65" x14ac:dyDescent="0.55000000000000004">
      <c r="B51" s="21"/>
      <c r="AZ51" s="10"/>
      <c r="BA51" s="10"/>
      <c r="BK51" s="10" t="s">
        <v>1318</v>
      </c>
      <c r="BL51" s="10">
        <v>11.613722534775164</v>
      </c>
      <c r="BM51">
        <v>23.387028000000001</v>
      </c>
    </row>
    <row r="52" spans="2:65" x14ac:dyDescent="0.55000000000000004">
      <c r="B52" s="21"/>
      <c r="AZ52" s="10"/>
      <c r="BA52" s="10"/>
    </row>
    <row r="53" spans="2:65" x14ac:dyDescent="0.55000000000000004">
      <c r="B53" s="21"/>
      <c r="AZ53" s="10"/>
      <c r="BA53" s="10"/>
    </row>
    <row r="54" spans="2:65" x14ac:dyDescent="0.55000000000000004">
      <c r="B54" s="21"/>
      <c r="AZ54" s="10"/>
      <c r="BA54" s="10"/>
    </row>
    <row r="55" spans="2:65" x14ac:dyDescent="0.55000000000000004">
      <c r="B55" s="21"/>
    </row>
  </sheetData>
  <pageMargins left="0.7" right="0.7" top="0.75" bottom="0.75" header="0.3" footer="0.3"/>
  <pageSetup paperSize="9" orientation="portrait" horizontalDpi="4294967293"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7"/>
  <dimension ref="A1:V21"/>
  <sheetViews>
    <sheetView topLeftCell="A4" zoomScale="85" zoomScaleNormal="85" workbookViewId="0">
      <selection activeCell="V19" sqref="V19"/>
    </sheetView>
  </sheetViews>
  <sheetFormatPr defaultRowHeight="14.4" x14ac:dyDescent="0.55000000000000004"/>
  <cols>
    <col min="2" max="2" width="11.1015625" customWidth="1"/>
    <col min="4" max="4" width="12.89453125" customWidth="1"/>
    <col min="11" max="11" width="8.89453125" style="3"/>
  </cols>
  <sheetData>
    <row r="1" spans="1:21" ht="57.6" x14ac:dyDescent="0.55000000000000004">
      <c r="B1" s="1" t="s">
        <v>0</v>
      </c>
      <c r="C1" s="1" t="s">
        <v>1</v>
      </c>
      <c r="D1" s="1" t="s">
        <v>90</v>
      </c>
      <c r="E1" s="1" t="s">
        <v>88</v>
      </c>
      <c r="F1" s="1" t="s">
        <v>414</v>
      </c>
      <c r="G1" s="1" t="s">
        <v>2</v>
      </c>
      <c r="H1" s="1" t="s">
        <v>3</v>
      </c>
      <c r="I1" s="1" t="s">
        <v>11</v>
      </c>
      <c r="J1" s="1" t="s">
        <v>12</v>
      </c>
      <c r="K1" s="2" t="s">
        <v>4</v>
      </c>
      <c r="L1" s="1" t="s">
        <v>19</v>
      </c>
      <c r="M1" s="1" t="s">
        <v>10</v>
      </c>
      <c r="N1" s="1" t="s">
        <v>8</v>
      </c>
      <c r="O1" s="1" t="s">
        <v>9</v>
      </c>
      <c r="P1" s="1" t="s">
        <v>123</v>
      </c>
      <c r="Q1" s="1" t="s">
        <v>5</v>
      </c>
      <c r="R1" s="1" t="s">
        <v>396</v>
      </c>
      <c r="S1" s="1" t="s">
        <v>397</v>
      </c>
      <c r="U1" s="1" t="s">
        <v>871</v>
      </c>
    </row>
    <row r="2" spans="1:21" x14ac:dyDescent="0.55000000000000004">
      <c r="A2">
        <v>1</v>
      </c>
      <c r="B2" t="s">
        <v>346</v>
      </c>
      <c r="C2" t="s">
        <v>381</v>
      </c>
      <c r="D2" t="s">
        <v>383</v>
      </c>
      <c r="E2" t="s">
        <v>384</v>
      </c>
      <c r="F2">
        <v>10</v>
      </c>
      <c r="G2">
        <v>72.25</v>
      </c>
      <c r="H2">
        <v>82.147000000000006</v>
      </c>
      <c r="I2">
        <f t="shared" ref="I2:I15" si="0">H2-G2</f>
        <v>9.8970000000000056</v>
      </c>
      <c r="J2">
        <f t="shared" ref="J2:J15" si="1">I2*0.0973</f>
        <v>0.9629781000000005</v>
      </c>
      <c r="K2" s="3">
        <f t="shared" ref="K2:K15" si="2">J2*20</f>
        <v>19.25956200000001</v>
      </c>
      <c r="L2">
        <v>72.45</v>
      </c>
      <c r="M2">
        <v>2017</v>
      </c>
      <c r="N2">
        <v>2472</v>
      </c>
      <c r="O2">
        <v>121.75</v>
      </c>
      <c r="R2">
        <v>6</v>
      </c>
      <c r="S2">
        <v>1</v>
      </c>
      <c r="U2">
        <f>S2/(R2)</f>
        <v>0.16666666666666666</v>
      </c>
    </row>
    <row r="3" spans="1:21" x14ac:dyDescent="0.55000000000000004">
      <c r="B3" t="s">
        <v>347</v>
      </c>
      <c r="C3" t="s">
        <v>382</v>
      </c>
      <c r="D3" t="s">
        <v>383</v>
      </c>
      <c r="E3" t="s">
        <v>384</v>
      </c>
      <c r="F3">
        <v>10</v>
      </c>
      <c r="G3" t="s">
        <v>398</v>
      </c>
      <c r="L3" t="s">
        <v>150</v>
      </c>
      <c r="R3" s="15"/>
      <c r="S3" s="15"/>
    </row>
    <row r="4" spans="1:21" x14ac:dyDescent="0.55000000000000004">
      <c r="B4" t="s">
        <v>386</v>
      </c>
      <c r="C4" t="s">
        <v>388</v>
      </c>
      <c r="D4" t="s">
        <v>395</v>
      </c>
      <c r="E4" t="s">
        <v>384</v>
      </c>
      <c r="F4">
        <v>10</v>
      </c>
      <c r="G4" t="s">
        <v>398</v>
      </c>
      <c r="L4" t="s">
        <v>150</v>
      </c>
      <c r="R4" s="15"/>
      <c r="S4" s="15"/>
    </row>
    <row r="5" spans="1:21" x14ac:dyDescent="0.55000000000000004">
      <c r="A5">
        <v>2</v>
      </c>
      <c r="B5" t="s">
        <v>399</v>
      </c>
      <c r="C5" t="s">
        <v>389</v>
      </c>
      <c r="D5" t="s">
        <v>395</v>
      </c>
      <c r="E5" t="s">
        <v>384</v>
      </c>
      <c r="F5">
        <v>10</v>
      </c>
      <c r="G5">
        <v>86.43</v>
      </c>
      <c r="H5">
        <v>87.328000000000003</v>
      </c>
      <c r="I5">
        <f t="shared" si="0"/>
        <v>0.89799999999999613</v>
      </c>
      <c r="J5">
        <f t="shared" si="1"/>
        <v>8.7375399999999617E-2</v>
      </c>
      <c r="K5" s="3">
        <f t="shared" si="2"/>
        <v>1.7475079999999923</v>
      </c>
      <c r="L5">
        <v>25.73</v>
      </c>
      <c r="M5">
        <v>1549</v>
      </c>
      <c r="N5">
        <v>2377</v>
      </c>
      <c r="O5">
        <v>120.86</v>
      </c>
      <c r="R5">
        <v>6</v>
      </c>
      <c r="S5">
        <v>2</v>
      </c>
      <c r="U5">
        <f t="shared" ref="U5:U15" si="3">S5/(R5)</f>
        <v>0.33333333333333331</v>
      </c>
    </row>
    <row r="6" spans="1:21" x14ac:dyDescent="0.55000000000000004">
      <c r="A6">
        <v>3</v>
      </c>
      <c r="B6" t="s">
        <v>400</v>
      </c>
      <c r="C6" t="s">
        <v>389</v>
      </c>
      <c r="D6" t="s">
        <v>395</v>
      </c>
      <c r="E6" t="s">
        <v>384</v>
      </c>
      <c r="F6">
        <v>10</v>
      </c>
      <c r="G6">
        <v>86.43</v>
      </c>
      <c r="H6">
        <v>89.864999999999995</v>
      </c>
      <c r="I6">
        <f t="shared" si="0"/>
        <v>3.4349999999999881</v>
      </c>
      <c r="J6">
        <f t="shared" si="1"/>
        <v>0.33422549999999884</v>
      </c>
      <c r="K6" s="3">
        <f t="shared" si="2"/>
        <v>6.6845099999999764</v>
      </c>
      <c r="L6">
        <v>25.73</v>
      </c>
      <c r="M6">
        <v>1549</v>
      </c>
      <c r="N6">
        <v>3593</v>
      </c>
      <c r="O6">
        <v>182.69</v>
      </c>
      <c r="R6" s="15"/>
      <c r="S6" s="15"/>
    </row>
    <row r="7" spans="1:21" x14ac:dyDescent="0.55000000000000004">
      <c r="B7" t="s">
        <v>405</v>
      </c>
      <c r="C7" t="s">
        <v>390</v>
      </c>
      <c r="D7" t="s">
        <v>395</v>
      </c>
      <c r="E7" t="s">
        <v>384</v>
      </c>
      <c r="F7">
        <v>10</v>
      </c>
      <c r="G7" t="s">
        <v>398</v>
      </c>
      <c r="L7">
        <v>9.4600000000000009</v>
      </c>
      <c r="R7">
        <v>5</v>
      </c>
      <c r="S7">
        <v>0</v>
      </c>
      <c r="U7">
        <f t="shared" si="3"/>
        <v>0</v>
      </c>
    </row>
    <row r="8" spans="1:21" x14ac:dyDescent="0.55000000000000004">
      <c r="B8" t="s">
        <v>406</v>
      </c>
      <c r="C8" t="s">
        <v>390</v>
      </c>
      <c r="D8" t="s">
        <v>395</v>
      </c>
      <c r="E8" t="s">
        <v>384</v>
      </c>
      <c r="F8">
        <v>10</v>
      </c>
      <c r="G8" t="s">
        <v>398</v>
      </c>
      <c r="L8">
        <v>103.47</v>
      </c>
      <c r="R8">
        <v>2</v>
      </c>
      <c r="S8">
        <v>0</v>
      </c>
      <c r="U8">
        <f t="shared" si="3"/>
        <v>0</v>
      </c>
    </row>
    <row r="9" spans="1:21" x14ac:dyDescent="0.55000000000000004">
      <c r="A9">
        <v>4</v>
      </c>
      <c r="B9" t="s">
        <v>401</v>
      </c>
      <c r="C9" t="s">
        <v>391</v>
      </c>
      <c r="D9" t="s">
        <v>395</v>
      </c>
      <c r="E9" t="s">
        <v>384</v>
      </c>
      <c r="F9">
        <v>10</v>
      </c>
      <c r="G9">
        <v>85.591999999999999</v>
      </c>
      <c r="H9">
        <v>102.89100000000001</v>
      </c>
      <c r="I9">
        <f t="shared" si="0"/>
        <v>17.299000000000007</v>
      </c>
      <c r="J9">
        <f t="shared" si="1"/>
        <v>1.6831927000000007</v>
      </c>
      <c r="K9" s="3">
        <f t="shared" si="2"/>
        <v>33.663854000000015</v>
      </c>
      <c r="L9">
        <v>29.39</v>
      </c>
      <c r="M9">
        <v>1999</v>
      </c>
      <c r="N9">
        <v>3428</v>
      </c>
      <c r="O9">
        <v>171.31</v>
      </c>
      <c r="P9" t="s">
        <v>403</v>
      </c>
      <c r="R9">
        <v>9</v>
      </c>
      <c r="S9">
        <v>2</v>
      </c>
      <c r="U9">
        <f t="shared" si="3"/>
        <v>0.22222222222222221</v>
      </c>
    </row>
    <row r="10" spans="1:21" x14ac:dyDescent="0.55000000000000004">
      <c r="A10">
        <v>5</v>
      </c>
      <c r="B10" t="s">
        <v>402</v>
      </c>
      <c r="C10" t="s">
        <v>391</v>
      </c>
      <c r="D10" t="s">
        <v>395</v>
      </c>
      <c r="E10" t="s">
        <v>384</v>
      </c>
      <c r="F10">
        <v>10</v>
      </c>
      <c r="G10">
        <v>87.781999999999996</v>
      </c>
      <c r="H10">
        <v>111.10899999999999</v>
      </c>
      <c r="I10">
        <f t="shared" si="0"/>
        <v>23.326999999999998</v>
      </c>
      <c r="J10">
        <f t="shared" si="1"/>
        <v>2.2697170999999998</v>
      </c>
      <c r="K10" s="3">
        <f t="shared" si="2"/>
        <v>45.394341999999995</v>
      </c>
      <c r="L10">
        <v>29.39</v>
      </c>
      <c r="M10">
        <v>538</v>
      </c>
      <c r="N10">
        <v>3932</v>
      </c>
      <c r="O10">
        <v>196.5</v>
      </c>
      <c r="R10" s="18"/>
      <c r="S10" s="18"/>
    </row>
    <row r="11" spans="1:21" x14ac:dyDescent="0.55000000000000004">
      <c r="B11" t="s">
        <v>387</v>
      </c>
      <c r="C11" t="s">
        <v>392</v>
      </c>
      <c r="D11" t="s">
        <v>395</v>
      </c>
      <c r="E11" t="s">
        <v>384</v>
      </c>
      <c r="F11">
        <v>10</v>
      </c>
      <c r="G11" t="s">
        <v>398</v>
      </c>
      <c r="L11">
        <v>3.86</v>
      </c>
      <c r="R11">
        <v>9</v>
      </c>
      <c r="S11">
        <v>0</v>
      </c>
      <c r="U11">
        <f t="shared" si="3"/>
        <v>0</v>
      </c>
    </row>
    <row r="12" spans="1:21" x14ac:dyDescent="0.55000000000000004">
      <c r="A12">
        <v>6</v>
      </c>
      <c r="B12" t="s">
        <v>404</v>
      </c>
      <c r="C12" t="s">
        <v>393</v>
      </c>
      <c r="D12" t="s">
        <v>395</v>
      </c>
      <c r="E12" t="s">
        <v>384</v>
      </c>
      <c r="F12">
        <v>10</v>
      </c>
      <c r="G12" t="s">
        <v>398</v>
      </c>
      <c r="L12">
        <v>83.97</v>
      </c>
      <c r="R12">
        <v>5</v>
      </c>
      <c r="S12">
        <v>0</v>
      </c>
      <c r="U12">
        <f t="shared" si="3"/>
        <v>0</v>
      </c>
    </row>
    <row r="13" spans="1:21" x14ac:dyDescent="0.55000000000000004">
      <c r="B13" t="s">
        <v>407</v>
      </c>
      <c r="C13" t="s">
        <v>393</v>
      </c>
      <c r="D13" t="s">
        <v>395</v>
      </c>
      <c r="E13" t="s">
        <v>384</v>
      </c>
      <c r="F13">
        <v>10</v>
      </c>
      <c r="G13">
        <v>83.02</v>
      </c>
      <c r="H13">
        <v>87.635999999999996</v>
      </c>
      <c r="I13">
        <f t="shared" si="0"/>
        <v>4.6159999999999997</v>
      </c>
      <c r="J13">
        <f t="shared" si="1"/>
        <v>0.44913679999999995</v>
      </c>
      <c r="K13" s="3">
        <f t="shared" si="2"/>
        <v>8.9827359999999992</v>
      </c>
      <c r="L13">
        <v>265.33</v>
      </c>
      <c r="M13">
        <v>7979</v>
      </c>
      <c r="N13">
        <v>9296</v>
      </c>
      <c r="O13">
        <v>470.76</v>
      </c>
      <c r="R13">
        <v>4</v>
      </c>
      <c r="S13">
        <v>1</v>
      </c>
      <c r="U13">
        <f t="shared" si="3"/>
        <v>0.25</v>
      </c>
    </row>
    <row r="14" spans="1:21" x14ac:dyDescent="0.55000000000000004">
      <c r="B14" t="s">
        <v>408</v>
      </c>
      <c r="C14" t="s">
        <v>393</v>
      </c>
      <c r="D14" t="s">
        <v>395</v>
      </c>
      <c r="E14" t="s">
        <v>384</v>
      </c>
      <c r="F14">
        <v>10</v>
      </c>
      <c r="G14" t="s">
        <v>398</v>
      </c>
      <c r="L14">
        <v>403.04</v>
      </c>
      <c r="R14" s="15"/>
      <c r="S14" s="15"/>
    </row>
    <row r="15" spans="1:21" s="6" customFormat="1" x14ac:dyDescent="0.55000000000000004">
      <c r="B15" s="6" t="s">
        <v>385</v>
      </c>
      <c r="C15" s="6" t="s">
        <v>394</v>
      </c>
      <c r="D15" s="6" t="s">
        <v>395</v>
      </c>
      <c r="E15" s="6" t="s">
        <v>384</v>
      </c>
      <c r="F15" s="6">
        <v>10</v>
      </c>
      <c r="G15" s="6">
        <v>79.087000000000003</v>
      </c>
      <c r="H15" s="6">
        <v>77.295000000000002</v>
      </c>
      <c r="I15" s="6">
        <f t="shared" si="0"/>
        <v>-1.7920000000000016</v>
      </c>
      <c r="J15" s="6">
        <f t="shared" si="1"/>
        <v>-0.17436160000000014</v>
      </c>
      <c r="K15" s="12">
        <f t="shared" si="2"/>
        <v>-3.4872320000000028</v>
      </c>
      <c r="L15" s="6">
        <v>56.23</v>
      </c>
      <c r="M15" s="6">
        <v>1020</v>
      </c>
      <c r="N15" s="6">
        <v>6431</v>
      </c>
      <c r="O15" s="6">
        <v>320.3</v>
      </c>
      <c r="R15" s="6">
        <v>5</v>
      </c>
      <c r="S15" s="6">
        <v>0</v>
      </c>
      <c r="U15">
        <f t="shared" si="3"/>
        <v>0</v>
      </c>
    </row>
    <row r="16" spans="1:21" x14ac:dyDescent="0.55000000000000004">
      <c r="B16" t="s">
        <v>409</v>
      </c>
      <c r="C16" t="s">
        <v>411</v>
      </c>
      <c r="D16" t="s">
        <v>413</v>
      </c>
      <c r="E16" t="s">
        <v>384</v>
      </c>
      <c r="F16">
        <v>10</v>
      </c>
      <c r="G16" t="s">
        <v>398</v>
      </c>
      <c r="L16">
        <v>58.39</v>
      </c>
    </row>
    <row r="17" spans="2:22" x14ac:dyDescent="0.55000000000000004">
      <c r="B17" t="s">
        <v>410</v>
      </c>
      <c r="C17" t="s">
        <v>412</v>
      </c>
      <c r="D17" t="s">
        <v>413</v>
      </c>
      <c r="E17" t="s">
        <v>384</v>
      </c>
      <c r="F17">
        <v>10</v>
      </c>
      <c r="G17" t="s">
        <v>398</v>
      </c>
      <c r="L17" t="s">
        <v>150</v>
      </c>
    </row>
    <row r="19" spans="2:22" x14ac:dyDescent="0.55000000000000004">
      <c r="J19" t="s">
        <v>166</v>
      </c>
      <c r="K19" s="3">
        <f>(SUM(K2,K5:K6,K9:K10,K13))/(COUNT(K2,K5:K6,K9:K10,K13))</f>
        <v>19.288751999999999</v>
      </c>
      <c r="R19">
        <f>SUM(R2:R17)</f>
        <v>51</v>
      </c>
      <c r="S19">
        <f>SUM(S2:S18)</f>
        <v>6</v>
      </c>
      <c r="U19" s="51">
        <f>((SUM(U2,U5,U7:U9,U11,U12,U13,U15))/(COUNT(U2,U5,U7:U9,U11,U12,U13,U15)))*100</f>
        <v>10.802469135802468</v>
      </c>
      <c r="V19" s="51">
        <f>(STDEV(U2,U5,U7:U9,U11,U12,U13,U15)/SQRT(COUNT(U2,U5,U7:U9,U11,U12,U13,U15)))*100</f>
        <v>4.4991912768868056</v>
      </c>
    </row>
    <row r="20" spans="2:22" x14ac:dyDescent="0.55000000000000004">
      <c r="J20" t="s">
        <v>434</v>
      </c>
      <c r="K20">
        <f xml:space="preserve"> STDEV(K2,K5:K6,K9:K10,K13)/SQRT(COUNT(K2,K5:K6,K9:K10,K13))</f>
        <v>6.978353105781145</v>
      </c>
    </row>
    <row r="21" spans="2:22" x14ac:dyDescent="0.55000000000000004">
      <c r="R21">
        <f>(S19/R19)*100</f>
        <v>11.76470588235294</v>
      </c>
    </row>
  </sheetData>
  <pageMargins left="0.7" right="0.7" top="0.75" bottom="0.75" header="0.3" footer="0.3"/>
  <pageSetup paperSize="9" orientation="portrait" horizontalDpi="4294967293"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8"/>
  <dimension ref="A1:V42"/>
  <sheetViews>
    <sheetView zoomScale="85" zoomScaleNormal="85" workbookViewId="0">
      <selection activeCell="R21" sqref="R21"/>
    </sheetView>
  </sheetViews>
  <sheetFormatPr defaultRowHeight="14.4" x14ac:dyDescent="0.55000000000000004"/>
  <cols>
    <col min="2" max="2" width="13.3125" customWidth="1"/>
    <col min="4" max="4" width="10.3125" customWidth="1"/>
    <col min="7" max="7" width="16.3125" customWidth="1"/>
    <col min="11" max="11" width="8.89453125" style="3"/>
  </cols>
  <sheetData>
    <row r="1" spans="1:21" s="3" customFormat="1" ht="57.6" x14ac:dyDescent="0.55000000000000004">
      <c r="B1" s="2" t="s">
        <v>0</v>
      </c>
      <c r="C1" s="2" t="s">
        <v>1</v>
      </c>
      <c r="D1" s="2" t="s">
        <v>90</v>
      </c>
      <c r="E1" s="2" t="s">
        <v>88</v>
      </c>
      <c r="F1" s="2" t="s">
        <v>324</v>
      </c>
      <c r="G1" s="2" t="s">
        <v>2</v>
      </c>
      <c r="H1" s="2" t="s">
        <v>3</v>
      </c>
      <c r="I1" s="2" t="s">
        <v>11</v>
      </c>
      <c r="J1" s="2" t="s">
        <v>12</v>
      </c>
      <c r="K1" s="2" t="s">
        <v>4</v>
      </c>
      <c r="L1" s="2" t="s">
        <v>19</v>
      </c>
      <c r="M1" s="2" t="s">
        <v>10</v>
      </c>
      <c r="N1" s="2" t="s">
        <v>8</v>
      </c>
      <c r="O1" s="2" t="s">
        <v>9</v>
      </c>
      <c r="P1" s="2" t="s">
        <v>123</v>
      </c>
      <c r="Q1" s="2" t="s">
        <v>5</v>
      </c>
    </row>
    <row r="2" spans="1:21" x14ac:dyDescent="0.55000000000000004">
      <c r="B2" t="s">
        <v>311</v>
      </c>
      <c r="C2" t="s">
        <v>316</v>
      </c>
      <c r="D2" t="s">
        <v>323</v>
      </c>
      <c r="E2" t="s">
        <v>89</v>
      </c>
      <c r="F2">
        <v>10</v>
      </c>
      <c r="G2" t="s">
        <v>325</v>
      </c>
      <c r="L2">
        <v>57.75</v>
      </c>
      <c r="R2">
        <v>6</v>
      </c>
      <c r="S2">
        <v>0</v>
      </c>
      <c r="U2">
        <f>S2/(S2+R2)</f>
        <v>0</v>
      </c>
    </row>
    <row r="3" spans="1:21" x14ac:dyDescent="0.55000000000000004">
      <c r="A3">
        <v>1</v>
      </c>
      <c r="B3" t="s">
        <v>329</v>
      </c>
      <c r="C3" t="s">
        <v>317</v>
      </c>
      <c r="D3" t="s">
        <v>323</v>
      </c>
      <c r="E3" t="s">
        <v>89</v>
      </c>
      <c r="F3">
        <v>10</v>
      </c>
      <c r="G3">
        <v>83.242999999999995</v>
      </c>
      <c r="H3">
        <v>89.74</v>
      </c>
      <c r="I3">
        <f t="shared" ref="I3:I27" si="0">H3-G3</f>
        <v>6.4969999999999999</v>
      </c>
      <c r="J3">
        <f t="shared" ref="J3:J27" si="1">I3*0.0973</f>
        <v>0.63215809999999995</v>
      </c>
      <c r="K3" s="3">
        <f t="shared" ref="K3:K27" si="2">J3*20</f>
        <v>12.643161999999998</v>
      </c>
      <c r="L3">
        <v>85.25</v>
      </c>
      <c r="M3">
        <v>1931</v>
      </c>
      <c r="N3">
        <v>2908</v>
      </c>
      <c r="O3">
        <v>148.72</v>
      </c>
      <c r="P3">
        <f>O3-L3</f>
        <v>63.47</v>
      </c>
      <c r="R3">
        <v>11</v>
      </c>
      <c r="S3">
        <v>2</v>
      </c>
      <c r="U3">
        <f>S3/(R3)</f>
        <v>0.18181818181818182</v>
      </c>
    </row>
    <row r="4" spans="1:21" x14ac:dyDescent="0.55000000000000004">
      <c r="A4">
        <v>2</v>
      </c>
      <c r="B4" t="s">
        <v>328</v>
      </c>
      <c r="C4" t="s">
        <v>317</v>
      </c>
      <c r="D4" t="s">
        <v>323</v>
      </c>
      <c r="E4" t="s">
        <v>89</v>
      </c>
      <c r="F4">
        <v>10</v>
      </c>
      <c r="G4">
        <v>83.242999999999995</v>
      </c>
      <c r="H4">
        <v>84.447999999999993</v>
      </c>
      <c r="I4">
        <f t="shared" si="0"/>
        <v>1.2049999999999983</v>
      </c>
      <c r="J4">
        <f t="shared" si="1"/>
        <v>0.11724649999999984</v>
      </c>
      <c r="K4" s="3">
        <f t="shared" si="2"/>
        <v>2.3449299999999966</v>
      </c>
      <c r="L4">
        <v>85.25</v>
      </c>
      <c r="M4">
        <v>1931</v>
      </c>
      <c r="N4">
        <v>3740</v>
      </c>
      <c r="O4">
        <v>191.27</v>
      </c>
      <c r="P4">
        <f>O4-L4</f>
        <v>106.02000000000001</v>
      </c>
      <c r="Q4" t="s">
        <v>330</v>
      </c>
      <c r="R4" s="15"/>
      <c r="S4" s="15"/>
    </row>
    <row r="5" spans="1:21" s="6" customFormat="1" x14ac:dyDescent="0.55000000000000004">
      <c r="B5" s="6" t="s">
        <v>312</v>
      </c>
      <c r="C5" s="6" t="s">
        <v>318</v>
      </c>
      <c r="D5" s="6" t="s">
        <v>323</v>
      </c>
      <c r="E5" s="6" t="s">
        <v>89</v>
      </c>
      <c r="F5" s="6">
        <v>10</v>
      </c>
      <c r="G5" s="6">
        <v>79.097999999999999</v>
      </c>
      <c r="H5" s="6">
        <v>78.429000000000002</v>
      </c>
      <c r="I5" s="6">
        <f t="shared" si="0"/>
        <v>-0.66899999999999693</v>
      </c>
      <c r="J5" s="6">
        <f t="shared" si="1"/>
        <v>-6.5093699999999699E-2</v>
      </c>
      <c r="K5" s="12">
        <f t="shared" si="2"/>
        <v>-1.301873999999994</v>
      </c>
      <c r="L5" s="6">
        <v>17.95</v>
      </c>
      <c r="M5" s="6">
        <v>571</v>
      </c>
      <c r="N5" s="6">
        <v>3902</v>
      </c>
      <c r="O5" s="6">
        <v>192.42</v>
      </c>
      <c r="P5"/>
      <c r="Q5" s="6" t="s">
        <v>331</v>
      </c>
      <c r="R5">
        <v>7</v>
      </c>
      <c r="S5">
        <v>0</v>
      </c>
      <c r="U5">
        <f t="shared" ref="U5:U16" si="3">S5/(R5)</f>
        <v>0</v>
      </c>
    </row>
    <row r="6" spans="1:21" x14ac:dyDescent="0.55000000000000004">
      <c r="A6">
        <v>3</v>
      </c>
      <c r="B6" t="s">
        <v>332</v>
      </c>
      <c r="C6" t="s">
        <v>319</v>
      </c>
      <c r="D6" t="s">
        <v>323</v>
      </c>
      <c r="E6" t="s">
        <v>89</v>
      </c>
      <c r="F6">
        <v>10</v>
      </c>
      <c r="G6">
        <v>86.65</v>
      </c>
      <c r="H6">
        <v>91.63</v>
      </c>
      <c r="I6">
        <f t="shared" si="0"/>
        <v>4.9799999999999898</v>
      </c>
      <c r="J6">
        <f t="shared" si="1"/>
        <v>0.48455399999999899</v>
      </c>
      <c r="K6" s="3">
        <f t="shared" si="2"/>
        <v>9.6910799999999799</v>
      </c>
      <c r="L6">
        <v>96.95</v>
      </c>
      <c r="M6">
        <v>2160</v>
      </c>
      <c r="N6">
        <v>4349</v>
      </c>
      <c r="O6">
        <v>222.14</v>
      </c>
      <c r="P6">
        <f>O6-L6</f>
        <v>125.18999999999998</v>
      </c>
      <c r="Q6" t="s">
        <v>333</v>
      </c>
      <c r="R6" s="7">
        <v>8</v>
      </c>
      <c r="S6" s="7">
        <v>0</v>
      </c>
      <c r="U6">
        <f t="shared" si="3"/>
        <v>0</v>
      </c>
    </row>
    <row r="7" spans="1:21" s="6" customFormat="1" x14ac:dyDescent="0.55000000000000004">
      <c r="B7" s="6" t="s">
        <v>332</v>
      </c>
      <c r="C7" s="6" t="s">
        <v>319</v>
      </c>
      <c r="D7" s="6" t="s">
        <v>323</v>
      </c>
      <c r="E7" s="6" t="s">
        <v>89</v>
      </c>
      <c r="F7" s="6">
        <v>10</v>
      </c>
      <c r="G7" s="6">
        <v>86.65</v>
      </c>
      <c r="H7" s="6">
        <v>83.194999999999993</v>
      </c>
      <c r="I7" s="6">
        <f t="shared" si="0"/>
        <v>-3.4550000000000125</v>
      </c>
      <c r="J7" s="6">
        <f t="shared" si="1"/>
        <v>-0.33617150000000123</v>
      </c>
      <c r="K7" s="12">
        <f t="shared" si="2"/>
        <v>-6.7234300000000244</v>
      </c>
      <c r="L7" s="6">
        <v>96.95</v>
      </c>
      <c r="M7" s="6">
        <v>2160</v>
      </c>
      <c r="N7" s="6">
        <v>7481</v>
      </c>
      <c r="O7" s="6">
        <v>382.12</v>
      </c>
      <c r="P7"/>
      <c r="Q7" s="6" t="s">
        <v>333</v>
      </c>
      <c r="R7" s="17"/>
      <c r="S7" s="17"/>
      <c r="U7"/>
    </row>
    <row r="8" spans="1:21" x14ac:dyDescent="0.55000000000000004">
      <c r="B8" t="s">
        <v>313</v>
      </c>
      <c r="C8" t="s">
        <v>320</v>
      </c>
      <c r="D8" t="s">
        <v>323</v>
      </c>
      <c r="E8" t="s">
        <v>89</v>
      </c>
      <c r="F8">
        <v>10</v>
      </c>
      <c r="G8" t="s">
        <v>325</v>
      </c>
      <c r="L8" t="s">
        <v>7</v>
      </c>
      <c r="M8" t="s">
        <v>334</v>
      </c>
      <c r="R8" s="6">
        <v>5</v>
      </c>
      <c r="S8" s="6">
        <v>0</v>
      </c>
      <c r="U8">
        <f t="shared" si="3"/>
        <v>0</v>
      </c>
    </row>
    <row r="9" spans="1:21" x14ac:dyDescent="0.55000000000000004">
      <c r="B9" t="s">
        <v>314</v>
      </c>
      <c r="C9" t="s">
        <v>321</v>
      </c>
      <c r="D9" t="s">
        <v>323</v>
      </c>
      <c r="E9" t="s">
        <v>89</v>
      </c>
      <c r="F9">
        <v>10</v>
      </c>
      <c r="G9" t="s">
        <v>325</v>
      </c>
      <c r="L9" t="s">
        <v>7</v>
      </c>
      <c r="N9" s="6">
        <v>3568</v>
      </c>
      <c r="Q9" s="6" t="s">
        <v>335</v>
      </c>
      <c r="R9" s="6">
        <v>5</v>
      </c>
      <c r="S9" s="6">
        <v>0</v>
      </c>
      <c r="U9">
        <f t="shared" si="3"/>
        <v>0</v>
      </c>
    </row>
    <row r="10" spans="1:21" x14ac:dyDescent="0.55000000000000004">
      <c r="B10" s="11" t="s">
        <v>315</v>
      </c>
      <c r="C10" t="s">
        <v>322</v>
      </c>
      <c r="D10" t="s">
        <v>323</v>
      </c>
      <c r="E10" t="s">
        <v>89</v>
      </c>
      <c r="F10">
        <v>10</v>
      </c>
      <c r="G10" t="s">
        <v>325</v>
      </c>
      <c r="L10">
        <v>105.94</v>
      </c>
      <c r="R10">
        <v>4</v>
      </c>
      <c r="S10">
        <v>0</v>
      </c>
      <c r="U10">
        <f t="shared" si="3"/>
        <v>0</v>
      </c>
    </row>
    <row r="11" spans="1:21" x14ac:dyDescent="0.55000000000000004">
      <c r="B11" s="11" t="s">
        <v>363</v>
      </c>
      <c r="C11" t="s">
        <v>367</v>
      </c>
      <c r="D11" t="s">
        <v>372</v>
      </c>
      <c r="E11" t="s">
        <v>89</v>
      </c>
      <c r="F11">
        <v>10</v>
      </c>
      <c r="G11" t="s">
        <v>325</v>
      </c>
      <c r="L11">
        <v>104.88</v>
      </c>
      <c r="R11">
        <v>3</v>
      </c>
      <c r="S11">
        <v>0</v>
      </c>
      <c r="U11">
        <f t="shared" si="3"/>
        <v>0</v>
      </c>
    </row>
    <row r="12" spans="1:21" x14ac:dyDescent="0.55000000000000004">
      <c r="B12" s="11" t="s">
        <v>364</v>
      </c>
      <c r="C12" t="s">
        <v>368</v>
      </c>
      <c r="D12" t="s">
        <v>372</v>
      </c>
      <c r="E12" t="s">
        <v>89</v>
      </c>
      <c r="F12">
        <v>10</v>
      </c>
      <c r="G12" t="s">
        <v>325</v>
      </c>
      <c r="L12" t="s">
        <v>7</v>
      </c>
      <c r="Q12" t="s">
        <v>376</v>
      </c>
      <c r="R12" s="15"/>
      <c r="S12" s="15"/>
    </row>
    <row r="13" spans="1:21" x14ac:dyDescent="0.55000000000000004">
      <c r="A13">
        <v>4</v>
      </c>
      <c r="B13" s="11" t="s">
        <v>365</v>
      </c>
      <c r="C13" t="s">
        <v>369</v>
      </c>
      <c r="D13" t="s">
        <v>372</v>
      </c>
      <c r="E13" t="s">
        <v>89</v>
      </c>
      <c r="F13">
        <v>10</v>
      </c>
      <c r="G13">
        <v>85.162000000000006</v>
      </c>
      <c r="H13">
        <v>90.558000000000007</v>
      </c>
      <c r="I13">
        <f t="shared" si="0"/>
        <v>5.3960000000000008</v>
      </c>
      <c r="J13">
        <f t="shared" si="1"/>
        <v>0.52503080000000002</v>
      </c>
      <c r="K13" s="3">
        <f t="shared" si="2"/>
        <v>10.500616000000001</v>
      </c>
      <c r="L13">
        <v>81.709999999999994</v>
      </c>
      <c r="M13">
        <v>3676</v>
      </c>
      <c r="N13">
        <v>4820</v>
      </c>
      <c r="O13">
        <v>247.55</v>
      </c>
      <c r="P13">
        <f>O13-L13</f>
        <v>165.84000000000003</v>
      </c>
      <c r="R13">
        <v>7</v>
      </c>
      <c r="S13">
        <v>1</v>
      </c>
      <c r="U13">
        <f t="shared" si="3"/>
        <v>0.14285714285714285</v>
      </c>
    </row>
    <row r="14" spans="1:21" x14ac:dyDescent="0.55000000000000004">
      <c r="A14">
        <v>5</v>
      </c>
      <c r="B14" s="11" t="s">
        <v>377</v>
      </c>
      <c r="C14" t="s">
        <v>370</v>
      </c>
      <c r="D14" t="s">
        <v>372</v>
      </c>
      <c r="E14" t="s">
        <v>89</v>
      </c>
      <c r="F14">
        <v>10</v>
      </c>
      <c r="G14">
        <v>86.584000000000003</v>
      </c>
      <c r="H14">
        <v>92.811000000000007</v>
      </c>
      <c r="I14">
        <f t="shared" si="0"/>
        <v>6.2270000000000039</v>
      </c>
      <c r="J14">
        <f t="shared" si="1"/>
        <v>0.60588710000000034</v>
      </c>
      <c r="K14" s="3">
        <f t="shared" si="2"/>
        <v>12.117742000000007</v>
      </c>
      <c r="L14">
        <v>118.16</v>
      </c>
      <c r="M14">
        <v>2772</v>
      </c>
      <c r="N14">
        <v>3136</v>
      </c>
      <c r="O14">
        <v>154.49</v>
      </c>
      <c r="P14">
        <f>O14-L14</f>
        <v>36.330000000000013</v>
      </c>
      <c r="Q14" t="s">
        <v>379</v>
      </c>
      <c r="R14">
        <v>5</v>
      </c>
      <c r="S14">
        <v>3</v>
      </c>
      <c r="U14">
        <f t="shared" si="3"/>
        <v>0.6</v>
      </c>
    </row>
    <row r="15" spans="1:21" x14ac:dyDescent="0.55000000000000004">
      <c r="A15">
        <v>6</v>
      </c>
      <c r="B15" s="11" t="s">
        <v>378</v>
      </c>
      <c r="C15" t="s">
        <v>370</v>
      </c>
      <c r="D15" t="s">
        <v>372</v>
      </c>
      <c r="E15" t="s">
        <v>89</v>
      </c>
      <c r="F15">
        <v>10</v>
      </c>
      <c r="G15">
        <v>86.584000000000003</v>
      </c>
      <c r="H15">
        <v>92.516999999999996</v>
      </c>
      <c r="I15">
        <f t="shared" si="0"/>
        <v>5.9329999999999927</v>
      </c>
      <c r="J15">
        <f t="shared" si="1"/>
        <v>0.57728089999999932</v>
      </c>
      <c r="K15" s="3">
        <f t="shared" si="2"/>
        <v>11.545617999999987</v>
      </c>
      <c r="L15">
        <v>118.16</v>
      </c>
      <c r="M15">
        <v>2772</v>
      </c>
      <c r="N15">
        <v>4103</v>
      </c>
      <c r="O15">
        <v>202.13</v>
      </c>
      <c r="P15">
        <f>O15-L15</f>
        <v>83.97</v>
      </c>
      <c r="Q15" t="s">
        <v>379</v>
      </c>
      <c r="R15" s="15"/>
      <c r="S15" s="15"/>
    </row>
    <row r="16" spans="1:21" x14ac:dyDescent="0.55000000000000004">
      <c r="B16" s="22" t="s">
        <v>366</v>
      </c>
      <c r="C16" s="6" t="s">
        <v>371</v>
      </c>
      <c r="D16" s="6" t="s">
        <v>372</v>
      </c>
      <c r="E16" t="s">
        <v>89</v>
      </c>
      <c r="F16" s="6">
        <v>10</v>
      </c>
      <c r="G16" s="6">
        <v>89.792000000000002</v>
      </c>
      <c r="H16" s="6">
        <v>86.552999999999997</v>
      </c>
      <c r="I16" s="6">
        <f t="shared" si="0"/>
        <v>-3.2390000000000043</v>
      </c>
      <c r="J16" s="6">
        <f t="shared" si="1"/>
        <v>-0.3151547000000004</v>
      </c>
      <c r="K16" s="12">
        <f t="shared" si="2"/>
        <v>-6.3030940000000077</v>
      </c>
      <c r="L16" s="6">
        <v>175.06</v>
      </c>
      <c r="M16" s="6">
        <v>4224</v>
      </c>
      <c r="N16" s="6">
        <v>6784</v>
      </c>
      <c r="O16" s="6">
        <v>333.22</v>
      </c>
      <c r="Q16" s="6" t="s">
        <v>380</v>
      </c>
      <c r="R16">
        <v>6</v>
      </c>
      <c r="S16">
        <v>0</v>
      </c>
      <c r="U16">
        <f t="shared" si="3"/>
        <v>0</v>
      </c>
    </row>
    <row r="17" spans="1:19" x14ac:dyDescent="0.55000000000000004">
      <c r="B17" s="11" t="s">
        <v>1206</v>
      </c>
      <c r="D17" t="s">
        <v>1197</v>
      </c>
      <c r="E17" t="s">
        <v>89</v>
      </c>
      <c r="F17">
        <v>10</v>
      </c>
      <c r="I17" s="85"/>
      <c r="J17" s="85"/>
      <c r="L17">
        <v>44.69</v>
      </c>
      <c r="P17">
        <f t="shared" ref="P17:P27" si="4">O17-L17</f>
        <v>-44.69</v>
      </c>
      <c r="R17">
        <v>12</v>
      </c>
      <c r="S17">
        <v>0</v>
      </c>
    </row>
    <row r="18" spans="1:19" x14ac:dyDescent="0.55000000000000004">
      <c r="A18">
        <v>7</v>
      </c>
      <c r="B18" s="11" t="s">
        <v>1207</v>
      </c>
      <c r="D18" t="s">
        <v>1197</v>
      </c>
      <c r="E18" t="s">
        <v>89</v>
      </c>
      <c r="F18">
        <v>10</v>
      </c>
      <c r="G18">
        <v>82.980999999999995</v>
      </c>
      <c r="H18">
        <v>90.95</v>
      </c>
      <c r="I18" s="85">
        <f t="shared" si="0"/>
        <v>7.9690000000000083</v>
      </c>
      <c r="J18" s="85">
        <f t="shared" si="1"/>
        <v>0.77538370000000079</v>
      </c>
      <c r="K18" s="3">
        <f t="shared" si="2"/>
        <v>15.507674000000016</v>
      </c>
      <c r="L18">
        <v>210.7</v>
      </c>
      <c r="M18">
        <v>4765</v>
      </c>
      <c r="N18">
        <v>5251</v>
      </c>
      <c r="O18">
        <v>259.27999999999997</v>
      </c>
      <c r="P18">
        <f t="shared" si="4"/>
        <v>48.579999999999984</v>
      </c>
      <c r="Q18" t="s">
        <v>1036</v>
      </c>
      <c r="R18">
        <v>12</v>
      </c>
      <c r="S18">
        <v>2</v>
      </c>
    </row>
    <row r="19" spans="1:19" x14ac:dyDescent="0.55000000000000004">
      <c r="A19">
        <v>8</v>
      </c>
      <c r="B19" s="11" t="s">
        <v>1208</v>
      </c>
      <c r="D19" t="s">
        <v>1197</v>
      </c>
      <c r="E19" t="s">
        <v>89</v>
      </c>
      <c r="F19">
        <v>10</v>
      </c>
      <c r="G19">
        <v>82.980999999999995</v>
      </c>
      <c r="H19">
        <v>95.43</v>
      </c>
      <c r="I19" s="85">
        <f t="shared" si="0"/>
        <v>12.449000000000012</v>
      </c>
      <c r="J19" s="85">
        <f t="shared" si="1"/>
        <v>1.2112877000000011</v>
      </c>
      <c r="K19" s="3">
        <f t="shared" si="2"/>
        <v>24.225754000000023</v>
      </c>
      <c r="L19">
        <v>210.7</v>
      </c>
      <c r="M19">
        <v>4765</v>
      </c>
      <c r="N19">
        <v>7766</v>
      </c>
      <c r="O19">
        <v>383.47</v>
      </c>
      <c r="P19">
        <f>O19-L19</f>
        <v>172.77000000000004</v>
      </c>
      <c r="R19" s="200"/>
      <c r="S19" s="200"/>
    </row>
    <row r="20" spans="1:19" x14ac:dyDescent="0.55000000000000004">
      <c r="A20">
        <v>9</v>
      </c>
      <c r="B20" s="11" t="s">
        <v>1198</v>
      </c>
      <c r="D20" t="s">
        <v>1197</v>
      </c>
      <c r="E20" t="s">
        <v>89</v>
      </c>
      <c r="F20">
        <v>10</v>
      </c>
      <c r="G20">
        <v>75.7</v>
      </c>
      <c r="H20">
        <v>83.662999999999997</v>
      </c>
      <c r="I20" s="85">
        <f t="shared" si="0"/>
        <v>7.9629999999999939</v>
      </c>
      <c r="J20" s="85">
        <f t="shared" si="1"/>
        <v>0.77479989999999943</v>
      </c>
      <c r="K20" s="3">
        <f t="shared" si="2"/>
        <v>15.49599799999999</v>
      </c>
      <c r="L20">
        <v>53.08</v>
      </c>
      <c r="M20">
        <v>1137</v>
      </c>
      <c r="N20">
        <v>4070</v>
      </c>
      <c r="O20">
        <v>199.11</v>
      </c>
      <c r="P20">
        <f t="shared" si="4"/>
        <v>146.03000000000003</v>
      </c>
      <c r="R20">
        <v>12</v>
      </c>
      <c r="S20">
        <v>1</v>
      </c>
    </row>
    <row r="21" spans="1:19" x14ac:dyDescent="0.55000000000000004">
      <c r="B21" s="11" t="s">
        <v>1199</v>
      </c>
      <c r="D21" t="s">
        <v>1197</v>
      </c>
      <c r="E21" t="s">
        <v>89</v>
      </c>
      <c r="F21">
        <v>10</v>
      </c>
      <c r="G21" t="s">
        <v>325</v>
      </c>
      <c r="I21" s="85"/>
      <c r="J21" s="85"/>
      <c r="R21">
        <v>10</v>
      </c>
      <c r="S21">
        <v>0</v>
      </c>
    </row>
    <row r="22" spans="1:19" x14ac:dyDescent="0.55000000000000004">
      <c r="B22" s="11" t="s">
        <v>1200</v>
      </c>
      <c r="D22" t="s">
        <v>1197</v>
      </c>
      <c r="E22" t="s">
        <v>89</v>
      </c>
      <c r="F22">
        <v>10</v>
      </c>
      <c r="G22" t="s">
        <v>325</v>
      </c>
      <c r="I22" s="85"/>
      <c r="J22" s="85"/>
      <c r="P22">
        <f t="shared" si="4"/>
        <v>0</v>
      </c>
      <c r="R22">
        <v>12</v>
      </c>
      <c r="S22">
        <v>0</v>
      </c>
    </row>
    <row r="23" spans="1:19" x14ac:dyDescent="0.55000000000000004">
      <c r="B23" s="11" t="s">
        <v>1201</v>
      </c>
      <c r="D23" t="s">
        <v>1197</v>
      </c>
      <c r="E23" t="s">
        <v>89</v>
      </c>
      <c r="F23">
        <v>10</v>
      </c>
      <c r="I23" s="85">
        <f t="shared" si="0"/>
        <v>0</v>
      </c>
      <c r="J23" s="85">
        <f t="shared" si="1"/>
        <v>0</v>
      </c>
      <c r="K23" s="3">
        <f t="shared" si="2"/>
        <v>0</v>
      </c>
      <c r="P23">
        <f t="shared" si="4"/>
        <v>0</v>
      </c>
    </row>
    <row r="24" spans="1:19" x14ac:dyDescent="0.55000000000000004">
      <c r="B24" s="11" t="s">
        <v>1202</v>
      </c>
      <c r="D24" t="s">
        <v>1197</v>
      </c>
      <c r="E24" t="s">
        <v>89</v>
      </c>
      <c r="F24">
        <v>10</v>
      </c>
      <c r="I24" s="85">
        <f t="shared" si="0"/>
        <v>0</v>
      </c>
      <c r="J24" s="85">
        <f t="shared" si="1"/>
        <v>0</v>
      </c>
      <c r="K24" s="3">
        <f t="shared" si="2"/>
        <v>0</v>
      </c>
      <c r="P24">
        <f t="shared" si="4"/>
        <v>0</v>
      </c>
    </row>
    <row r="25" spans="1:19" x14ac:dyDescent="0.55000000000000004">
      <c r="B25" s="11" t="s">
        <v>1203</v>
      </c>
      <c r="D25" t="s">
        <v>1197</v>
      </c>
      <c r="E25" t="s">
        <v>89</v>
      </c>
      <c r="F25">
        <v>10</v>
      </c>
      <c r="I25" s="85">
        <f t="shared" si="0"/>
        <v>0</v>
      </c>
      <c r="J25" s="85">
        <f t="shared" si="1"/>
        <v>0</v>
      </c>
      <c r="K25" s="3">
        <f t="shared" si="2"/>
        <v>0</v>
      </c>
      <c r="P25">
        <f t="shared" si="4"/>
        <v>0</v>
      </c>
    </row>
    <row r="26" spans="1:19" x14ac:dyDescent="0.55000000000000004">
      <c r="B26" s="11" t="s">
        <v>1204</v>
      </c>
      <c r="D26" t="s">
        <v>1197</v>
      </c>
      <c r="E26" t="s">
        <v>89</v>
      </c>
      <c r="F26">
        <v>10</v>
      </c>
      <c r="I26" s="85">
        <f t="shared" si="0"/>
        <v>0</v>
      </c>
      <c r="J26" s="85">
        <f t="shared" si="1"/>
        <v>0</v>
      </c>
      <c r="K26" s="3">
        <f t="shared" si="2"/>
        <v>0</v>
      </c>
      <c r="P26">
        <f t="shared" si="4"/>
        <v>0</v>
      </c>
    </row>
    <row r="27" spans="1:19" x14ac:dyDescent="0.55000000000000004">
      <c r="B27" s="11" t="s">
        <v>1205</v>
      </c>
      <c r="D27" t="s">
        <v>1197</v>
      </c>
      <c r="E27" t="s">
        <v>89</v>
      </c>
      <c r="F27">
        <v>10</v>
      </c>
      <c r="I27" s="85">
        <f t="shared" si="0"/>
        <v>0</v>
      </c>
      <c r="J27" s="85">
        <f t="shared" si="1"/>
        <v>0</v>
      </c>
      <c r="K27" s="3">
        <f t="shared" si="2"/>
        <v>0</v>
      </c>
      <c r="P27">
        <f t="shared" si="4"/>
        <v>0</v>
      </c>
    </row>
    <row r="28" spans="1:19" x14ac:dyDescent="0.55000000000000004">
      <c r="B28" s="11"/>
    </row>
    <row r="29" spans="1:19" x14ac:dyDescent="0.55000000000000004">
      <c r="B29" s="11"/>
    </row>
    <row r="30" spans="1:19" x14ac:dyDescent="0.55000000000000004">
      <c r="C30">
        <v>15.507674000000016</v>
      </c>
      <c r="D30">
        <v>24.225754000000023</v>
      </c>
      <c r="E30">
        <v>15.49599799999999</v>
      </c>
    </row>
    <row r="36" spans="10:22" x14ac:dyDescent="0.55000000000000004">
      <c r="J36" t="s">
        <v>225</v>
      </c>
      <c r="K36" s="3">
        <f>(SUM(K3:K4,K6,K13:K15))/(COUNT(K3:K4,K6,K13:K15))</f>
        <v>9.8071913333333285</v>
      </c>
      <c r="R36">
        <f>SUM(R2:R18)</f>
        <v>91</v>
      </c>
      <c r="S36">
        <f>SUM(S2:S18)</f>
        <v>8</v>
      </c>
      <c r="U36" s="51">
        <f>((SUM(U2:U3,U5:U6,U8:U11,U13:U14,U16))/(COUNT(U2:U3,U5:U6,U8:U11,U13:U14,U16)))*100</f>
        <v>8.4061393152302237</v>
      </c>
      <c r="V36" s="51">
        <f>(STDEV(U2:U3,U5:U6,U8:U11,U13:U14,U16)/SQRT(COUNT(U2:U3,U5:U6,U8:U11,U13:U14,U16)))*100</f>
        <v>5.5246268364249191</v>
      </c>
    </row>
    <row r="37" spans="10:22" x14ac:dyDescent="0.55000000000000004">
      <c r="J37" t="s">
        <v>226</v>
      </c>
      <c r="K37" s="3">
        <f xml:space="preserve"> STDEV(K3:K4,K6,K13:K15)/SQRT(COUNT(K3:K4,K6,K13:K15))</f>
        <v>1.555454543403497</v>
      </c>
      <c r="R37">
        <f>(S36/R36)*100</f>
        <v>8.791208791208792</v>
      </c>
    </row>
    <row r="42" spans="10:22" x14ac:dyDescent="0.55000000000000004">
      <c r="L42">
        <f>L16+180</f>
        <v>355.06</v>
      </c>
    </row>
  </sheetData>
  <pageMargins left="0.7" right="0.7" top="0.75" bottom="0.75" header="0.3" footer="0.3"/>
  <pageSetup paperSize="9" orientation="portrait" horizontalDpi="4294967293"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V41"/>
  <sheetViews>
    <sheetView topLeftCell="A7" zoomScale="85" zoomScaleNormal="85" workbookViewId="0">
      <selection activeCell="N35" sqref="N35"/>
    </sheetView>
  </sheetViews>
  <sheetFormatPr defaultRowHeight="14.4" x14ac:dyDescent="0.55000000000000004"/>
  <cols>
    <col min="1" max="1" width="6.3125" customWidth="1"/>
    <col min="2" max="2" width="5.89453125" customWidth="1"/>
    <col min="3" max="3" width="12.7890625" customWidth="1"/>
    <col min="4" max="4" width="4.15625" customWidth="1"/>
    <col min="5" max="5" width="10.62890625" customWidth="1"/>
    <col min="6" max="6" width="12.26171875" customWidth="1"/>
  </cols>
  <sheetData>
    <row r="1" spans="1:22" ht="57.6" x14ac:dyDescent="0.55000000000000004">
      <c r="B1" s="3"/>
      <c r="C1" s="2" t="s">
        <v>0</v>
      </c>
      <c r="D1" s="2" t="s">
        <v>1</v>
      </c>
      <c r="E1" s="2" t="s">
        <v>90</v>
      </c>
      <c r="F1" s="2" t="s">
        <v>88</v>
      </c>
      <c r="G1" s="2" t="s">
        <v>2</v>
      </c>
      <c r="H1" s="2" t="s">
        <v>3</v>
      </c>
      <c r="I1" s="2" t="s">
        <v>11</v>
      </c>
      <c r="J1" s="2" t="s">
        <v>12</v>
      </c>
      <c r="K1" s="2" t="s">
        <v>4</v>
      </c>
      <c r="L1" s="2" t="s">
        <v>19</v>
      </c>
      <c r="M1" s="2" t="s">
        <v>10</v>
      </c>
      <c r="N1" s="2" t="s">
        <v>8</v>
      </c>
      <c r="O1" s="2" t="s">
        <v>9</v>
      </c>
      <c r="P1" s="2" t="s">
        <v>123</v>
      </c>
      <c r="Q1" s="2" t="s">
        <v>5</v>
      </c>
      <c r="R1" s="3"/>
      <c r="S1" s="3"/>
      <c r="T1" s="3"/>
      <c r="U1" s="3"/>
    </row>
    <row r="2" spans="1:22" x14ac:dyDescent="0.55000000000000004">
      <c r="A2">
        <v>1</v>
      </c>
      <c r="B2">
        <v>1</v>
      </c>
      <c r="C2" t="s">
        <v>1214</v>
      </c>
      <c r="D2" t="s">
        <v>1209</v>
      </c>
      <c r="E2" t="s">
        <v>1211</v>
      </c>
      <c r="F2" t="s">
        <v>1212</v>
      </c>
      <c r="G2">
        <v>86.965000000000003</v>
      </c>
      <c r="H2">
        <v>109.566</v>
      </c>
      <c r="I2">
        <f t="shared" ref="I2:I10" si="0">H2-G2</f>
        <v>22.600999999999999</v>
      </c>
      <c r="J2">
        <f t="shared" ref="J2:J10" si="1">I2*0.0973</f>
        <v>2.1990772999999999</v>
      </c>
      <c r="K2" s="3">
        <f t="shared" ref="K2:K10" si="2">J2*20</f>
        <v>43.981545999999994</v>
      </c>
      <c r="L2">
        <v>105.82</v>
      </c>
      <c r="M2">
        <v>1297</v>
      </c>
      <c r="N2">
        <v>3230</v>
      </c>
      <c r="O2">
        <v>162.83000000000001</v>
      </c>
      <c r="P2">
        <f t="shared" ref="P2:P10" si="3">O2-L2</f>
        <v>57.010000000000019</v>
      </c>
      <c r="Q2" t="s">
        <v>1213</v>
      </c>
      <c r="R2">
        <v>8</v>
      </c>
      <c r="S2">
        <v>2</v>
      </c>
      <c r="T2">
        <f>S2/R2</f>
        <v>0.25</v>
      </c>
    </row>
    <row r="3" spans="1:22" s="107" customFormat="1" x14ac:dyDescent="0.55000000000000004">
      <c r="C3" s="107" t="s">
        <v>1215</v>
      </c>
      <c r="D3" s="107" t="s">
        <v>1209</v>
      </c>
      <c r="E3" s="107" t="s">
        <v>1211</v>
      </c>
      <c r="F3" s="107" t="s">
        <v>1212</v>
      </c>
      <c r="G3" s="107">
        <v>76.28</v>
      </c>
      <c r="H3" s="107">
        <v>99.06</v>
      </c>
      <c r="I3" s="107">
        <f t="shared" si="0"/>
        <v>22.78</v>
      </c>
      <c r="J3" s="107">
        <f t="shared" si="1"/>
        <v>2.216494</v>
      </c>
      <c r="K3" s="180">
        <f t="shared" si="2"/>
        <v>44.329880000000003</v>
      </c>
      <c r="L3" s="107">
        <v>105.82</v>
      </c>
      <c r="M3" s="107">
        <v>1297</v>
      </c>
      <c r="N3" s="107">
        <v>3230</v>
      </c>
      <c r="O3" s="107">
        <v>162.83000000000001</v>
      </c>
      <c r="P3" s="107">
        <f t="shared" si="3"/>
        <v>57.010000000000019</v>
      </c>
      <c r="Q3" s="107" t="s">
        <v>1213</v>
      </c>
      <c r="R3" s="201"/>
      <c r="S3" s="201"/>
      <c r="T3"/>
    </row>
    <row r="4" spans="1:22" x14ac:dyDescent="0.55000000000000004">
      <c r="B4">
        <v>2</v>
      </c>
      <c r="C4" t="s">
        <v>1216</v>
      </c>
      <c r="D4" t="s">
        <v>1209</v>
      </c>
      <c r="E4" t="s">
        <v>1211</v>
      </c>
      <c r="F4" t="s">
        <v>1212</v>
      </c>
      <c r="G4">
        <v>83.394000000000005</v>
      </c>
      <c r="H4">
        <v>97.710999999999999</v>
      </c>
      <c r="I4">
        <f t="shared" si="0"/>
        <v>14.316999999999993</v>
      </c>
      <c r="J4">
        <f t="shared" si="1"/>
        <v>1.3930440999999993</v>
      </c>
      <c r="K4" s="3">
        <f t="shared" si="2"/>
        <v>27.860881999999986</v>
      </c>
      <c r="L4">
        <v>105.82</v>
      </c>
      <c r="M4">
        <v>3806</v>
      </c>
      <c r="N4">
        <v>6123</v>
      </c>
      <c r="O4">
        <v>308.68</v>
      </c>
      <c r="P4">
        <f t="shared" si="3"/>
        <v>202.86</v>
      </c>
      <c r="Q4" t="s">
        <v>1213</v>
      </c>
      <c r="R4" s="200"/>
      <c r="S4" s="200"/>
    </row>
    <row r="5" spans="1:22" x14ac:dyDescent="0.55000000000000004">
      <c r="A5">
        <v>2</v>
      </c>
      <c r="B5">
        <v>3</v>
      </c>
      <c r="C5" t="s">
        <v>1217</v>
      </c>
      <c r="D5" t="s">
        <v>1210</v>
      </c>
      <c r="E5" t="s">
        <v>1211</v>
      </c>
      <c r="F5" t="s">
        <v>1212</v>
      </c>
      <c r="G5">
        <v>74.775999999999996</v>
      </c>
      <c r="H5">
        <v>88.372</v>
      </c>
      <c r="I5">
        <f t="shared" si="0"/>
        <v>13.596000000000004</v>
      </c>
      <c r="J5">
        <f t="shared" si="1"/>
        <v>1.3228908000000004</v>
      </c>
      <c r="K5" s="3">
        <f t="shared" si="2"/>
        <v>26.457816000000008</v>
      </c>
      <c r="L5">
        <v>47.69</v>
      </c>
      <c r="M5">
        <v>629</v>
      </c>
      <c r="N5">
        <v>3506</v>
      </c>
      <c r="O5">
        <v>187.66</v>
      </c>
      <c r="P5">
        <f t="shared" si="3"/>
        <v>139.97</v>
      </c>
      <c r="R5">
        <v>10</v>
      </c>
      <c r="S5">
        <v>1</v>
      </c>
      <c r="T5">
        <f>S5/R5</f>
        <v>0.1</v>
      </c>
    </row>
    <row r="6" spans="1:22" s="107" customFormat="1" x14ac:dyDescent="0.55000000000000004">
      <c r="C6" s="107" t="s">
        <v>1218</v>
      </c>
      <c r="D6" s="107" t="s">
        <v>1210</v>
      </c>
      <c r="E6" s="107" t="s">
        <v>1211</v>
      </c>
      <c r="F6" s="107" t="s">
        <v>1212</v>
      </c>
      <c r="G6" s="107">
        <v>84.741</v>
      </c>
      <c r="H6" s="107">
        <v>100.904</v>
      </c>
      <c r="I6" s="107">
        <f t="shared" si="0"/>
        <v>16.162999999999997</v>
      </c>
      <c r="J6" s="107">
        <f t="shared" si="1"/>
        <v>1.5726598999999997</v>
      </c>
      <c r="K6" s="180">
        <f t="shared" si="2"/>
        <v>31.453197999999993</v>
      </c>
      <c r="L6" s="107">
        <v>47.69</v>
      </c>
      <c r="M6" s="107">
        <v>629</v>
      </c>
      <c r="N6" s="107">
        <v>3506</v>
      </c>
      <c r="O6" s="107">
        <v>187.66</v>
      </c>
      <c r="P6" s="107">
        <f t="shared" si="3"/>
        <v>139.97</v>
      </c>
      <c r="R6" s="201"/>
      <c r="S6" s="201"/>
      <c r="T6"/>
    </row>
    <row r="7" spans="1:22" x14ac:dyDescent="0.55000000000000004">
      <c r="A7">
        <v>3</v>
      </c>
      <c r="B7">
        <v>4</v>
      </c>
      <c r="C7" t="s">
        <v>1225</v>
      </c>
      <c r="E7" t="s">
        <v>1223</v>
      </c>
      <c r="F7" t="s">
        <v>1212</v>
      </c>
      <c r="G7">
        <v>90.442999999999998</v>
      </c>
      <c r="H7">
        <v>96.423000000000002</v>
      </c>
      <c r="I7">
        <f t="shared" si="0"/>
        <v>5.980000000000004</v>
      </c>
      <c r="J7">
        <f t="shared" si="1"/>
        <v>0.58185400000000043</v>
      </c>
      <c r="K7" s="3">
        <f t="shared" si="2"/>
        <v>11.637080000000008</v>
      </c>
      <c r="L7">
        <v>35.31</v>
      </c>
      <c r="M7">
        <v>875</v>
      </c>
      <c r="N7">
        <v>2151</v>
      </c>
      <c r="O7">
        <v>107.27</v>
      </c>
      <c r="P7" s="107">
        <f t="shared" si="3"/>
        <v>71.959999999999994</v>
      </c>
      <c r="Q7" t="s">
        <v>1224</v>
      </c>
      <c r="R7">
        <v>13</v>
      </c>
      <c r="S7">
        <v>1</v>
      </c>
      <c r="T7">
        <f>S7/R7</f>
        <v>7.6923076923076927E-2</v>
      </c>
    </row>
    <row r="8" spans="1:22" s="107" customFormat="1" x14ac:dyDescent="0.55000000000000004">
      <c r="C8" s="107" t="s">
        <v>1226</v>
      </c>
      <c r="E8" s="107" t="s">
        <v>1223</v>
      </c>
      <c r="F8" s="107" t="s">
        <v>1212</v>
      </c>
      <c r="G8" s="107">
        <v>81.977000000000004</v>
      </c>
      <c r="H8" s="107">
        <v>95.533000000000001</v>
      </c>
      <c r="I8" s="107">
        <f t="shared" si="0"/>
        <v>13.555999999999997</v>
      </c>
      <c r="J8" s="107">
        <f t="shared" si="1"/>
        <v>1.3189987999999997</v>
      </c>
      <c r="K8" s="180">
        <f t="shared" si="2"/>
        <v>26.379975999999992</v>
      </c>
      <c r="L8" s="107">
        <v>35.31</v>
      </c>
      <c r="M8" s="107">
        <v>875</v>
      </c>
      <c r="N8" s="107">
        <v>2151</v>
      </c>
      <c r="O8" s="107">
        <v>107.27</v>
      </c>
      <c r="P8" s="107">
        <f t="shared" si="3"/>
        <v>71.959999999999994</v>
      </c>
      <c r="Q8" s="107" t="s">
        <v>1224</v>
      </c>
      <c r="R8" s="107">
        <v>13</v>
      </c>
      <c r="S8" s="107">
        <v>1</v>
      </c>
      <c r="T8">
        <f>S8/R8</f>
        <v>7.6923076923076927E-2</v>
      </c>
    </row>
    <row r="9" spans="1:22" x14ac:dyDescent="0.55000000000000004">
      <c r="A9">
        <v>4</v>
      </c>
      <c r="B9">
        <v>5</v>
      </c>
      <c r="C9" t="s">
        <v>1227</v>
      </c>
      <c r="E9" t="s">
        <v>1223</v>
      </c>
      <c r="F9" t="s">
        <v>1212</v>
      </c>
      <c r="G9">
        <v>95.271000000000001</v>
      </c>
      <c r="H9">
        <v>106.357</v>
      </c>
      <c r="I9">
        <f t="shared" si="0"/>
        <v>11.085999999999999</v>
      </c>
      <c r="J9">
        <f t="shared" si="1"/>
        <v>1.0786677999999998</v>
      </c>
      <c r="K9" s="3">
        <f t="shared" si="2"/>
        <v>21.573355999999997</v>
      </c>
      <c r="L9">
        <v>2.16</v>
      </c>
      <c r="M9">
        <v>240</v>
      </c>
      <c r="N9">
        <v>1095</v>
      </c>
      <c r="O9">
        <v>54.9</v>
      </c>
      <c r="P9">
        <f t="shared" si="3"/>
        <v>52.739999999999995</v>
      </c>
      <c r="R9">
        <v>17</v>
      </c>
      <c r="S9">
        <v>2</v>
      </c>
      <c r="T9">
        <f>S9/R9</f>
        <v>0.11764705882352941</v>
      </c>
    </row>
    <row r="10" spans="1:22" x14ac:dyDescent="0.55000000000000004">
      <c r="B10" s="85">
        <v>6</v>
      </c>
      <c r="C10" t="s">
        <v>1228</v>
      </c>
      <c r="E10" t="s">
        <v>1223</v>
      </c>
      <c r="F10" t="s">
        <v>1212</v>
      </c>
      <c r="G10">
        <v>95.271000000000001</v>
      </c>
      <c r="H10" s="85">
        <v>114.202</v>
      </c>
      <c r="I10">
        <f t="shared" si="0"/>
        <v>18.930999999999997</v>
      </c>
      <c r="J10">
        <f t="shared" si="1"/>
        <v>1.8419862999999996</v>
      </c>
      <c r="K10" s="3">
        <f t="shared" si="2"/>
        <v>36.839725999999992</v>
      </c>
      <c r="L10">
        <v>2.16</v>
      </c>
      <c r="M10">
        <v>240</v>
      </c>
      <c r="N10">
        <v>1836</v>
      </c>
      <c r="O10">
        <v>92.06</v>
      </c>
      <c r="P10">
        <f t="shared" si="3"/>
        <v>89.9</v>
      </c>
      <c r="Q10" t="s">
        <v>1229</v>
      </c>
      <c r="R10" s="200"/>
      <c r="S10" s="200"/>
    </row>
    <row r="11" spans="1:22" x14ac:dyDescent="0.55000000000000004">
      <c r="A11">
        <v>5</v>
      </c>
      <c r="C11" t="s">
        <v>1219</v>
      </c>
      <c r="E11" t="s">
        <v>1223</v>
      </c>
      <c r="F11" t="s">
        <v>1212</v>
      </c>
      <c r="G11" t="s">
        <v>1098</v>
      </c>
      <c r="K11" s="3"/>
      <c r="R11" s="11">
        <v>1</v>
      </c>
      <c r="S11" s="11">
        <v>1</v>
      </c>
    </row>
    <row r="12" spans="1:22" x14ac:dyDescent="0.55000000000000004">
      <c r="A12">
        <v>6</v>
      </c>
      <c r="B12">
        <v>7</v>
      </c>
      <c r="C12" t="s">
        <v>1231</v>
      </c>
      <c r="E12" t="s">
        <v>1223</v>
      </c>
      <c r="F12" t="s">
        <v>1212</v>
      </c>
      <c r="G12">
        <v>82.894999999999996</v>
      </c>
      <c r="H12">
        <v>104.401</v>
      </c>
      <c r="I12">
        <f t="shared" ref="I12:I25" si="4">H12-G12</f>
        <v>21.506</v>
      </c>
      <c r="J12">
        <f t="shared" ref="J12:J25" si="5">I12*0.0973</f>
        <v>2.0925338</v>
      </c>
      <c r="K12" s="3">
        <f t="shared" ref="K12:K25" si="6">J12*20</f>
        <v>41.850676</v>
      </c>
      <c r="L12">
        <v>65.900000000000006</v>
      </c>
      <c r="M12">
        <v>1449</v>
      </c>
      <c r="N12">
        <v>4283</v>
      </c>
      <c r="O12">
        <v>215.29</v>
      </c>
      <c r="P12">
        <f t="shared" ref="P12:P25" si="7">O12-L12</f>
        <v>149.38999999999999</v>
      </c>
      <c r="Q12" t="s">
        <v>1230</v>
      </c>
      <c r="R12" s="11">
        <v>1</v>
      </c>
      <c r="S12" s="11">
        <v>1</v>
      </c>
    </row>
    <row r="13" spans="1:22" s="107" customFormat="1" x14ac:dyDescent="0.55000000000000004">
      <c r="C13" s="107" t="s">
        <v>1232</v>
      </c>
      <c r="E13" s="107" t="s">
        <v>1223</v>
      </c>
      <c r="F13" s="107" t="s">
        <v>1212</v>
      </c>
      <c r="G13" s="107">
        <v>84.441000000000003</v>
      </c>
      <c r="H13" s="107">
        <v>109.533</v>
      </c>
      <c r="I13" s="107">
        <f t="shared" si="4"/>
        <v>25.091999999999999</v>
      </c>
      <c r="J13" s="107">
        <f t="shared" si="5"/>
        <v>2.4414515999999997</v>
      </c>
      <c r="K13" s="180">
        <f t="shared" si="6"/>
        <v>48.829031999999998</v>
      </c>
      <c r="L13" s="107">
        <v>65.900000000000006</v>
      </c>
      <c r="M13" s="107">
        <v>1449</v>
      </c>
      <c r="N13" s="107">
        <v>4283</v>
      </c>
      <c r="O13" s="107">
        <v>215.29</v>
      </c>
      <c r="P13" s="107">
        <f t="shared" si="7"/>
        <v>149.38999999999999</v>
      </c>
      <c r="Q13" s="107" t="s">
        <v>1230</v>
      </c>
      <c r="R13" s="201"/>
      <c r="S13" s="201"/>
      <c r="T13"/>
    </row>
    <row r="14" spans="1:22" x14ac:dyDescent="0.55000000000000004">
      <c r="A14">
        <v>7</v>
      </c>
      <c r="B14">
        <v>8</v>
      </c>
      <c r="C14" t="s">
        <v>1233</v>
      </c>
      <c r="E14" t="s">
        <v>1223</v>
      </c>
      <c r="F14" t="s">
        <v>1212</v>
      </c>
      <c r="G14">
        <v>87.587000000000003</v>
      </c>
      <c r="H14">
        <v>105.322</v>
      </c>
      <c r="I14">
        <f t="shared" si="4"/>
        <v>17.734999999999999</v>
      </c>
      <c r="J14">
        <f t="shared" si="5"/>
        <v>1.7256155</v>
      </c>
      <c r="K14" s="3">
        <f t="shared" si="6"/>
        <v>34.512309999999999</v>
      </c>
      <c r="L14">
        <v>30.76</v>
      </c>
      <c r="M14">
        <v>888</v>
      </c>
      <c r="N14">
        <v>1283</v>
      </c>
      <c r="O14">
        <v>65.56</v>
      </c>
      <c r="P14">
        <f t="shared" si="7"/>
        <v>34.799999999999997</v>
      </c>
      <c r="R14" s="11">
        <v>11</v>
      </c>
      <c r="S14" s="11">
        <v>3</v>
      </c>
      <c r="T14">
        <f>S14/R14</f>
        <v>0.27272727272727271</v>
      </c>
    </row>
    <row r="15" spans="1:22" x14ac:dyDescent="0.55000000000000004">
      <c r="B15">
        <v>9</v>
      </c>
      <c r="C15" t="s">
        <v>1234</v>
      </c>
      <c r="E15" t="s">
        <v>1223</v>
      </c>
      <c r="F15" t="s">
        <v>1212</v>
      </c>
      <c r="G15">
        <v>87.587000000000003</v>
      </c>
      <c r="H15">
        <v>109.55200000000001</v>
      </c>
      <c r="I15">
        <f t="shared" si="4"/>
        <v>21.965000000000003</v>
      </c>
      <c r="J15">
        <f t="shared" si="5"/>
        <v>2.1371945000000001</v>
      </c>
      <c r="K15" s="3">
        <f t="shared" si="6"/>
        <v>42.74389</v>
      </c>
      <c r="L15">
        <v>30.76</v>
      </c>
      <c r="M15">
        <v>888</v>
      </c>
      <c r="N15">
        <v>1571</v>
      </c>
      <c r="O15">
        <v>80.28</v>
      </c>
      <c r="P15">
        <f t="shared" si="7"/>
        <v>49.519999999999996</v>
      </c>
      <c r="Q15" t="s">
        <v>1229</v>
      </c>
      <c r="R15" s="200"/>
      <c r="S15" s="200"/>
      <c r="U15">
        <v>2583</v>
      </c>
      <c r="V15">
        <v>131.99</v>
      </c>
    </row>
    <row r="16" spans="1:22" x14ac:dyDescent="0.55000000000000004">
      <c r="A16">
        <v>8</v>
      </c>
      <c r="B16">
        <v>10</v>
      </c>
      <c r="C16" t="s">
        <v>1236</v>
      </c>
      <c r="E16" t="s">
        <v>1223</v>
      </c>
      <c r="F16" t="s">
        <v>1212</v>
      </c>
      <c r="G16">
        <v>80.945999999999998</v>
      </c>
      <c r="H16">
        <v>100.375</v>
      </c>
      <c r="I16">
        <f t="shared" si="4"/>
        <v>19.429000000000002</v>
      </c>
      <c r="J16">
        <f t="shared" si="5"/>
        <v>1.8904417000000002</v>
      </c>
      <c r="K16" s="3">
        <f t="shared" si="6"/>
        <v>37.808834000000004</v>
      </c>
      <c r="L16">
        <v>11.87</v>
      </c>
      <c r="M16">
        <v>374</v>
      </c>
      <c r="N16">
        <v>1576</v>
      </c>
      <c r="O16">
        <v>70.62</v>
      </c>
      <c r="P16">
        <f t="shared" si="7"/>
        <v>58.750000000000007</v>
      </c>
      <c r="Q16" t="s">
        <v>1242</v>
      </c>
      <c r="R16" s="11">
        <v>9</v>
      </c>
      <c r="S16" s="11">
        <v>3</v>
      </c>
      <c r="T16">
        <f>S16/R16</f>
        <v>0.33333333333333331</v>
      </c>
    </row>
    <row r="17" spans="1:20" x14ac:dyDescent="0.55000000000000004">
      <c r="B17">
        <v>11</v>
      </c>
      <c r="C17" t="s">
        <v>1237</v>
      </c>
      <c r="E17" t="s">
        <v>1223</v>
      </c>
      <c r="F17" t="s">
        <v>1212</v>
      </c>
      <c r="G17">
        <v>86.945999999999998</v>
      </c>
      <c r="H17">
        <v>103.00700000000001</v>
      </c>
      <c r="I17">
        <f t="shared" si="4"/>
        <v>16.061000000000007</v>
      </c>
      <c r="J17">
        <f t="shared" si="5"/>
        <v>1.5627353000000006</v>
      </c>
      <c r="K17" s="3">
        <f t="shared" si="6"/>
        <v>31.254706000000013</v>
      </c>
      <c r="L17">
        <v>11.87</v>
      </c>
      <c r="M17">
        <v>473</v>
      </c>
      <c r="N17">
        <v>1897</v>
      </c>
      <c r="O17">
        <v>85.01</v>
      </c>
      <c r="P17">
        <f t="shared" si="7"/>
        <v>73.14</v>
      </c>
      <c r="R17" s="200"/>
      <c r="S17" s="200"/>
    </row>
    <row r="18" spans="1:20" s="107" customFormat="1" x14ac:dyDescent="0.55000000000000004">
      <c r="C18" s="107" t="s">
        <v>1238</v>
      </c>
      <c r="E18" s="107" t="s">
        <v>1223</v>
      </c>
      <c r="F18" s="107" t="s">
        <v>1212</v>
      </c>
      <c r="G18" s="107">
        <v>93.498000000000005</v>
      </c>
      <c r="H18" s="107">
        <v>108.056</v>
      </c>
      <c r="I18" s="107">
        <f t="shared" si="4"/>
        <v>14.557999999999993</v>
      </c>
      <c r="J18" s="107">
        <f t="shared" si="5"/>
        <v>1.4164933999999993</v>
      </c>
      <c r="K18" s="180">
        <f t="shared" si="6"/>
        <v>28.329867999999987</v>
      </c>
      <c r="L18" s="107">
        <v>11.87</v>
      </c>
      <c r="M18" s="107">
        <v>473</v>
      </c>
      <c r="N18" s="107">
        <v>1897</v>
      </c>
      <c r="O18" s="107">
        <v>85.01</v>
      </c>
      <c r="P18" s="107">
        <f t="shared" si="7"/>
        <v>73.14</v>
      </c>
      <c r="Q18" s="107" t="s">
        <v>1243</v>
      </c>
      <c r="R18" s="201"/>
      <c r="S18" s="201"/>
      <c r="T18"/>
    </row>
    <row r="19" spans="1:20" x14ac:dyDescent="0.55000000000000004">
      <c r="B19">
        <v>12</v>
      </c>
      <c r="C19" t="s">
        <v>1239</v>
      </c>
      <c r="E19" t="s">
        <v>1223</v>
      </c>
      <c r="F19" t="s">
        <v>1212</v>
      </c>
      <c r="G19">
        <v>93.498000000000005</v>
      </c>
      <c r="H19">
        <v>102.316</v>
      </c>
      <c r="I19">
        <f t="shared" si="4"/>
        <v>8.8179999999999978</v>
      </c>
      <c r="J19">
        <f t="shared" si="5"/>
        <v>0.85799139999999974</v>
      </c>
      <c r="K19" s="3">
        <f t="shared" si="6"/>
        <v>17.159827999999994</v>
      </c>
      <c r="L19">
        <v>11.87</v>
      </c>
      <c r="M19">
        <v>662</v>
      </c>
      <c r="N19">
        <v>2498</v>
      </c>
      <c r="O19">
        <v>111.94</v>
      </c>
      <c r="P19">
        <f t="shared" si="7"/>
        <v>100.07</v>
      </c>
      <c r="Q19" t="s">
        <v>1240</v>
      </c>
      <c r="R19" s="200"/>
      <c r="S19" s="200"/>
    </row>
    <row r="20" spans="1:20" s="107" customFormat="1" x14ac:dyDescent="0.55000000000000004">
      <c r="C20" s="107" t="s">
        <v>1241</v>
      </c>
      <c r="E20" s="107" t="s">
        <v>1223</v>
      </c>
      <c r="F20" s="107" t="s">
        <v>1212</v>
      </c>
      <c r="G20" s="107">
        <v>80.540999999999997</v>
      </c>
      <c r="H20" s="107">
        <v>88.692999999999998</v>
      </c>
      <c r="I20" s="107">
        <f t="shared" si="4"/>
        <v>8.152000000000001</v>
      </c>
      <c r="J20" s="107">
        <f t="shared" si="5"/>
        <v>0.79318960000000005</v>
      </c>
      <c r="K20" s="180">
        <f t="shared" si="6"/>
        <v>15.863792</v>
      </c>
      <c r="L20" s="107">
        <v>11.87</v>
      </c>
      <c r="M20" s="107">
        <v>662</v>
      </c>
      <c r="N20" s="107">
        <v>2498</v>
      </c>
      <c r="O20" s="107">
        <v>111.94</v>
      </c>
      <c r="P20" s="107">
        <f t="shared" si="7"/>
        <v>100.07</v>
      </c>
      <c r="Q20" s="107" t="s">
        <v>1240</v>
      </c>
      <c r="R20" s="201"/>
      <c r="S20" s="201"/>
      <c r="T20"/>
    </row>
    <row r="21" spans="1:20" x14ac:dyDescent="0.55000000000000004">
      <c r="A21">
        <v>9</v>
      </c>
      <c r="B21">
        <v>13</v>
      </c>
      <c r="C21" t="s">
        <v>1246</v>
      </c>
      <c r="E21" t="s">
        <v>1223</v>
      </c>
      <c r="F21" t="s">
        <v>1212</v>
      </c>
      <c r="G21">
        <v>91.501000000000005</v>
      </c>
      <c r="H21">
        <v>107.746</v>
      </c>
      <c r="I21" s="7">
        <f t="shared" si="4"/>
        <v>16.24499999999999</v>
      </c>
      <c r="J21" s="7">
        <f t="shared" si="5"/>
        <v>1.5806384999999989</v>
      </c>
      <c r="K21" s="19">
        <f t="shared" si="6"/>
        <v>31.61276999999998</v>
      </c>
      <c r="L21">
        <v>10</v>
      </c>
      <c r="M21">
        <v>177</v>
      </c>
      <c r="N21">
        <v>1063</v>
      </c>
      <c r="O21">
        <v>52.6</v>
      </c>
      <c r="P21">
        <f t="shared" si="7"/>
        <v>42.6</v>
      </c>
      <c r="R21">
        <v>18</v>
      </c>
      <c r="S21">
        <v>2</v>
      </c>
      <c r="T21">
        <f>S21/R21</f>
        <v>0.1111111111111111</v>
      </c>
    </row>
    <row r="22" spans="1:20" s="107" customFormat="1" x14ac:dyDescent="0.55000000000000004">
      <c r="C22" s="107" t="s">
        <v>1245</v>
      </c>
      <c r="E22" s="107" t="s">
        <v>1223</v>
      </c>
      <c r="F22" s="107" t="s">
        <v>1212</v>
      </c>
      <c r="G22" s="107">
        <v>78.756</v>
      </c>
      <c r="H22" s="107">
        <v>101.893</v>
      </c>
      <c r="I22" s="107">
        <f t="shared" si="4"/>
        <v>23.137</v>
      </c>
      <c r="J22" s="107">
        <f t="shared" si="5"/>
        <v>2.2512300999999999</v>
      </c>
      <c r="K22" s="180">
        <f t="shared" si="6"/>
        <v>45.024602000000002</v>
      </c>
      <c r="L22" s="107">
        <v>10</v>
      </c>
      <c r="M22" s="107">
        <v>177</v>
      </c>
      <c r="N22" s="107">
        <v>1063</v>
      </c>
      <c r="O22" s="107">
        <v>52.6</v>
      </c>
      <c r="P22" s="107">
        <f t="shared" si="7"/>
        <v>42.6</v>
      </c>
      <c r="R22" s="201"/>
      <c r="S22" s="201"/>
      <c r="T22"/>
    </row>
    <row r="23" spans="1:20" x14ac:dyDescent="0.55000000000000004">
      <c r="B23">
        <v>14</v>
      </c>
      <c r="C23" t="s">
        <v>1244</v>
      </c>
      <c r="E23" t="s">
        <v>1223</v>
      </c>
      <c r="F23" t="s">
        <v>1212</v>
      </c>
      <c r="G23">
        <v>74.762</v>
      </c>
      <c r="H23">
        <v>92.355000000000004</v>
      </c>
      <c r="I23">
        <f t="shared" si="4"/>
        <v>17.593000000000004</v>
      </c>
      <c r="J23">
        <f t="shared" si="5"/>
        <v>1.7117989000000002</v>
      </c>
      <c r="K23" s="3">
        <f t="shared" si="6"/>
        <v>34.235978000000003</v>
      </c>
      <c r="L23">
        <v>10</v>
      </c>
      <c r="M23">
        <v>177</v>
      </c>
      <c r="N23">
        <v>1663</v>
      </c>
      <c r="O23">
        <v>82.3</v>
      </c>
      <c r="P23">
        <f t="shared" si="7"/>
        <v>72.3</v>
      </c>
      <c r="Q23" t="s">
        <v>1248</v>
      </c>
      <c r="R23" s="200"/>
      <c r="S23" s="200"/>
    </row>
    <row r="24" spans="1:20" s="107" customFormat="1" x14ac:dyDescent="0.55000000000000004">
      <c r="C24" s="107" t="s">
        <v>1247</v>
      </c>
      <c r="E24" s="107" t="s">
        <v>1223</v>
      </c>
      <c r="F24" s="107" t="s">
        <v>1212</v>
      </c>
      <c r="G24" s="107">
        <v>91.501000000000005</v>
      </c>
      <c r="H24" s="107">
        <v>102.113</v>
      </c>
      <c r="I24" s="107">
        <f t="shared" si="4"/>
        <v>10.611999999999995</v>
      </c>
      <c r="J24" s="107">
        <f t="shared" si="5"/>
        <v>1.0325475999999996</v>
      </c>
      <c r="K24" s="180">
        <f t="shared" si="6"/>
        <v>20.65095199999999</v>
      </c>
      <c r="L24" s="107">
        <v>10</v>
      </c>
      <c r="M24" s="107">
        <v>177</v>
      </c>
      <c r="N24" s="107">
        <v>1663</v>
      </c>
      <c r="O24" s="107">
        <v>82.3</v>
      </c>
      <c r="P24" s="107">
        <f t="shared" si="7"/>
        <v>72.3</v>
      </c>
      <c r="R24" s="201"/>
      <c r="S24" s="201"/>
      <c r="T24"/>
    </row>
    <row r="25" spans="1:20" x14ac:dyDescent="0.55000000000000004">
      <c r="A25">
        <v>10</v>
      </c>
      <c r="B25">
        <v>15</v>
      </c>
      <c r="C25" t="s">
        <v>1220</v>
      </c>
      <c r="E25" t="s">
        <v>1223</v>
      </c>
      <c r="F25" t="s">
        <v>1212</v>
      </c>
      <c r="G25">
        <v>79.722999999999999</v>
      </c>
      <c r="H25">
        <v>88.01</v>
      </c>
      <c r="I25">
        <f t="shared" si="4"/>
        <v>8.2870000000000061</v>
      </c>
      <c r="J25">
        <f t="shared" si="5"/>
        <v>0.80632510000000057</v>
      </c>
      <c r="K25" s="3">
        <f t="shared" si="6"/>
        <v>16.126502000000013</v>
      </c>
      <c r="L25">
        <v>35.090000000000003</v>
      </c>
      <c r="M25">
        <v>766</v>
      </c>
      <c r="N25">
        <v>1629</v>
      </c>
      <c r="O25">
        <v>79.27</v>
      </c>
      <c r="P25">
        <f t="shared" si="7"/>
        <v>44.179999999999993</v>
      </c>
      <c r="Q25" t="s">
        <v>1249</v>
      </c>
      <c r="R25">
        <v>13</v>
      </c>
      <c r="S25">
        <v>1</v>
      </c>
      <c r="T25">
        <f>S25/R25</f>
        <v>7.6923076923076927E-2</v>
      </c>
    </row>
    <row r="26" spans="1:20" s="7" customFormat="1" x14ac:dyDescent="0.55000000000000004">
      <c r="A26" s="7">
        <v>11</v>
      </c>
      <c r="C26" s="7" t="s">
        <v>1221</v>
      </c>
      <c r="E26" s="7" t="s">
        <v>1223</v>
      </c>
      <c r="F26" s="7" t="s">
        <v>1212</v>
      </c>
      <c r="G26" s="7" t="s">
        <v>325</v>
      </c>
      <c r="K26" s="19"/>
      <c r="R26" s="7">
        <v>13</v>
      </c>
      <c r="S26" s="7">
        <v>0</v>
      </c>
      <c r="T26">
        <f>S26/R26</f>
        <v>0</v>
      </c>
    </row>
    <row r="27" spans="1:20" x14ac:dyDescent="0.55000000000000004">
      <c r="A27">
        <v>12</v>
      </c>
      <c r="B27">
        <v>16</v>
      </c>
      <c r="C27" t="s">
        <v>1222</v>
      </c>
      <c r="E27" t="s">
        <v>1223</v>
      </c>
      <c r="F27" t="s">
        <v>1212</v>
      </c>
      <c r="G27">
        <v>82.176000000000002</v>
      </c>
      <c r="H27">
        <v>92.304000000000002</v>
      </c>
      <c r="I27">
        <f t="shared" ref="I27:I36" si="8">H27-G27</f>
        <v>10.128</v>
      </c>
      <c r="J27">
        <f t="shared" ref="J27:J36" si="9">I27*0.0973</f>
        <v>0.98545439999999995</v>
      </c>
      <c r="K27" s="3">
        <f t="shared" ref="K27:K36" si="10">J27*20</f>
        <v>19.709087999999998</v>
      </c>
      <c r="L27" s="7" t="s">
        <v>83</v>
      </c>
      <c r="M27" s="7">
        <v>319</v>
      </c>
      <c r="N27" s="7">
        <v>1100</v>
      </c>
      <c r="O27" s="7">
        <v>53.33</v>
      </c>
      <c r="R27" s="7">
        <v>16</v>
      </c>
      <c r="S27" s="7">
        <v>1</v>
      </c>
      <c r="T27">
        <f>S27/R27</f>
        <v>6.25E-2</v>
      </c>
    </row>
    <row r="28" spans="1:20" x14ac:dyDescent="0.55000000000000004">
      <c r="A28">
        <v>13</v>
      </c>
      <c r="B28">
        <v>17</v>
      </c>
      <c r="C28" t="s">
        <v>1250</v>
      </c>
      <c r="E28" t="s">
        <v>1223</v>
      </c>
      <c r="F28" t="s">
        <v>1212</v>
      </c>
      <c r="G28">
        <v>85.49</v>
      </c>
      <c r="H28">
        <v>109.77200000000001</v>
      </c>
      <c r="I28">
        <f t="shared" si="8"/>
        <v>24.282000000000011</v>
      </c>
      <c r="J28">
        <f t="shared" si="9"/>
        <v>2.3626386000000008</v>
      </c>
      <c r="K28" s="3">
        <f t="shared" si="10"/>
        <v>47.252772000000014</v>
      </c>
      <c r="L28">
        <v>105.77</v>
      </c>
      <c r="M28">
        <v>2087</v>
      </c>
      <c r="N28">
        <v>3230</v>
      </c>
      <c r="O28">
        <v>162.83000000000001</v>
      </c>
      <c r="P28">
        <f t="shared" ref="P28:P36" si="11">O28-L28</f>
        <v>57.060000000000016</v>
      </c>
      <c r="R28">
        <v>8</v>
      </c>
      <c r="S28">
        <v>2</v>
      </c>
      <c r="T28">
        <f>S28/R28</f>
        <v>0.25</v>
      </c>
    </row>
    <row r="29" spans="1:20" s="107" customFormat="1" x14ac:dyDescent="0.55000000000000004">
      <c r="C29" s="107" t="s">
        <v>1251</v>
      </c>
      <c r="E29" s="107" t="s">
        <v>1223</v>
      </c>
      <c r="F29" s="107" t="s">
        <v>1212</v>
      </c>
      <c r="G29" s="107">
        <v>79.972999999999999</v>
      </c>
      <c r="H29" s="107">
        <v>98.784999999999997</v>
      </c>
      <c r="I29" s="107">
        <f t="shared" si="8"/>
        <v>18.811999999999998</v>
      </c>
      <c r="J29" s="107">
        <f t="shared" si="9"/>
        <v>1.8304075999999998</v>
      </c>
      <c r="K29" s="180">
        <f t="shared" si="10"/>
        <v>36.608151999999997</v>
      </c>
      <c r="L29" s="107">
        <v>105.77</v>
      </c>
      <c r="M29" s="107">
        <v>2087</v>
      </c>
      <c r="N29" s="107">
        <v>3230</v>
      </c>
      <c r="O29" s="107">
        <v>162.83000000000001</v>
      </c>
      <c r="P29" s="107">
        <f t="shared" si="11"/>
        <v>57.060000000000016</v>
      </c>
      <c r="R29" s="201"/>
      <c r="S29" s="201"/>
      <c r="T29"/>
    </row>
    <row r="30" spans="1:20" s="85" customFormat="1" x14ac:dyDescent="0.55000000000000004">
      <c r="B30" s="85">
        <v>18</v>
      </c>
      <c r="C30" s="85" t="s">
        <v>1252</v>
      </c>
      <c r="E30" s="85" t="s">
        <v>1223</v>
      </c>
      <c r="F30" s="85" t="s">
        <v>1212</v>
      </c>
      <c r="G30" s="85">
        <v>79.972999999999999</v>
      </c>
      <c r="H30" s="85">
        <v>90.001999999999995</v>
      </c>
      <c r="I30" s="85">
        <f t="shared" si="8"/>
        <v>10.028999999999996</v>
      </c>
      <c r="J30" s="85">
        <f t="shared" si="9"/>
        <v>0.97582169999999957</v>
      </c>
      <c r="K30" s="3">
        <f t="shared" si="10"/>
        <v>19.51643399999999</v>
      </c>
      <c r="L30" s="85">
        <v>105.77</v>
      </c>
      <c r="M30" s="85">
        <v>2087</v>
      </c>
      <c r="N30" s="85">
        <v>6123</v>
      </c>
      <c r="O30" s="85">
        <v>308.68</v>
      </c>
      <c r="P30" s="85">
        <f t="shared" si="11"/>
        <v>202.91000000000003</v>
      </c>
      <c r="Q30" s="85" t="s">
        <v>1254</v>
      </c>
      <c r="R30" s="203"/>
      <c r="S30" s="203"/>
      <c r="T30"/>
    </row>
    <row r="31" spans="1:20" s="107" customFormat="1" x14ac:dyDescent="0.55000000000000004">
      <c r="C31" s="107" t="s">
        <v>1253</v>
      </c>
      <c r="E31" s="107" t="s">
        <v>1223</v>
      </c>
      <c r="F31" s="107" t="s">
        <v>1212</v>
      </c>
      <c r="G31" s="107">
        <v>87.001999999999995</v>
      </c>
      <c r="H31" s="107">
        <v>97.84</v>
      </c>
      <c r="I31" s="107">
        <f t="shared" si="8"/>
        <v>10.838000000000008</v>
      </c>
      <c r="J31" s="107">
        <f t="shared" si="9"/>
        <v>1.0545374000000007</v>
      </c>
      <c r="K31" s="180">
        <f t="shared" si="10"/>
        <v>21.090748000000016</v>
      </c>
      <c r="L31" s="107">
        <v>105.77</v>
      </c>
      <c r="M31" s="107">
        <v>2087</v>
      </c>
      <c r="N31" s="107">
        <v>6123</v>
      </c>
      <c r="O31" s="107">
        <v>308.68</v>
      </c>
      <c r="P31" s="107">
        <f t="shared" si="11"/>
        <v>202.91000000000003</v>
      </c>
      <c r="R31" s="201"/>
      <c r="S31" s="201"/>
      <c r="T31"/>
    </row>
    <row r="32" spans="1:20" x14ac:dyDescent="0.55000000000000004">
      <c r="A32">
        <v>14</v>
      </c>
      <c r="B32" s="85">
        <v>19</v>
      </c>
      <c r="C32" t="s">
        <v>1256</v>
      </c>
      <c r="E32" t="s">
        <v>1223</v>
      </c>
      <c r="F32" t="s">
        <v>1212</v>
      </c>
      <c r="G32" s="85">
        <v>74.781999999999996</v>
      </c>
      <c r="H32" s="85">
        <v>87.438999999999993</v>
      </c>
      <c r="I32">
        <f t="shared" si="8"/>
        <v>12.656999999999996</v>
      </c>
      <c r="J32">
        <f t="shared" si="9"/>
        <v>1.2315260999999997</v>
      </c>
      <c r="K32" s="3">
        <f t="shared" si="10"/>
        <v>24.630521999999996</v>
      </c>
      <c r="L32">
        <v>47.69</v>
      </c>
      <c r="M32">
        <v>327</v>
      </c>
      <c r="N32">
        <v>3506</v>
      </c>
      <c r="O32">
        <v>187.66</v>
      </c>
      <c r="P32">
        <f t="shared" si="11"/>
        <v>139.97</v>
      </c>
      <c r="R32">
        <v>10</v>
      </c>
      <c r="S32">
        <v>1</v>
      </c>
      <c r="T32">
        <f>S32/R32</f>
        <v>0.1</v>
      </c>
    </row>
    <row r="33" spans="2:21" s="107" customFormat="1" x14ac:dyDescent="0.55000000000000004">
      <c r="C33" s="107" t="s">
        <v>1255</v>
      </c>
      <c r="E33" s="107" t="s">
        <v>1223</v>
      </c>
      <c r="F33" s="107" t="s">
        <v>1212</v>
      </c>
      <c r="G33" s="107">
        <v>86.013999999999996</v>
      </c>
      <c r="H33" s="107">
        <v>100.857</v>
      </c>
      <c r="I33" s="107">
        <f t="shared" si="8"/>
        <v>14.843000000000004</v>
      </c>
      <c r="J33" s="107">
        <f t="shared" si="9"/>
        <v>1.4442239000000003</v>
      </c>
      <c r="K33" s="180">
        <f t="shared" si="10"/>
        <v>28.884478000000009</v>
      </c>
      <c r="L33" s="107">
        <v>47.69</v>
      </c>
      <c r="M33" s="107">
        <v>327</v>
      </c>
      <c r="N33" s="107">
        <v>3506</v>
      </c>
      <c r="O33" s="107">
        <v>187.66</v>
      </c>
      <c r="P33" s="107">
        <f t="shared" si="11"/>
        <v>139.97</v>
      </c>
      <c r="R33" s="107">
        <v>10</v>
      </c>
      <c r="S33" s="107">
        <v>1</v>
      </c>
      <c r="T33">
        <f>S33/R33</f>
        <v>0.1</v>
      </c>
    </row>
    <row r="34" spans="2:21" x14ac:dyDescent="0.55000000000000004">
      <c r="I34">
        <f t="shared" si="8"/>
        <v>0</v>
      </c>
      <c r="J34">
        <f t="shared" si="9"/>
        <v>0</v>
      </c>
      <c r="K34" s="3">
        <f t="shared" si="10"/>
        <v>0</v>
      </c>
      <c r="P34">
        <f t="shared" si="11"/>
        <v>0</v>
      </c>
    </row>
    <row r="35" spans="2:21" x14ac:dyDescent="0.55000000000000004">
      <c r="G35" s="107">
        <v>93.81</v>
      </c>
      <c r="H35" s="107">
        <v>112.64400000000001</v>
      </c>
      <c r="I35">
        <f t="shared" si="8"/>
        <v>18.834000000000003</v>
      </c>
      <c r="J35">
        <f t="shared" si="9"/>
        <v>1.8325482000000002</v>
      </c>
      <c r="K35" s="3">
        <f t="shared" si="10"/>
        <v>36.650964000000002</v>
      </c>
      <c r="P35">
        <f t="shared" si="11"/>
        <v>0</v>
      </c>
    </row>
    <row r="36" spans="2:21" x14ac:dyDescent="0.55000000000000004">
      <c r="I36">
        <f t="shared" si="8"/>
        <v>0</v>
      </c>
      <c r="J36">
        <f t="shared" si="9"/>
        <v>0</v>
      </c>
      <c r="K36" s="3">
        <f t="shared" si="10"/>
        <v>0</v>
      </c>
      <c r="P36">
        <f t="shared" si="11"/>
        <v>0</v>
      </c>
    </row>
    <row r="38" spans="2:21" x14ac:dyDescent="0.55000000000000004">
      <c r="J38" t="s">
        <v>225</v>
      </c>
      <c r="K38" s="3">
        <f>(SUM(K2,K4:K5,K7,K9:K10,K12,K14:K17,K19,K21,K23,K25,K27:K28,K30,K32))/(COUNT(K2,K4:K5,K7,K9:K10,K12,K14:K17,K19,K21,K23,K25,K27:K28,K30,K32))</f>
        <v>29.829721894736842</v>
      </c>
      <c r="R38">
        <f>SUM(R2:R36)</f>
        <v>171</v>
      </c>
      <c r="S38">
        <f>SUM(S2:S37)</f>
        <v>23</v>
      </c>
      <c r="T38" s="51">
        <f>((SUM(T2:T36))/(COUNT(T2:T36)))*100</f>
        <v>13.772057191174838</v>
      </c>
      <c r="U38" s="51">
        <f>(STDEV(T2:T36)/SQRT(COUNT(T2:T36)))*100</f>
        <v>2.5975276935846567</v>
      </c>
    </row>
    <row r="39" spans="2:21" x14ac:dyDescent="0.55000000000000004">
      <c r="J39" t="s">
        <v>226</v>
      </c>
      <c r="K39" s="3">
        <f xml:space="preserve"> STDEV(K2,K4:K5,K7,K9:K10,K12,K14:K17,K19,K21,K23,K25,K27:K28,K30,K32)/SQRT(COUNT(K2,K4:K5,K7,K9:K10,K12,K14:K17,K19,K21,K23,K25,K27:K28,K30,K32))</f>
        <v>2.4018675535396379</v>
      </c>
      <c r="R39">
        <f>(S38/R38)*100</f>
        <v>13.450292397660817</v>
      </c>
    </row>
    <row r="41" spans="2:21" x14ac:dyDescent="0.55000000000000004">
      <c r="B41">
        <v>43.981545999999994</v>
      </c>
      <c r="E41">
        <v>37.808834000000004</v>
      </c>
      <c r="F41">
        <v>31.254706000000013</v>
      </c>
      <c r="G41">
        <v>17.159827999999994</v>
      </c>
      <c r="H41">
        <v>31.61276999999998</v>
      </c>
      <c r="I41">
        <v>34.235978000000003</v>
      </c>
      <c r="J41">
        <v>16.126502000000013</v>
      </c>
      <c r="K41">
        <v>19.709087999999998</v>
      </c>
      <c r="L41">
        <v>47.252772000000014</v>
      </c>
      <c r="M41">
        <v>19.51643399999999</v>
      </c>
      <c r="N41">
        <v>24.630521999999996</v>
      </c>
    </row>
  </sheetData>
  <pageMargins left="0.7" right="0.7" top="0.75" bottom="0.75" header="0.3" footer="0.3"/>
  <pageSetup paperSize="9" orientation="portrait" horizontalDpi="4294967293" verticalDpi="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V49"/>
  <sheetViews>
    <sheetView topLeftCell="A16" zoomScale="70" zoomScaleNormal="70" workbookViewId="0">
      <selection activeCell="I8" sqref="I8:K8"/>
    </sheetView>
  </sheetViews>
  <sheetFormatPr defaultRowHeight="14.4" x14ac:dyDescent="0.55000000000000004"/>
  <cols>
    <col min="2" max="2" width="3.7890625" customWidth="1"/>
    <col min="3" max="3" width="11.20703125" customWidth="1"/>
    <col min="5" max="5" width="10.26171875" customWidth="1"/>
    <col min="6" max="6" width="15.578125" customWidth="1"/>
    <col min="18" max="18" width="9.89453125" customWidth="1"/>
  </cols>
  <sheetData>
    <row r="1" spans="1:21" ht="57.6" x14ac:dyDescent="0.55000000000000004">
      <c r="A1" s="3" t="s">
        <v>973</v>
      </c>
      <c r="B1" s="3" t="s">
        <v>972</v>
      </c>
      <c r="C1" s="2" t="s">
        <v>0</v>
      </c>
      <c r="D1" s="2" t="s">
        <v>1</v>
      </c>
      <c r="E1" s="2" t="s">
        <v>90</v>
      </c>
      <c r="F1" s="2" t="s">
        <v>88</v>
      </c>
      <c r="G1" s="2" t="s">
        <v>2</v>
      </c>
      <c r="H1" s="2" t="s">
        <v>3</v>
      </c>
      <c r="I1" s="2" t="s">
        <v>11</v>
      </c>
      <c r="J1" s="2" t="s">
        <v>12</v>
      </c>
      <c r="K1" s="2" t="s">
        <v>4</v>
      </c>
      <c r="L1" s="2" t="s">
        <v>19</v>
      </c>
      <c r="M1" s="2" t="s">
        <v>10</v>
      </c>
      <c r="N1" s="2" t="s">
        <v>8</v>
      </c>
      <c r="O1" s="2" t="s">
        <v>9</v>
      </c>
      <c r="P1" s="2" t="s">
        <v>123</v>
      </c>
      <c r="Q1" s="2" t="s">
        <v>5</v>
      </c>
      <c r="R1" s="2" t="s">
        <v>396</v>
      </c>
      <c r="S1" s="2" t="s">
        <v>397</v>
      </c>
    </row>
    <row r="2" spans="1:21" x14ac:dyDescent="0.55000000000000004">
      <c r="B2">
        <v>1</v>
      </c>
      <c r="C2" t="s">
        <v>729</v>
      </c>
      <c r="D2" t="s">
        <v>735</v>
      </c>
      <c r="E2" t="s">
        <v>741</v>
      </c>
      <c r="F2" s="85" t="s">
        <v>787</v>
      </c>
      <c r="G2" t="s">
        <v>325</v>
      </c>
      <c r="K2" s="3"/>
      <c r="L2">
        <v>73.260000000000005</v>
      </c>
      <c r="R2">
        <v>6</v>
      </c>
      <c r="S2">
        <v>0</v>
      </c>
      <c r="U2">
        <f>S2/(S2+R2)</f>
        <v>0</v>
      </c>
    </row>
    <row r="3" spans="1:21" x14ac:dyDescent="0.55000000000000004">
      <c r="B3">
        <v>2</v>
      </c>
      <c r="C3" t="s">
        <v>730</v>
      </c>
      <c r="D3" t="s">
        <v>736</v>
      </c>
      <c r="E3" t="s">
        <v>741</v>
      </c>
      <c r="F3" s="85" t="s">
        <v>787</v>
      </c>
      <c r="G3" t="s">
        <v>325</v>
      </c>
      <c r="K3" s="3"/>
      <c r="L3" t="s">
        <v>742</v>
      </c>
      <c r="R3">
        <v>9</v>
      </c>
      <c r="S3">
        <v>0</v>
      </c>
      <c r="U3">
        <f>S3/(S3+R3)</f>
        <v>0</v>
      </c>
    </row>
    <row r="4" spans="1:21" x14ac:dyDescent="0.55000000000000004">
      <c r="A4">
        <v>1</v>
      </c>
      <c r="B4">
        <v>3</v>
      </c>
      <c r="C4" t="s">
        <v>731</v>
      </c>
      <c r="D4" t="s">
        <v>737</v>
      </c>
      <c r="E4" t="s">
        <v>741</v>
      </c>
      <c r="F4" s="85" t="s">
        <v>787</v>
      </c>
      <c r="G4">
        <v>86.494</v>
      </c>
      <c r="H4">
        <v>99.144999999999996</v>
      </c>
      <c r="I4">
        <f>H4-G4</f>
        <v>12.650999999999996</v>
      </c>
      <c r="J4">
        <f>I4*0.0973</f>
        <v>1.2309422999999997</v>
      </c>
      <c r="K4" s="3">
        <f>J4*20</f>
        <v>24.618845999999994</v>
      </c>
      <c r="L4">
        <v>16.71</v>
      </c>
      <c r="M4">
        <v>263</v>
      </c>
      <c r="N4">
        <v>1624</v>
      </c>
      <c r="O4">
        <v>81.25</v>
      </c>
      <c r="P4">
        <f>O4-L4</f>
        <v>64.539999999999992</v>
      </c>
      <c r="R4">
        <v>10</v>
      </c>
      <c r="S4">
        <v>1</v>
      </c>
      <c r="U4">
        <f>S4/(R4)</f>
        <v>0.1</v>
      </c>
    </row>
    <row r="5" spans="1:21" x14ac:dyDescent="0.55000000000000004">
      <c r="B5">
        <v>4</v>
      </c>
      <c r="C5" t="s">
        <v>732</v>
      </c>
      <c r="D5" t="s">
        <v>738</v>
      </c>
      <c r="E5" t="s">
        <v>741</v>
      </c>
      <c r="F5" s="85" t="s">
        <v>787</v>
      </c>
      <c r="G5" t="s">
        <v>325</v>
      </c>
      <c r="L5" t="s">
        <v>742</v>
      </c>
      <c r="R5">
        <v>7</v>
      </c>
      <c r="S5">
        <v>0</v>
      </c>
      <c r="U5">
        <f t="shared" ref="U5:U43" si="0">S5/(R5)</f>
        <v>0</v>
      </c>
    </row>
    <row r="6" spans="1:21" x14ac:dyDescent="0.55000000000000004">
      <c r="B6">
        <v>5</v>
      </c>
      <c r="C6" t="s">
        <v>733</v>
      </c>
      <c r="D6" t="s">
        <v>739</v>
      </c>
      <c r="E6" t="s">
        <v>741</v>
      </c>
      <c r="F6" s="85" t="s">
        <v>787</v>
      </c>
      <c r="G6" t="s">
        <v>325</v>
      </c>
      <c r="L6" t="s">
        <v>742</v>
      </c>
      <c r="R6">
        <v>6</v>
      </c>
      <c r="S6">
        <v>0</v>
      </c>
      <c r="U6">
        <f t="shared" si="0"/>
        <v>0</v>
      </c>
    </row>
    <row r="7" spans="1:21" x14ac:dyDescent="0.55000000000000004">
      <c r="B7">
        <v>6</v>
      </c>
      <c r="C7" t="s">
        <v>734</v>
      </c>
      <c r="D7" t="s">
        <v>740</v>
      </c>
      <c r="E7" t="s">
        <v>741</v>
      </c>
      <c r="F7" s="85" t="s">
        <v>787</v>
      </c>
      <c r="G7" t="s">
        <v>325</v>
      </c>
      <c r="L7" t="s">
        <v>742</v>
      </c>
      <c r="R7">
        <v>6</v>
      </c>
      <c r="S7">
        <v>0</v>
      </c>
      <c r="U7">
        <f t="shared" si="0"/>
        <v>0</v>
      </c>
    </row>
    <row r="8" spans="1:21" x14ac:dyDescent="0.55000000000000004">
      <c r="A8">
        <v>2</v>
      </c>
      <c r="B8">
        <v>7</v>
      </c>
      <c r="C8" t="s">
        <v>756</v>
      </c>
      <c r="D8" t="s">
        <v>746</v>
      </c>
      <c r="E8" t="s">
        <v>755</v>
      </c>
      <c r="F8" s="85" t="s">
        <v>787</v>
      </c>
      <c r="G8">
        <v>81.754000000000005</v>
      </c>
      <c r="H8">
        <v>83.366</v>
      </c>
      <c r="I8">
        <f>H8-G8</f>
        <v>1.6119999999999948</v>
      </c>
      <c r="J8">
        <f>I8*0.0973</f>
        <v>0.15684759999999948</v>
      </c>
      <c r="K8" s="3">
        <f>J8*20</f>
        <v>3.1369519999999893</v>
      </c>
      <c r="L8">
        <v>36.590000000000003</v>
      </c>
      <c r="M8">
        <v>1188</v>
      </c>
      <c r="N8">
        <v>1574</v>
      </c>
      <c r="O8">
        <v>76.989999999999995</v>
      </c>
      <c r="P8">
        <f t="shared" ref="P8:P30" si="1">O8-L8</f>
        <v>40.399999999999991</v>
      </c>
      <c r="R8">
        <v>11</v>
      </c>
      <c r="S8">
        <v>1</v>
      </c>
      <c r="U8">
        <f t="shared" si="0"/>
        <v>9.0909090909090912E-2</v>
      </c>
    </row>
    <row r="9" spans="1:21" x14ac:dyDescent="0.55000000000000004">
      <c r="A9">
        <v>3</v>
      </c>
      <c r="B9">
        <v>8</v>
      </c>
      <c r="C9" t="s">
        <v>757</v>
      </c>
      <c r="D9" t="s">
        <v>747</v>
      </c>
      <c r="E9" t="s">
        <v>755</v>
      </c>
      <c r="F9" s="85" t="s">
        <v>787</v>
      </c>
      <c r="G9">
        <v>82.748000000000005</v>
      </c>
      <c r="H9">
        <v>89.772000000000006</v>
      </c>
      <c r="I9">
        <f>H9-G9</f>
        <v>7.0240000000000009</v>
      </c>
      <c r="J9">
        <f>I9*0.0973</f>
        <v>0.68343520000000002</v>
      </c>
      <c r="K9" s="3">
        <f>J9*20</f>
        <v>13.668704</v>
      </c>
      <c r="L9">
        <v>18.07</v>
      </c>
      <c r="M9">
        <v>825</v>
      </c>
      <c r="N9">
        <v>1860</v>
      </c>
      <c r="O9">
        <v>88.93</v>
      </c>
      <c r="P9">
        <f t="shared" si="1"/>
        <v>70.860000000000014</v>
      </c>
      <c r="R9">
        <v>7</v>
      </c>
      <c r="S9">
        <v>1</v>
      </c>
      <c r="U9">
        <f t="shared" si="0"/>
        <v>0.14285714285714285</v>
      </c>
    </row>
    <row r="10" spans="1:21" s="82" customFormat="1" x14ac:dyDescent="0.55000000000000004">
      <c r="C10" s="82" t="s">
        <v>758</v>
      </c>
      <c r="D10" s="82" t="s">
        <v>747</v>
      </c>
      <c r="E10" s="82" t="s">
        <v>755</v>
      </c>
      <c r="F10" s="82" t="s">
        <v>787</v>
      </c>
      <c r="G10" s="82">
        <v>86.117999999999995</v>
      </c>
      <c r="H10" s="82">
        <v>86.180999999999997</v>
      </c>
      <c r="I10" s="82">
        <f>H10-G10</f>
        <v>6.3000000000002387E-2</v>
      </c>
      <c r="J10" s="82">
        <f>I10*0.0973</f>
        <v>6.1299000000002322E-3</v>
      </c>
      <c r="K10" s="83">
        <f>J10*20</f>
        <v>0.12259800000000465</v>
      </c>
      <c r="L10" s="82">
        <v>18.07</v>
      </c>
      <c r="M10" s="82">
        <v>825</v>
      </c>
      <c r="N10" s="82">
        <v>1860</v>
      </c>
      <c r="O10" s="82">
        <v>88.93</v>
      </c>
      <c r="P10" s="82">
        <f>O10-L10</f>
        <v>70.860000000000014</v>
      </c>
      <c r="R10" s="84"/>
      <c r="S10" s="84"/>
      <c r="U10"/>
    </row>
    <row r="11" spans="1:21" x14ac:dyDescent="0.55000000000000004">
      <c r="A11">
        <v>4</v>
      </c>
      <c r="B11">
        <v>9</v>
      </c>
      <c r="C11" t="s">
        <v>759</v>
      </c>
      <c r="D11" t="s">
        <v>748</v>
      </c>
      <c r="E11" t="s">
        <v>755</v>
      </c>
      <c r="F11" s="85" t="s">
        <v>787</v>
      </c>
      <c r="G11">
        <v>79.759</v>
      </c>
      <c r="H11">
        <v>88.430999999999997</v>
      </c>
      <c r="I11">
        <f>H11-G11</f>
        <v>8.671999999999997</v>
      </c>
      <c r="J11">
        <f>I11*0.0973</f>
        <v>0.84378559999999969</v>
      </c>
      <c r="K11" s="3">
        <f>J11*20</f>
        <v>16.875711999999993</v>
      </c>
      <c r="L11">
        <v>116.79</v>
      </c>
      <c r="M11">
        <v>2320</v>
      </c>
      <c r="N11">
        <v>4202</v>
      </c>
      <c r="O11">
        <v>208.56</v>
      </c>
      <c r="P11">
        <f t="shared" si="1"/>
        <v>91.77</v>
      </c>
      <c r="Q11" t="s">
        <v>762</v>
      </c>
      <c r="R11">
        <v>8</v>
      </c>
      <c r="S11">
        <v>1</v>
      </c>
      <c r="U11">
        <f t="shared" si="0"/>
        <v>0.125</v>
      </c>
    </row>
    <row r="12" spans="1:21" x14ac:dyDescent="0.55000000000000004">
      <c r="B12">
        <v>10</v>
      </c>
      <c r="C12" t="s">
        <v>760</v>
      </c>
      <c r="D12" t="s">
        <v>748</v>
      </c>
      <c r="E12" t="s">
        <v>755</v>
      </c>
      <c r="F12" s="85" t="s">
        <v>787</v>
      </c>
      <c r="G12" t="s">
        <v>325</v>
      </c>
      <c r="L12">
        <v>326</v>
      </c>
      <c r="R12">
        <v>2</v>
      </c>
      <c r="S12">
        <v>0</v>
      </c>
      <c r="U12">
        <f t="shared" si="0"/>
        <v>0</v>
      </c>
    </row>
    <row r="13" spans="1:21" x14ac:dyDescent="0.55000000000000004">
      <c r="B13">
        <v>11</v>
      </c>
      <c r="C13" t="s">
        <v>761</v>
      </c>
      <c r="D13" t="s">
        <v>748</v>
      </c>
      <c r="E13" t="s">
        <v>755</v>
      </c>
      <c r="F13" s="85" t="s">
        <v>787</v>
      </c>
      <c r="G13" t="s">
        <v>325</v>
      </c>
      <c r="L13">
        <v>348.18</v>
      </c>
      <c r="R13">
        <v>2</v>
      </c>
      <c r="S13">
        <v>0</v>
      </c>
      <c r="U13">
        <f t="shared" si="0"/>
        <v>0</v>
      </c>
    </row>
    <row r="14" spans="1:21" ht="15" customHeight="1" x14ac:dyDescent="0.55000000000000004">
      <c r="A14">
        <v>5</v>
      </c>
      <c r="B14">
        <v>12</v>
      </c>
      <c r="C14" t="s">
        <v>764</v>
      </c>
      <c r="D14" t="s">
        <v>749</v>
      </c>
      <c r="E14" t="s">
        <v>755</v>
      </c>
      <c r="F14" s="85" t="s">
        <v>787</v>
      </c>
      <c r="G14">
        <v>85.397999999999996</v>
      </c>
      <c r="H14">
        <v>95.376999999999995</v>
      </c>
      <c r="I14">
        <f t="shared" ref="I14:I23" si="2">H14-G14</f>
        <v>9.9789999999999992</v>
      </c>
      <c r="J14">
        <f t="shared" ref="J14:J23" si="3">I14*0.0973</f>
        <v>0.97095669999999989</v>
      </c>
      <c r="K14" s="3">
        <f>J14*20</f>
        <v>19.419134</v>
      </c>
      <c r="L14">
        <v>44.42</v>
      </c>
      <c r="M14">
        <v>917</v>
      </c>
      <c r="N14">
        <v>3499</v>
      </c>
      <c r="O14">
        <v>179.68</v>
      </c>
      <c r="P14">
        <f t="shared" si="1"/>
        <v>135.26</v>
      </c>
      <c r="Q14" t="s">
        <v>763</v>
      </c>
      <c r="R14">
        <v>1</v>
      </c>
      <c r="S14">
        <v>1</v>
      </c>
      <c r="U14">
        <f t="shared" si="0"/>
        <v>1</v>
      </c>
    </row>
    <row r="15" spans="1:21" s="82" customFormat="1" x14ac:dyDescent="0.55000000000000004">
      <c r="C15" s="82" t="s">
        <v>765</v>
      </c>
      <c r="D15" s="82" t="s">
        <v>749</v>
      </c>
      <c r="E15" s="82" t="s">
        <v>755</v>
      </c>
      <c r="F15" s="82" t="s">
        <v>787</v>
      </c>
      <c r="G15" s="82">
        <v>82.635000000000005</v>
      </c>
      <c r="H15" s="82">
        <v>89.5</v>
      </c>
      <c r="I15" s="82">
        <f t="shared" si="2"/>
        <v>6.8649999999999949</v>
      </c>
      <c r="J15" s="82">
        <f t="shared" si="3"/>
        <v>0.66796449999999952</v>
      </c>
      <c r="K15" s="83">
        <f>J15*20</f>
        <v>13.359289999999991</v>
      </c>
      <c r="L15" s="82">
        <v>44.42</v>
      </c>
      <c r="M15" s="82">
        <v>917</v>
      </c>
      <c r="N15" s="82">
        <v>3499</v>
      </c>
      <c r="O15" s="82">
        <v>179.68</v>
      </c>
      <c r="P15" s="82">
        <f>O15-L15</f>
        <v>135.26</v>
      </c>
      <c r="R15" s="86"/>
      <c r="S15" s="86"/>
      <c r="U15"/>
    </row>
    <row r="16" spans="1:21" x14ac:dyDescent="0.55000000000000004">
      <c r="A16">
        <v>6</v>
      </c>
      <c r="B16">
        <v>13</v>
      </c>
      <c r="C16" t="s">
        <v>766</v>
      </c>
      <c r="D16" t="s">
        <v>750</v>
      </c>
      <c r="E16" t="s">
        <v>755</v>
      </c>
      <c r="F16" s="85" t="s">
        <v>787</v>
      </c>
      <c r="G16">
        <v>74.063999999999993</v>
      </c>
      <c r="H16">
        <v>84.412000000000006</v>
      </c>
      <c r="I16">
        <f t="shared" si="2"/>
        <v>10.348000000000013</v>
      </c>
      <c r="J16">
        <f t="shared" si="3"/>
        <v>1.0068604000000012</v>
      </c>
      <c r="K16" s="3">
        <f>J16*20</f>
        <v>20.137208000000022</v>
      </c>
      <c r="L16">
        <v>15.04</v>
      </c>
      <c r="M16">
        <v>488</v>
      </c>
      <c r="N16">
        <v>2228</v>
      </c>
      <c r="O16">
        <v>108.8</v>
      </c>
      <c r="P16">
        <f t="shared" si="1"/>
        <v>93.759999999999991</v>
      </c>
      <c r="Q16" t="s">
        <v>771</v>
      </c>
      <c r="R16">
        <v>9</v>
      </c>
      <c r="S16">
        <v>3</v>
      </c>
      <c r="U16">
        <f t="shared" si="0"/>
        <v>0.33333333333333331</v>
      </c>
    </row>
    <row r="17" spans="1:21" s="82" customFormat="1" x14ac:dyDescent="0.55000000000000004">
      <c r="C17" s="82" t="s">
        <v>767</v>
      </c>
      <c r="D17" s="82" t="s">
        <v>750</v>
      </c>
      <c r="E17" s="82" t="s">
        <v>755</v>
      </c>
      <c r="F17" s="85" t="s">
        <v>787</v>
      </c>
      <c r="G17" s="82">
        <v>75.004000000000005</v>
      </c>
      <c r="H17" s="82">
        <v>84.546999999999997</v>
      </c>
      <c r="I17" s="82">
        <f t="shared" si="2"/>
        <v>9.5429999999999922</v>
      </c>
      <c r="J17" s="82">
        <f t="shared" si="3"/>
        <v>0.92853389999999925</v>
      </c>
      <c r="K17" s="83">
        <f>J17*20</f>
        <v>18.570677999999987</v>
      </c>
      <c r="L17" s="82">
        <v>15.04</v>
      </c>
      <c r="M17" s="82">
        <v>488</v>
      </c>
      <c r="N17" s="82">
        <v>2228</v>
      </c>
      <c r="O17" s="82">
        <v>108.8</v>
      </c>
      <c r="P17" s="82">
        <f t="shared" si="1"/>
        <v>93.759999999999991</v>
      </c>
      <c r="R17" s="86"/>
      <c r="S17" s="86"/>
      <c r="U17"/>
    </row>
    <row r="18" spans="1:21" x14ac:dyDescent="0.55000000000000004">
      <c r="A18">
        <v>7</v>
      </c>
      <c r="C18" t="s">
        <v>768</v>
      </c>
      <c r="D18" t="s">
        <v>750</v>
      </c>
      <c r="E18" t="s">
        <v>755</v>
      </c>
      <c r="F18" s="85" t="s">
        <v>787</v>
      </c>
      <c r="G18">
        <v>81.686999999999998</v>
      </c>
      <c r="H18">
        <v>93.762</v>
      </c>
      <c r="I18">
        <f t="shared" si="2"/>
        <v>12.075000000000003</v>
      </c>
      <c r="J18">
        <f t="shared" si="3"/>
        <v>1.1748975000000002</v>
      </c>
      <c r="K18" s="19">
        <f t="shared" ref="K18:K43" si="4">J18*20</f>
        <v>23.497950000000003</v>
      </c>
      <c r="L18">
        <v>15.04</v>
      </c>
      <c r="M18">
        <v>1254</v>
      </c>
      <c r="N18">
        <v>3473</v>
      </c>
      <c r="O18">
        <v>169.59</v>
      </c>
      <c r="P18">
        <f t="shared" si="1"/>
        <v>154.55000000000001</v>
      </c>
      <c r="R18" s="34"/>
      <c r="S18" s="34"/>
    </row>
    <row r="19" spans="1:21" s="82" customFormat="1" x14ac:dyDescent="0.55000000000000004">
      <c r="C19" s="82" t="s">
        <v>769</v>
      </c>
      <c r="D19" s="82" t="s">
        <v>750</v>
      </c>
      <c r="E19" s="82" t="s">
        <v>755</v>
      </c>
      <c r="F19" s="82" t="s">
        <v>787</v>
      </c>
      <c r="G19" s="82">
        <v>74.063999999999993</v>
      </c>
      <c r="H19" s="82">
        <v>82.402000000000001</v>
      </c>
      <c r="I19" s="82">
        <f t="shared" si="2"/>
        <v>8.3380000000000081</v>
      </c>
      <c r="J19" s="82">
        <f t="shared" si="3"/>
        <v>0.81128740000000077</v>
      </c>
      <c r="K19" s="83">
        <f t="shared" si="4"/>
        <v>16.225748000000017</v>
      </c>
      <c r="L19" s="82">
        <v>15.04</v>
      </c>
      <c r="M19" s="82">
        <v>1254</v>
      </c>
      <c r="N19" s="82">
        <v>3473</v>
      </c>
      <c r="O19" s="82">
        <v>169.59</v>
      </c>
      <c r="P19" s="82">
        <f t="shared" si="1"/>
        <v>154.55000000000001</v>
      </c>
      <c r="Q19" s="82" t="s">
        <v>771</v>
      </c>
      <c r="R19" s="86"/>
      <c r="S19" s="86"/>
      <c r="U19"/>
    </row>
    <row r="20" spans="1:21" x14ac:dyDescent="0.55000000000000004">
      <c r="A20">
        <v>8</v>
      </c>
      <c r="C20" t="s">
        <v>770</v>
      </c>
      <c r="D20" t="s">
        <v>750</v>
      </c>
      <c r="E20" t="s">
        <v>755</v>
      </c>
      <c r="F20" s="85" t="s">
        <v>787</v>
      </c>
      <c r="G20" s="85">
        <v>74.063999999999993</v>
      </c>
      <c r="H20" s="85">
        <v>89.3</v>
      </c>
      <c r="I20" s="85">
        <f t="shared" si="2"/>
        <v>15.236000000000004</v>
      </c>
      <c r="J20" s="85">
        <f t="shared" si="3"/>
        <v>1.4824628000000004</v>
      </c>
      <c r="K20" s="3">
        <f t="shared" si="4"/>
        <v>29.649256000000008</v>
      </c>
      <c r="L20">
        <v>15.04</v>
      </c>
      <c r="M20">
        <v>488</v>
      </c>
      <c r="N20">
        <v>4588</v>
      </c>
      <c r="O20">
        <v>224.04</v>
      </c>
      <c r="P20">
        <f t="shared" si="1"/>
        <v>209</v>
      </c>
      <c r="Q20" t="s">
        <v>772</v>
      </c>
      <c r="R20" s="34"/>
      <c r="S20" s="34"/>
    </row>
    <row r="21" spans="1:21" s="85" customFormat="1" x14ac:dyDescent="0.55000000000000004">
      <c r="A21" s="85">
        <v>9</v>
      </c>
      <c r="B21" s="85">
        <v>14</v>
      </c>
      <c r="C21" s="85" t="s">
        <v>777</v>
      </c>
      <c r="D21" s="85" t="s">
        <v>754</v>
      </c>
      <c r="E21" s="85" t="s">
        <v>755</v>
      </c>
      <c r="F21" s="85" t="s">
        <v>787</v>
      </c>
      <c r="G21" s="85">
        <v>84.686999999999998</v>
      </c>
      <c r="H21" s="85">
        <v>89.058999999999997</v>
      </c>
      <c r="I21" s="85">
        <f t="shared" si="2"/>
        <v>4.3719999999999999</v>
      </c>
      <c r="J21" s="85">
        <f t="shared" si="3"/>
        <v>0.42539559999999998</v>
      </c>
      <c r="K21" s="3">
        <f t="shared" si="4"/>
        <v>8.5079119999999993</v>
      </c>
      <c r="L21" s="85">
        <v>79</v>
      </c>
      <c r="M21" s="85">
        <v>2263</v>
      </c>
      <c r="N21" s="85">
        <v>3803</v>
      </c>
      <c r="O21" s="85">
        <v>192.84</v>
      </c>
      <c r="P21" s="85">
        <f t="shared" si="1"/>
        <v>113.84</v>
      </c>
      <c r="R21" s="85">
        <v>8</v>
      </c>
      <c r="S21" s="85">
        <v>2</v>
      </c>
      <c r="U21">
        <f t="shared" si="0"/>
        <v>0.25</v>
      </c>
    </row>
    <row r="22" spans="1:21" s="85" customFormat="1" x14ac:dyDescent="0.55000000000000004">
      <c r="A22" s="85">
        <v>10</v>
      </c>
      <c r="C22" s="85" t="s">
        <v>775</v>
      </c>
      <c r="D22" s="85" t="s">
        <v>754</v>
      </c>
      <c r="E22" s="85" t="s">
        <v>755</v>
      </c>
      <c r="F22" s="85" t="s">
        <v>787</v>
      </c>
      <c r="G22" s="85">
        <v>85.084000000000003</v>
      </c>
      <c r="H22" s="85">
        <v>93.635000000000005</v>
      </c>
      <c r="I22" s="85">
        <f t="shared" si="2"/>
        <v>8.5510000000000019</v>
      </c>
      <c r="J22" s="85">
        <f t="shared" si="3"/>
        <v>0.83201230000000015</v>
      </c>
      <c r="K22" s="3">
        <f t="shared" si="4"/>
        <v>16.640246000000005</v>
      </c>
      <c r="L22" s="85">
        <v>79</v>
      </c>
      <c r="M22" s="85">
        <v>1476</v>
      </c>
      <c r="N22" s="85">
        <v>4180</v>
      </c>
      <c r="O22" s="85">
        <v>211.95</v>
      </c>
      <c r="P22" s="85">
        <f t="shared" si="1"/>
        <v>132.94999999999999</v>
      </c>
      <c r="R22" s="87"/>
      <c r="S22" s="87"/>
      <c r="U22"/>
    </row>
    <row r="23" spans="1:21" s="82" customFormat="1" x14ac:dyDescent="0.55000000000000004">
      <c r="C23" s="82" t="s">
        <v>776</v>
      </c>
      <c r="D23" s="82" t="s">
        <v>754</v>
      </c>
      <c r="E23" s="82" t="s">
        <v>755</v>
      </c>
      <c r="F23" s="82" t="s">
        <v>787</v>
      </c>
      <c r="G23" s="82">
        <v>85.573999999999998</v>
      </c>
      <c r="H23" s="82">
        <v>95.6</v>
      </c>
      <c r="I23" s="82">
        <f t="shared" si="2"/>
        <v>10.025999999999996</v>
      </c>
      <c r="J23" s="82">
        <f t="shared" si="3"/>
        <v>0.97552979999999956</v>
      </c>
      <c r="K23" s="83">
        <f t="shared" si="4"/>
        <v>19.510595999999993</v>
      </c>
      <c r="L23" s="82">
        <v>79</v>
      </c>
      <c r="M23" s="82">
        <v>1476</v>
      </c>
      <c r="N23" s="82">
        <v>4180</v>
      </c>
      <c r="O23" s="82">
        <v>211.95</v>
      </c>
      <c r="P23" s="82">
        <f>O23-L23</f>
        <v>132.94999999999999</v>
      </c>
      <c r="R23" s="86"/>
      <c r="S23" s="86"/>
      <c r="U23"/>
    </row>
    <row r="24" spans="1:21" s="85" customFormat="1" x14ac:dyDescent="0.55000000000000004">
      <c r="B24" s="85">
        <v>15</v>
      </c>
      <c r="C24" s="85" t="s">
        <v>778</v>
      </c>
      <c r="D24" s="85" t="s">
        <v>754</v>
      </c>
      <c r="E24" s="85" t="s">
        <v>755</v>
      </c>
      <c r="F24" s="85" t="s">
        <v>787</v>
      </c>
      <c r="G24" s="85" t="s">
        <v>325</v>
      </c>
      <c r="K24" s="3">
        <f t="shared" si="4"/>
        <v>0</v>
      </c>
      <c r="L24" s="85">
        <v>259.06</v>
      </c>
      <c r="R24" s="85">
        <v>4</v>
      </c>
      <c r="S24" s="85">
        <v>0</v>
      </c>
      <c r="U24">
        <f t="shared" si="0"/>
        <v>0</v>
      </c>
    </row>
    <row r="25" spans="1:21" x14ac:dyDescent="0.55000000000000004">
      <c r="A25" s="85"/>
      <c r="B25" s="85"/>
      <c r="C25" t="s">
        <v>743</v>
      </c>
      <c r="D25" t="s">
        <v>751</v>
      </c>
      <c r="E25" t="s">
        <v>755</v>
      </c>
      <c r="F25" s="85" t="s">
        <v>787</v>
      </c>
      <c r="G25" s="85" t="s">
        <v>773</v>
      </c>
      <c r="H25" s="85"/>
      <c r="I25" s="85"/>
      <c r="J25" s="85"/>
      <c r="K25" s="3">
        <f t="shared" si="4"/>
        <v>0</v>
      </c>
      <c r="L25" t="s">
        <v>774</v>
      </c>
      <c r="R25" s="34"/>
      <c r="S25" s="34"/>
    </row>
    <row r="26" spans="1:21" x14ac:dyDescent="0.55000000000000004">
      <c r="A26" s="85"/>
      <c r="B26" s="85">
        <v>16</v>
      </c>
      <c r="C26" t="s">
        <v>744</v>
      </c>
      <c r="D26" t="s">
        <v>752</v>
      </c>
      <c r="E26" t="s">
        <v>755</v>
      </c>
      <c r="F26" s="85" t="s">
        <v>787</v>
      </c>
      <c r="G26" s="85" t="s">
        <v>325</v>
      </c>
      <c r="H26" s="85"/>
      <c r="I26" s="85"/>
      <c r="J26" s="85"/>
      <c r="K26" s="3">
        <f t="shared" si="4"/>
        <v>0</v>
      </c>
      <c r="L26" t="s">
        <v>742</v>
      </c>
      <c r="R26">
        <v>9</v>
      </c>
      <c r="S26">
        <v>0</v>
      </c>
      <c r="U26">
        <f t="shared" si="0"/>
        <v>0</v>
      </c>
    </row>
    <row r="27" spans="1:21" x14ac:dyDescent="0.55000000000000004">
      <c r="A27" s="85"/>
      <c r="B27" s="85">
        <v>17</v>
      </c>
      <c r="C27" t="s">
        <v>745</v>
      </c>
      <c r="D27" t="s">
        <v>753</v>
      </c>
      <c r="E27" t="s">
        <v>755</v>
      </c>
      <c r="F27" s="85" t="s">
        <v>787</v>
      </c>
      <c r="G27" s="85" t="s">
        <v>325</v>
      </c>
      <c r="H27" s="85"/>
      <c r="I27" s="85"/>
      <c r="J27" s="85"/>
      <c r="K27" s="3">
        <f t="shared" si="4"/>
        <v>0</v>
      </c>
      <c r="P27">
        <f t="shared" si="1"/>
        <v>0</v>
      </c>
      <c r="R27">
        <v>10</v>
      </c>
      <c r="S27">
        <v>0</v>
      </c>
      <c r="U27">
        <f t="shared" si="0"/>
        <v>0</v>
      </c>
    </row>
    <row r="28" spans="1:21" x14ac:dyDescent="0.55000000000000004">
      <c r="A28" s="85">
        <v>11</v>
      </c>
      <c r="B28" s="85">
        <v>18</v>
      </c>
      <c r="C28" t="s">
        <v>789</v>
      </c>
      <c r="E28" t="s">
        <v>786</v>
      </c>
      <c r="F28" s="85" t="s">
        <v>787</v>
      </c>
      <c r="G28">
        <v>77.465999999999994</v>
      </c>
      <c r="H28">
        <v>91.23</v>
      </c>
      <c r="I28" s="85">
        <f>H28-G28</f>
        <v>13.76400000000001</v>
      </c>
      <c r="J28" s="85">
        <f>I28*0.0973</f>
        <v>1.339237200000001</v>
      </c>
      <c r="K28" s="3">
        <f t="shared" si="4"/>
        <v>26.784744000000021</v>
      </c>
      <c r="L28">
        <v>49.9</v>
      </c>
      <c r="M28">
        <v>1206</v>
      </c>
      <c r="N28">
        <v>1581</v>
      </c>
      <c r="O28">
        <v>77.05</v>
      </c>
      <c r="P28">
        <f t="shared" si="1"/>
        <v>27.15</v>
      </c>
      <c r="Q28" t="s">
        <v>790</v>
      </c>
      <c r="R28">
        <v>9</v>
      </c>
      <c r="S28">
        <v>2</v>
      </c>
      <c r="U28">
        <f t="shared" si="0"/>
        <v>0.22222222222222221</v>
      </c>
    </row>
    <row r="29" spans="1:21" x14ac:dyDescent="0.55000000000000004">
      <c r="A29" s="85">
        <v>12</v>
      </c>
      <c r="B29" s="85"/>
      <c r="C29" t="s">
        <v>788</v>
      </c>
      <c r="E29" t="s">
        <v>786</v>
      </c>
      <c r="F29" s="85" t="s">
        <v>787</v>
      </c>
      <c r="G29">
        <v>77.465999999999994</v>
      </c>
      <c r="H29">
        <v>88.058000000000007</v>
      </c>
      <c r="I29" s="85">
        <f>H29-G29</f>
        <v>10.592000000000013</v>
      </c>
      <c r="J29" s="85">
        <f>I29*0.0973</f>
        <v>1.0306016000000013</v>
      </c>
      <c r="K29" s="3">
        <f t="shared" si="4"/>
        <v>20.612032000000028</v>
      </c>
      <c r="L29">
        <v>49.9</v>
      </c>
      <c r="M29">
        <v>1206</v>
      </c>
      <c r="N29">
        <v>2196</v>
      </c>
      <c r="O29">
        <v>107.02</v>
      </c>
      <c r="P29">
        <f t="shared" si="1"/>
        <v>57.12</v>
      </c>
      <c r="R29" s="15"/>
      <c r="S29" s="15"/>
    </row>
    <row r="30" spans="1:21" x14ac:dyDescent="0.55000000000000004">
      <c r="A30">
        <v>13</v>
      </c>
      <c r="B30" s="85">
        <v>19</v>
      </c>
      <c r="C30" t="s">
        <v>791</v>
      </c>
      <c r="E30" t="s">
        <v>786</v>
      </c>
      <c r="F30" s="85" t="s">
        <v>787</v>
      </c>
      <c r="G30">
        <v>90.843000000000004</v>
      </c>
      <c r="H30">
        <v>97.42</v>
      </c>
      <c r="I30" s="85">
        <f>H30-G30</f>
        <v>6.5769999999999982</v>
      </c>
      <c r="J30" s="85">
        <f>I30*0.0973</f>
        <v>0.63994209999999985</v>
      </c>
      <c r="K30" s="3">
        <f t="shared" si="4"/>
        <v>12.798841999999997</v>
      </c>
      <c r="L30">
        <v>95</v>
      </c>
      <c r="M30">
        <v>2029</v>
      </c>
      <c r="N30">
        <v>4351</v>
      </c>
      <c r="O30">
        <v>207.19</v>
      </c>
      <c r="P30">
        <f t="shared" si="1"/>
        <v>112.19</v>
      </c>
      <c r="R30">
        <v>9</v>
      </c>
      <c r="S30">
        <v>1</v>
      </c>
      <c r="U30">
        <f t="shared" si="0"/>
        <v>0.1111111111111111</v>
      </c>
    </row>
    <row r="31" spans="1:21" s="82" customFormat="1" x14ac:dyDescent="0.55000000000000004">
      <c r="C31" s="82" t="s">
        <v>792</v>
      </c>
      <c r="E31" s="82" t="s">
        <v>786</v>
      </c>
      <c r="F31" s="82" t="s">
        <v>787</v>
      </c>
      <c r="G31" s="82">
        <v>86.212999999999994</v>
      </c>
      <c r="H31" s="82">
        <v>88.554000000000002</v>
      </c>
      <c r="I31" s="82">
        <f>H31-G31</f>
        <v>2.3410000000000082</v>
      </c>
      <c r="J31" s="82">
        <f>I31*0.0973</f>
        <v>0.2277793000000008</v>
      </c>
      <c r="K31" s="83">
        <f t="shared" si="4"/>
        <v>4.5555860000000159</v>
      </c>
      <c r="L31" s="82">
        <v>95</v>
      </c>
      <c r="M31" s="82">
        <v>2029</v>
      </c>
      <c r="N31" s="82">
        <v>4351</v>
      </c>
      <c r="O31" s="82">
        <v>207.19</v>
      </c>
      <c r="P31" s="82">
        <f>O31-L31</f>
        <v>112.19</v>
      </c>
      <c r="R31" s="18"/>
      <c r="S31" s="18"/>
      <c r="U31"/>
    </row>
    <row r="32" spans="1:21" x14ac:dyDescent="0.55000000000000004">
      <c r="B32" s="85">
        <v>20</v>
      </c>
      <c r="C32" t="s">
        <v>779</v>
      </c>
      <c r="E32" t="s">
        <v>786</v>
      </c>
      <c r="F32" s="85" t="s">
        <v>787</v>
      </c>
      <c r="G32" s="85" t="s">
        <v>325</v>
      </c>
      <c r="K32" s="3">
        <f t="shared" si="4"/>
        <v>0</v>
      </c>
      <c r="L32">
        <v>0.31</v>
      </c>
      <c r="R32">
        <v>11</v>
      </c>
      <c r="S32">
        <v>0</v>
      </c>
      <c r="U32">
        <f t="shared" si="0"/>
        <v>0</v>
      </c>
    </row>
    <row r="33" spans="1:22" x14ac:dyDescent="0.55000000000000004">
      <c r="B33" s="85">
        <v>21</v>
      </c>
      <c r="C33" t="s">
        <v>780</v>
      </c>
      <c r="E33" t="s">
        <v>786</v>
      </c>
      <c r="F33" s="85" t="s">
        <v>787</v>
      </c>
      <c r="G33" s="85" t="s">
        <v>325</v>
      </c>
      <c r="K33" s="3">
        <f t="shared" si="4"/>
        <v>0</v>
      </c>
      <c r="L33">
        <v>117.88</v>
      </c>
      <c r="R33">
        <v>12</v>
      </c>
      <c r="S33">
        <v>0</v>
      </c>
      <c r="U33">
        <f t="shared" si="0"/>
        <v>0</v>
      </c>
    </row>
    <row r="34" spans="1:22" x14ac:dyDescent="0.55000000000000004">
      <c r="A34">
        <v>14</v>
      </c>
      <c r="B34" s="85">
        <v>22</v>
      </c>
      <c r="C34" t="s">
        <v>793</v>
      </c>
      <c r="E34" t="s">
        <v>786</v>
      </c>
      <c r="F34" s="85" t="s">
        <v>787</v>
      </c>
      <c r="G34" s="85">
        <v>78.709999999999994</v>
      </c>
      <c r="H34">
        <v>115.53400000000001</v>
      </c>
      <c r="I34" s="85">
        <f>H34-G34</f>
        <v>36.824000000000012</v>
      </c>
      <c r="J34" s="85">
        <f>I34*0.0973</f>
        <v>3.5829752000000012</v>
      </c>
      <c r="K34" s="3">
        <f t="shared" si="4"/>
        <v>71.659504000000027</v>
      </c>
      <c r="L34" t="s">
        <v>742</v>
      </c>
      <c r="M34">
        <v>392</v>
      </c>
      <c r="N34">
        <v>1803</v>
      </c>
      <c r="O34">
        <v>84.24</v>
      </c>
      <c r="Q34" t="s">
        <v>795</v>
      </c>
      <c r="R34">
        <v>9</v>
      </c>
      <c r="S34">
        <v>2</v>
      </c>
      <c r="U34">
        <f t="shared" si="0"/>
        <v>0.22222222222222221</v>
      </c>
    </row>
    <row r="35" spans="1:22" x14ac:dyDescent="0.55000000000000004">
      <c r="A35">
        <v>15</v>
      </c>
      <c r="C35" t="s">
        <v>794</v>
      </c>
      <c r="E35" t="s">
        <v>786</v>
      </c>
      <c r="F35" s="85" t="s">
        <v>787</v>
      </c>
      <c r="G35" s="85">
        <v>78.709999999999994</v>
      </c>
      <c r="H35">
        <v>98.472999999999999</v>
      </c>
      <c r="I35" s="85">
        <f>H35-G35</f>
        <v>19.763000000000005</v>
      </c>
      <c r="J35" s="85">
        <f>I35*0.0973</f>
        <v>1.9229399000000005</v>
      </c>
      <c r="K35" s="3">
        <f t="shared" si="4"/>
        <v>38.458798000000009</v>
      </c>
      <c r="L35" t="s">
        <v>742</v>
      </c>
      <c r="M35">
        <v>392</v>
      </c>
      <c r="N35">
        <v>2840</v>
      </c>
      <c r="O35">
        <v>132.69</v>
      </c>
      <c r="Q35" t="s">
        <v>795</v>
      </c>
      <c r="R35" s="15"/>
      <c r="S35" s="15"/>
    </row>
    <row r="36" spans="1:22" x14ac:dyDescent="0.55000000000000004">
      <c r="A36">
        <v>16</v>
      </c>
      <c r="B36">
        <v>23</v>
      </c>
      <c r="C36" t="s">
        <v>797</v>
      </c>
      <c r="E36" t="s">
        <v>786</v>
      </c>
      <c r="F36" s="85" t="s">
        <v>787</v>
      </c>
      <c r="G36" s="85">
        <v>83.334000000000003</v>
      </c>
      <c r="H36">
        <v>100.54300000000001</v>
      </c>
      <c r="I36" s="85">
        <f>H36-G36</f>
        <v>17.209000000000003</v>
      </c>
      <c r="J36" s="85">
        <f>I36*0.0973</f>
        <v>1.6744357000000003</v>
      </c>
      <c r="K36" s="3">
        <f t="shared" si="4"/>
        <v>33.488714000000009</v>
      </c>
      <c r="L36">
        <v>77.430000000000007</v>
      </c>
      <c r="M36">
        <v>2012</v>
      </c>
      <c r="N36">
        <v>2460</v>
      </c>
      <c r="O36">
        <v>114.13</v>
      </c>
      <c r="Q36" t="s">
        <v>796</v>
      </c>
      <c r="R36">
        <v>9</v>
      </c>
      <c r="S36">
        <v>2</v>
      </c>
      <c r="U36">
        <f t="shared" si="0"/>
        <v>0.22222222222222221</v>
      </c>
    </row>
    <row r="37" spans="1:22" x14ac:dyDescent="0.55000000000000004">
      <c r="A37">
        <v>17</v>
      </c>
      <c r="C37" t="s">
        <v>798</v>
      </c>
      <c r="E37" t="s">
        <v>786</v>
      </c>
      <c r="F37" s="85" t="s">
        <v>787</v>
      </c>
      <c r="G37" s="85">
        <v>83.334000000000003</v>
      </c>
      <c r="H37">
        <v>93.344999999999999</v>
      </c>
      <c r="I37" s="85">
        <f>H37-G37</f>
        <v>10.010999999999996</v>
      </c>
      <c r="J37" s="85">
        <f>I37*0.0973</f>
        <v>0.9740702999999995</v>
      </c>
      <c r="K37" s="3">
        <f t="shared" si="4"/>
        <v>19.481405999999989</v>
      </c>
      <c r="L37">
        <v>77.430000000000007</v>
      </c>
      <c r="M37">
        <v>2012</v>
      </c>
      <c r="N37">
        <v>2954</v>
      </c>
      <c r="O37">
        <v>137.05000000000001</v>
      </c>
      <c r="Q37" t="s">
        <v>796</v>
      </c>
      <c r="R37" s="15"/>
      <c r="S37" s="15"/>
    </row>
    <row r="38" spans="1:22" x14ac:dyDescent="0.55000000000000004">
      <c r="B38">
        <v>24</v>
      </c>
      <c r="C38" t="s">
        <v>781</v>
      </c>
      <c r="E38" t="s">
        <v>786</v>
      </c>
      <c r="F38" s="85" t="s">
        <v>787</v>
      </c>
      <c r="G38" s="85" t="s">
        <v>325</v>
      </c>
      <c r="K38" s="3">
        <f t="shared" si="4"/>
        <v>0</v>
      </c>
      <c r="L38">
        <v>192.08</v>
      </c>
      <c r="R38">
        <v>8</v>
      </c>
      <c r="S38">
        <v>0</v>
      </c>
      <c r="U38">
        <f t="shared" si="0"/>
        <v>0</v>
      </c>
    </row>
    <row r="39" spans="1:22" x14ac:dyDescent="0.55000000000000004">
      <c r="B39">
        <v>25</v>
      </c>
      <c r="C39" t="s">
        <v>782</v>
      </c>
      <c r="E39" t="s">
        <v>786</v>
      </c>
      <c r="F39" s="85" t="s">
        <v>787</v>
      </c>
      <c r="G39" s="85" t="s">
        <v>325</v>
      </c>
      <c r="K39" s="3">
        <f t="shared" si="4"/>
        <v>0</v>
      </c>
      <c r="L39">
        <v>83.29</v>
      </c>
      <c r="R39" s="11">
        <v>10</v>
      </c>
      <c r="S39" s="11">
        <v>0</v>
      </c>
      <c r="U39">
        <f t="shared" si="0"/>
        <v>0</v>
      </c>
    </row>
    <row r="40" spans="1:22" x14ac:dyDescent="0.55000000000000004">
      <c r="B40">
        <v>26</v>
      </c>
      <c r="C40" t="s">
        <v>799</v>
      </c>
      <c r="E40" t="s">
        <v>786</v>
      </c>
      <c r="F40" s="85" t="s">
        <v>787</v>
      </c>
      <c r="G40" s="85" t="s">
        <v>325</v>
      </c>
      <c r="K40" s="3">
        <f t="shared" si="4"/>
        <v>0</v>
      </c>
      <c r="L40" t="s">
        <v>742</v>
      </c>
      <c r="R40" s="11">
        <v>7</v>
      </c>
      <c r="S40" s="11">
        <v>0</v>
      </c>
      <c r="U40">
        <f t="shared" si="0"/>
        <v>0</v>
      </c>
    </row>
    <row r="41" spans="1:22" x14ac:dyDescent="0.55000000000000004">
      <c r="B41">
        <v>27</v>
      </c>
      <c r="C41" t="s">
        <v>783</v>
      </c>
      <c r="E41" t="s">
        <v>786</v>
      </c>
      <c r="F41" s="85" t="s">
        <v>787</v>
      </c>
      <c r="G41" s="85" t="s">
        <v>325</v>
      </c>
      <c r="K41" s="3">
        <f t="shared" si="4"/>
        <v>0</v>
      </c>
      <c r="L41">
        <v>67.13</v>
      </c>
      <c r="R41" s="11">
        <v>9</v>
      </c>
      <c r="S41" s="11">
        <v>0</v>
      </c>
      <c r="U41">
        <f t="shared" si="0"/>
        <v>0</v>
      </c>
    </row>
    <row r="42" spans="1:22" x14ac:dyDescent="0.55000000000000004">
      <c r="B42">
        <v>28</v>
      </c>
      <c r="C42" t="s">
        <v>784</v>
      </c>
      <c r="E42" t="s">
        <v>786</v>
      </c>
      <c r="F42" s="85" t="s">
        <v>787</v>
      </c>
      <c r="G42" s="85" t="s">
        <v>325</v>
      </c>
      <c r="K42" s="3">
        <f t="shared" si="4"/>
        <v>0</v>
      </c>
      <c r="L42">
        <v>6.31</v>
      </c>
      <c r="R42" s="11">
        <v>4</v>
      </c>
      <c r="S42" s="11">
        <v>0</v>
      </c>
      <c r="U42">
        <f t="shared" si="0"/>
        <v>0</v>
      </c>
    </row>
    <row r="43" spans="1:22" x14ac:dyDescent="0.55000000000000004">
      <c r="B43">
        <v>29</v>
      </c>
      <c r="C43" t="s">
        <v>785</v>
      </c>
      <c r="E43" t="s">
        <v>786</v>
      </c>
      <c r="F43" s="85" t="s">
        <v>787</v>
      </c>
      <c r="G43" s="85" t="s">
        <v>325</v>
      </c>
      <c r="K43" s="3">
        <f t="shared" si="4"/>
        <v>0</v>
      </c>
      <c r="L43">
        <v>184.34</v>
      </c>
      <c r="R43" s="11">
        <v>5</v>
      </c>
      <c r="S43" s="11">
        <v>0</v>
      </c>
      <c r="U43">
        <f t="shared" si="0"/>
        <v>0</v>
      </c>
    </row>
    <row r="44" spans="1:22" x14ac:dyDescent="0.55000000000000004">
      <c r="F44" s="85"/>
    </row>
    <row r="45" spans="1:22" x14ac:dyDescent="0.55000000000000004">
      <c r="F45" s="85"/>
      <c r="J45" t="s">
        <v>225</v>
      </c>
      <c r="K45" s="3">
        <f>(SUM(K4,K8:K9,K11,K14,K16,K18,K20,K21:K22,K28:K30,K34:K35))/(COUNT(K4,K8:K9,K11,K14,K16,K18,K20,K21:K22,K28:K30,K34:K35))</f>
        <v>23.097722666666673</v>
      </c>
    </row>
    <row r="46" spans="1:22" x14ac:dyDescent="0.55000000000000004">
      <c r="F46" s="85"/>
      <c r="J46" t="s">
        <v>226</v>
      </c>
      <c r="K46" s="3">
        <f xml:space="preserve"> STDEV(K4,K8:K9,K11,K14,K16,K18,K20,K21:K22,K28:K30)/SQRT(COUNT(K4,K8:K9,K11,K14,K16,K18,K20,K21:K22,K28:K30))</f>
        <v>2.0566167699783131</v>
      </c>
      <c r="R46">
        <f>SUM(R2:R43)</f>
        <v>217</v>
      </c>
      <c r="S46">
        <f>SUM(S2:S44)</f>
        <v>17</v>
      </c>
      <c r="U46" s="51">
        <f>((SUM(U2:U9,U11:U14,U16,U21,U24,U26:U27,U30,U32:U34,U36,U38:U43))/(COUNT(U2:U9,U11:U14,U16,U21,U24,U26:U27,U30,U32:U34,U36,U38:U43)))*100</f>
        <v>9.2773397237682946</v>
      </c>
      <c r="V46" s="51">
        <f>(STDEV(U2:U9,U11:U14,U16,U21,U24,U26:U27,U30,U32:U34,U36,U38:U43)/SQRT(COUNT(U2:U9,U11:U14,U16,U21,U24,U26:U27,U30,U32:U34,U36,U38:U43)))*100</f>
        <v>3.8110577031003587</v>
      </c>
    </row>
    <row r="47" spans="1:22" x14ac:dyDescent="0.55000000000000004">
      <c r="F47" s="85"/>
      <c r="R47">
        <f>(S46/R46)*100</f>
        <v>7.8341013824884786</v>
      </c>
    </row>
    <row r="49" spans="3:19" x14ac:dyDescent="0.55000000000000004">
      <c r="C49">
        <v>24.618845999999994</v>
      </c>
      <c r="D49">
        <v>3.1369519999999893</v>
      </c>
      <c r="E49">
        <v>13.668704</v>
      </c>
      <c r="F49">
        <v>16.875711999999993</v>
      </c>
      <c r="G49">
        <v>19.419134</v>
      </c>
      <c r="H49">
        <v>20.137208000000022</v>
      </c>
      <c r="I49">
        <v>23.497950000000003</v>
      </c>
      <c r="J49">
        <v>29.649256000000008</v>
      </c>
      <c r="K49">
        <v>8.5079119999999993</v>
      </c>
      <c r="L49">
        <v>16.640246000000005</v>
      </c>
      <c r="M49">
        <v>26.784744000000021</v>
      </c>
      <c r="N49">
        <v>20.612032000000028</v>
      </c>
      <c r="O49">
        <v>12.798841999999997</v>
      </c>
      <c r="P49">
        <v>71.659504000000027</v>
      </c>
      <c r="Q49">
        <v>38.458798000000009</v>
      </c>
      <c r="R49">
        <v>33.488714000000009</v>
      </c>
      <c r="S49">
        <v>19.481405999999989</v>
      </c>
    </row>
  </sheetData>
  <pageMargins left="0.7" right="0.7" top="0.75" bottom="0.75" header="0.3" footer="0.3"/>
  <pageSetup paperSize="9" orientation="portrait" horizontalDpi="4294967293" verticalDpi="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W59"/>
  <sheetViews>
    <sheetView zoomScale="70" zoomScaleNormal="70" workbookViewId="0">
      <selection activeCell="M34" sqref="M34:P45"/>
    </sheetView>
  </sheetViews>
  <sheetFormatPr defaultRowHeight="14.4" x14ac:dyDescent="0.55000000000000004"/>
  <cols>
    <col min="1" max="2" width="4.5234375" customWidth="1"/>
    <col min="3" max="3" width="11.68359375" customWidth="1"/>
    <col min="5" max="5" width="9.62890625" customWidth="1"/>
  </cols>
  <sheetData>
    <row r="1" spans="1:22" ht="57.6" x14ac:dyDescent="0.55000000000000004">
      <c r="C1" s="2" t="s">
        <v>0</v>
      </c>
      <c r="D1" s="2" t="s">
        <v>1</v>
      </c>
      <c r="E1" s="2" t="s">
        <v>90</v>
      </c>
      <c r="F1" s="2" t="s">
        <v>88</v>
      </c>
      <c r="G1" s="2" t="s">
        <v>803</v>
      </c>
      <c r="H1" s="2" t="s">
        <v>2</v>
      </c>
      <c r="I1" s="2" t="s">
        <v>3</v>
      </c>
      <c r="J1" s="2" t="s">
        <v>11</v>
      </c>
      <c r="K1" s="2" t="s">
        <v>12</v>
      </c>
      <c r="L1" s="2" t="s">
        <v>4</v>
      </c>
      <c r="M1" s="2" t="s">
        <v>19</v>
      </c>
      <c r="N1" s="2" t="s">
        <v>10</v>
      </c>
      <c r="O1" s="2" t="s">
        <v>8</v>
      </c>
      <c r="P1" s="2" t="s">
        <v>9</v>
      </c>
      <c r="Q1" s="2" t="s">
        <v>123</v>
      </c>
      <c r="R1" s="2" t="s">
        <v>5</v>
      </c>
      <c r="S1" s="2" t="s">
        <v>396</v>
      </c>
      <c r="T1" s="2" t="s">
        <v>397</v>
      </c>
    </row>
    <row r="2" spans="1:22" x14ac:dyDescent="0.55000000000000004">
      <c r="B2">
        <v>1</v>
      </c>
      <c r="C2" t="s">
        <v>821</v>
      </c>
      <c r="D2" t="s">
        <v>810</v>
      </c>
      <c r="E2" t="s">
        <v>802</v>
      </c>
      <c r="F2" t="s">
        <v>89</v>
      </c>
      <c r="G2" t="s">
        <v>804</v>
      </c>
      <c r="H2" t="s">
        <v>325</v>
      </c>
      <c r="M2">
        <v>81.47</v>
      </c>
      <c r="S2">
        <v>6</v>
      </c>
      <c r="T2">
        <v>0</v>
      </c>
      <c r="V2">
        <f>T2/(T2+S2)</f>
        <v>0</v>
      </c>
    </row>
    <row r="3" spans="1:22" x14ac:dyDescent="0.55000000000000004">
      <c r="B3">
        <v>2</v>
      </c>
      <c r="C3" t="s">
        <v>822</v>
      </c>
      <c r="D3" t="s">
        <v>810</v>
      </c>
      <c r="E3" t="s">
        <v>802</v>
      </c>
      <c r="F3" t="s">
        <v>89</v>
      </c>
      <c r="G3" t="s">
        <v>804</v>
      </c>
      <c r="H3" t="s">
        <v>325</v>
      </c>
      <c r="M3">
        <v>132.34</v>
      </c>
      <c r="S3">
        <v>8</v>
      </c>
      <c r="T3">
        <v>0</v>
      </c>
      <c r="V3">
        <f>T3/(T3+S3)</f>
        <v>0</v>
      </c>
    </row>
    <row r="4" spans="1:22" x14ac:dyDescent="0.55000000000000004">
      <c r="B4">
        <v>3</v>
      </c>
      <c r="C4" t="s">
        <v>823</v>
      </c>
      <c r="D4" t="s">
        <v>810</v>
      </c>
      <c r="E4" t="s">
        <v>802</v>
      </c>
      <c r="F4" t="s">
        <v>89</v>
      </c>
      <c r="G4" t="s">
        <v>804</v>
      </c>
      <c r="H4" t="s">
        <v>325</v>
      </c>
      <c r="M4">
        <v>163.03</v>
      </c>
      <c r="S4">
        <v>0</v>
      </c>
      <c r="T4">
        <v>0</v>
      </c>
    </row>
    <row r="5" spans="1:22" x14ac:dyDescent="0.55000000000000004">
      <c r="B5">
        <v>4</v>
      </c>
      <c r="C5" t="s">
        <v>824</v>
      </c>
      <c r="D5" t="s">
        <v>811</v>
      </c>
      <c r="E5" t="s">
        <v>802</v>
      </c>
      <c r="F5" t="s">
        <v>89</v>
      </c>
      <c r="G5" t="s">
        <v>804</v>
      </c>
      <c r="H5" t="s">
        <v>325</v>
      </c>
      <c r="M5">
        <v>90.47</v>
      </c>
      <c r="S5">
        <v>3</v>
      </c>
      <c r="T5">
        <v>0</v>
      </c>
      <c r="V5">
        <f>T5/(T5+S5)</f>
        <v>0</v>
      </c>
    </row>
    <row r="6" spans="1:22" x14ac:dyDescent="0.55000000000000004">
      <c r="B6">
        <v>5</v>
      </c>
      <c r="C6" t="s">
        <v>825</v>
      </c>
      <c r="D6" t="s">
        <v>811</v>
      </c>
      <c r="E6" t="s">
        <v>802</v>
      </c>
      <c r="F6" t="s">
        <v>89</v>
      </c>
      <c r="G6" t="s">
        <v>804</v>
      </c>
      <c r="H6" t="s">
        <v>325</v>
      </c>
      <c r="M6">
        <v>200.33</v>
      </c>
      <c r="R6" t="s">
        <v>826</v>
      </c>
      <c r="S6">
        <v>3</v>
      </c>
      <c r="T6">
        <v>0</v>
      </c>
      <c r="V6">
        <f>T6/(T6+S6)</f>
        <v>0</v>
      </c>
    </row>
    <row r="7" spans="1:22" x14ac:dyDescent="0.55000000000000004">
      <c r="A7">
        <v>1</v>
      </c>
      <c r="B7">
        <v>6</v>
      </c>
      <c r="C7" t="s">
        <v>827</v>
      </c>
      <c r="D7" t="s">
        <v>812</v>
      </c>
      <c r="E7" t="s">
        <v>802</v>
      </c>
      <c r="F7" t="s">
        <v>89</v>
      </c>
      <c r="G7" t="s">
        <v>804</v>
      </c>
      <c r="H7">
        <v>88.462999999999994</v>
      </c>
      <c r="I7">
        <v>97.058999999999997</v>
      </c>
      <c r="J7">
        <f t="shared" ref="J7:J12" si="0">I7-H7</f>
        <v>8.5960000000000036</v>
      </c>
      <c r="K7" s="85">
        <f t="shared" ref="K7:K12" si="1">J7*0.0973</f>
        <v>0.83639080000000032</v>
      </c>
      <c r="L7" s="3">
        <f t="shared" ref="L7:L12" si="2">K7*20</f>
        <v>16.727816000000008</v>
      </c>
      <c r="M7">
        <v>11.45</v>
      </c>
      <c r="N7">
        <v>269</v>
      </c>
      <c r="O7">
        <v>1530</v>
      </c>
      <c r="P7">
        <v>74.849999999999994</v>
      </c>
      <c r="Q7">
        <f>P7-M7</f>
        <v>63.399999999999991</v>
      </c>
      <c r="R7" t="s">
        <v>830</v>
      </c>
      <c r="S7">
        <v>10</v>
      </c>
      <c r="T7">
        <v>2</v>
      </c>
      <c r="V7">
        <f>T7/(S7)</f>
        <v>0.2</v>
      </c>
    </row>
    <row r="8" spans="1:22" x14ac:dyDescent="0.55000000000000004">
      <c r="A8">
        <v>2</v>
      </c>
      <c r="C8" t="s">
        <v>828</v>
      </c>
      <c r="D8" t="s">
        <v>812</v>
      </c>
      <c r="E8" t="s">
        <v>802</v>
      </c>
      <c r="F8" t="s">
        <v>89</v>
      </c>
      <c r="G8" t="s">
        <v>804</v>
      </c>
      <c r="H8">
        <v>88.462999999999994</v>
      </c>
      <c r="I8">
        <v>96.751999999999995</v>
      </c>
      <c r="J8">
        <f t="shared" si="0"/>
        <v>8.2890000000000015</v>
      </c>
      <c r="K8" s="85">
        <f t="shared" si="1"/>
        <v>0.80651970000000017</v>
      </c>
      <c r="L8" s="3">
        <f t="shared" si="2"/>
        <v>16.130394000000003</v>
      </c>
      <c r="M8">
        <v>11.45</v>
      </c>
      <c r="N8">
        <v>269</v>
      </c>
      <c r="O8">
        <v>1973</v>
      </c>
      <c r="P8">
        <v>96.52</v>
      </c>
      <c r="Q8">
        <f>P8-M8</f>
        <v>85.07</v>
      </c>
      <c r="R8" t="s">
        <v>829</v>
      </c>
      <c r="S8" s="34"/>
      <c r="T8" s="34"/>
    </row>
    <row r="9" spans="1:22" s="88" customFormat="1" x14ac:dyDescent="0.55000000000000004">
      <c r="A9" s="88">
        <v>3</v>
      </c>
      <c r="B9" s="88">
        <v>7</v>
      </c>
      <c r="C9" s="88" t="s">
        <v>831</v>
      </c>
      <c r="D9" s="88" t="s">
        <v>813</v>
      </c>
      <c r="E9" s="88" t="s">
        <v>802</v>
      </c>
      <c r="F9" s="88" t="s">
        <v>89</v>
      </c>
      <c r="G9" s="88" t="s">
        <v>804</v>
      </c>
      <c r="H9" s="88">
        <v>81.591999999999999</v>
      </c>
      <c r="I9" s="88">
        <v>84.206999999999994</v>
      </c>
      <c r="J9" s="88">
        <f t="shared" si="0"/>
        <v>2.6149999999999949</v>
      </c>
      <c r="K9" s="88">
        <f t="shared" si="1"/>
        <v>0.25443949999999949</v>
      </c>
      <c r="L9" s="89">
        <f t="shared" si="2"/>
        <v>5.0887899999999897</v>
      </c>
      <c r="M9" s="88">
        <v>65.430000000000007</v>
      </c>
      <c r="N9" s="88">
        <v>84</v>
      </c>
      <c r="O9" s="88">
        <v>2256</v>
      </c>
      <c r="P9" s="88">
        <v>110.08</v>
      </c>
      <c r="Q9" s="88">
        <f t="shared" ref="Q9:Q37" si="3">P9-M9</f>
        <v>44.649999999999991</v>
      </c>
      <c r="R9" s="88" t="s">
        <v>835</v>
      </c>
      <c r="S9" s="88">
        <v>12</v>
      </c>
      <c r="T9" s="88">
        <v>2</v>
      </c>
      <c r="V9">
        <f t="shared" ref="V9:V20" si="4">T9/(S9)</f>
        <v>0.16666666666666666</v>
      </c>
    </row>
    <row r="10" spans="1:22" x14ac:dyDescent="0.55000000000000004">
      <c r="A10">
        <v>4</v>
      </c>
      <c r="C10" t="s">
        <v>833</v>
      </c>
      <c r="D10" t="s">
        <v>813</v>
      </c>
      <c r="E10" t="s">
        <v>802</v>
      </c>
      <c r="F10" t="s">
        <v>89</v>
      </c>
      <c r="G10" t="s">
        <v>804</v>
      </c>
      <c r="H10">
        <v>77.244</v>
      </c>
      <c r="I10">
        <v>90.198999999999998</v>
      </c>
      <c r="J10">
        <f t="shared" si="0"/>
        <v>12.954999999999998</v>
      </c>
      <c r="K10" s="85">
        <f t="shared" si="1"/>
        <v>1.2605214999999999</v>
      </c>
      <c r="L10" s="3">
        <f t="shared" si="2"/>
        <v>25.210429999999995</v>
      </c>
      <c r="M10">
        <v>65.430000000000007</v>
      </c>
      <c r="N10">
        <v>84</v>
      </c>
      <c r="O10">
        <v>2969</v>
      </c>
      <c r="P10">
        <v>144.87</v>
      </c>
      <c r="Q10">
        <f>P10-M10</f>
        <v>79.44</v>
      </c>
      <c r="R10" t="s">
        <v>832</v>
      </c>
      <c r="S10" s="33"/>
      <c r="T10" s="33"/>
    </row>
    <row r="11" spans="1:22" s="107" customFormat="1" x14ac:dyDescent="0.55000000000000004">
      <c r="C11" s="107" t="s">
        <v>834</v>
      </c>
      <c r="D11" s="107" t="s">
        <v>813</v>
      </c>
      <c r="E11" s="107" t="s">
        <v>802</v>
      </c>
      <c r="F11" s="107" t="s">
        <v>89</v>
      </c>
      <c r="G11" s="107" t="s">
        <v>804</v>
      </c>
      <c r="H11" s="107">
        <v>81.591999999999999</v>
      </c>
      <c r="I11" s="107">
        <v>101.294</v>
      </c>
      <c r="J11" s="107">
        <f t="shared" si="0"/>
        <v>19.701999999999998</v>
      </c>
      <c r="K11" s="107">
        <f t="shared" si="1"/>
        <v>1.9170045999999998</v>
      </c>
      <c r="L11" s="180">
        <f t="shared" si="2"/>
        <v>38.340091999999999</v>
      </c>
      <c r="M11" s="107">
        <v>65.430000000000007</v>
      </c>
      <c r="N11" s="107">
        <v>84</v>
      </c>
      <c r="O11" s="107">
        <v>2969</v>
      </c>
      <c r="P11" s="107">
        <v>144.87</v>
      </c>
      <c r="Q11" s="107">
        <f>P11-M11</f>
        <v>79.44</v>
      </c>
      <c r="R11" s="107" t="s">
        <v>836</v>
      </c>
      <c r="S11" s="183"/>
      <c r="T11" s="183"/>
    </row>
    <row r="12" spans="1:22" x14ac:dyDescent="0.55000000000000004">
      <c r="A12">
        <v>5</v>
      </c>
      <c r="B12">
        <v>8</v>
      </c>
      <c r="C12" t="s">
        <v>805</v>
      </c>
      <c r="D12" t="s">
        <v>814</v>
      </c>
      <c r="E12" t="s">
        <v>802</v>
      </c>
      <c r="F12" t="s">
        <v>89</v>
      </c>
      <c r="G12" t="s">
        <v>804</v>
      </c>
      <c r="H12">
        <v>85.652000000000001</v>
      </c>
      <c r="I12">
        <v>96.497</v>
      </c>
      <c r="J12">
        <f t="shared" si="0"/>
        <v>10.844999999999999</v>
      </c>
      <c r="K12" s="85">
        <f t="shared" si="1"/>
        <v>1.0552184999999998</v>
      </c>
      <c r="L12" s="3">
        <f t="shared" si="2"/>
        <v>21.104369999999996</v>
      </c>
      <c r="M12">
        <v>76.38</v>
      </c>
      <c r="N12">
        <v>1673</v>
      </c>
      <c r="O12">
        <v>4729</v>
      </c>
      <c r="P12">
        <v>226.87</v>
      </c>
      <c r="Q12">
        <f t="shared" si="3"/>
        <v>150.49</v>
      </c>
      <c r="S12">
        <v>9</v>
      </c>
      <c r="T12">
        <v>1</v>
      </c>
      <c r="V12">
        <f t="shared" si="4"/>
        <v>0.1111111111111111</v>
      </c>
    </row>
    <row r="13" spans="1:22" x14ac:dyDescent="0.55000000000000004">
      <c r="B13">
        <v>9</v>
      </c>
      <c r="C13" t="s">
        <v>837</v>
      </c>
      <c r="D13" t="s">
        <v>815</v>
      </c>
      <c r="E13" t="s">
        <v>802</v>
      </c>
      <c r="F13" t="s">
        <v>89</v>
      </c>
      <c r="G13" t="s">
        <v>804</v>
      </c>
      <c r="H13" t="s">
        <v>325</v>
      </c>
      <c r="K13" s="85"/>
      <c r="L13" s="3"/>
      <c r="M13">
        <v>33.83</v>
      </c>
      <c r="Q13">
        <f t="shared" si="3"/>
        <v>-33.83</v>
      </c>
    </row>
    <row r="14" spans="1:22" s="184" customFormat="1" x14ac:dyDescent="0.55000000000000004">
      <c r="C14" s="184" t="s">
        <v>841</v>
      </c>
      <c r="D14" s="184" t="s">
        <v>815</v>
      </c>
      <c r="E14" s="184" t="s">
        <v>802</v>
      </c>
      <c r="F14" s="184" t="s">
        <v>89</v>
      </c>
      <c r="G14" s="184" t="s">
        <v>804</v>
      </c>
      <c r="H14" s="184">
        <v>79.444999999999993</v>
      </c>
      <c r="I14" s="184">
        <v>90.671999999999997</v>
      </c>
      <c r="J14" s="184">
        <f>I14-H14</f>
        <v>11.227000000000004</v>
      </c>
      <c r="K14" s="184">
        <f>J14*0.0973</f>
        <v>1.0923871000000003</v>
      </c>
      <c r="L14" s="185">
        <f>K14*20</f>
        <v>21.847742000000004</v>
      </c>
      <c r="M14" s="184">
        <v>69.989999999999995</v>
      </c>
      <c r="N14" s="184" t="s">
        <v>838</v>
      </c>
      <c r="O14" s="184">
        <v>2423</v>
      </c>
      <c r="P14" s="184">
        <v>117.45</v>
      </c>
      <c r="Q14" s="184">
        <f>P14-M14</f>
        <v>47.460000000000008</v>
      </c>
      <c r="R14" s="184" t="s">
        <v>843</v>
      </c>
      <c r="S14" s="184">
        <v>4</v>
      </c>
      <c r="T14" s="184">
        <v>1</v>
      </c>
      <c r="V14" s="34">
        <f t="shared" si="4"/>
        <v>0.25</v>
      </c>
    </row>
    <row r="15" spans="1:22" x14ac:dyDescent="0.55000000000000004">
      <c r="A15">
        <v>6</v>
      </c>
      <c r="C15" t="s">
        <v>842</v>
      </c>
      <c r="D15" t="s">
        <v>815</v>
      </c>
      <c r="E15" t="s">
        <v>802</v>
      </c>
      <c r="F15" t="s">
        <v>89</v>
      </c>
      <c r="G15" t="s">
        <v>804</v>
      </c>
      <c r="H15">
        <v>79.088999999999999</v>
      </c>
      <c r="I15">
        <v>104.608</v>
      </c>
      <c r="J15">
        <f>I15-H15</f>
        <v>25.519000000000005</v>
      </c>
      <c r="K15" s="85">
        <f>J15*0.0973</f>
        <v>2.4829987000000004</v>
      </c>
      <c r="L15" s="3">
        <f>K15*20</f>
        <v>49.659974000000005</v>
      </c>
      <c r="M15">
        <v>69.989999999999995</v>
      </c>
      <c r="N15" t="s">
        <v>838</v>
      </c>
      <c r="O15">
        <v>2423</v>
      </c>
      <c r="P15">
        <v>117.45</v>
      </c>
      <c r="Q15">
        <f>P15-M15</f>
        <v>47.460000000000008</v>
      </c>
      <c r="R15" t="s">
        <v>843</v>
      </c>
      <c r="S15">
        <v>4</v>
      </c>
      <c r="T15">
        <v>1</v>
      </c>
      <c r="V15">
        <f t="shared" si="4"/>
        <v>0.25</v>
      </c>
    </row>
    <row r="16" spans="1:22" x14ac:dyDescent="0.55000000000000004">
      <c r="A16">
        <v>7</v>
      </c>
      <c r="B16">
        <v>10</v>
      </c>
      <c r="C16" t="s">
        <v>839</v>
      </c>
      <c r="D16" t="s">
        <v>816</v>
      </c>
      <c r="E16" t="s">
        <v>802</v>
      </c>
      <c r="F16" t="s">
        <v>89</v>
      </c>
      <c r="G16" t="s">
        <v>804</v>
      </c>
      <c r="H16">
        <v>83.697999999999993</v>
      </c>
      <c r="I16">
        <v>88.376000000000005</v>
      </c>
      <c r="J16">
        <f>I16-H16</f>
        <v>4.6780000000000115</v>
      </c>
      <c r="K16" s="85">
        <f>J16*0.0973</f>
        <v>0.45516940000000111</v>
      </c>
      <c r="L16" s="3">
        <f>K16*20</f>
        <v>9.103388000000022</v>
      </c>
      <c r="M16">
        <v>69.77</v>
      </c>
      <c r="N16">
        <v>1359</v>
      </c>
      <c r="O16">
        <v>3544</v>
      </c>
      <c r="P16">
        <v>174.26</v>
      </c>
      <c r="Q16">
        <f t="shared" si="3"/>
        <v>104.49</v>
      </c>
      <c r="S16">
        <v>10</v>
      </c>
      <c r="T16">
        <v>1</v>
      </c>
      <c r="V16">
        <f t="shared" si="4"/>
        <v>0.1</v>
      </c>
    </row>
    <row r="17" spans="1:22" s="107" customFormat="1" x14ac:dyDescent="0.55000000000000004">
      <c r="C17" s="107" t="s">
        <v>840</v>
      </c>
      <c r="D17" s="107" t="s">
        <v>816</v>
      </c>
      <c r="E17" s="107" t="s">
        <v>802</v>
      </c>
      <c r="F17" s="107" t="s">
        <v>89</v>
      </c>
      <c r="G17" s="107" t="s">
        <v>804</v>
      </c>
      <c r="H17" s="107">
        <v>81.17</v>
      </c>
      <c r="I17" s="107">
        <v>91.887</v>
      </c>
      <c r="J17" s="107">
        <f>I17-H17</f>
        <v>10.716999999999999</v>
      </c>
      <c r="K17" s="107">
        <f>J17*0.0973</f>
        <v>1.0427640999999999</v>
      </c>
      <c r="L17" s="180">
        <f>K17*20</f>
        <v>20.855281999999995</v>
      </c>
      <c r="M17" s="107">
        <v>69.77</v>
      </c>
      <c r="N17" s="107">
        <v>1359</v>
      </c>
      <c r="O17" s="107">
        <v>3544</v>
      </c>
      <c r="P17" s="107">
        <v>174.26</v>
      </c>
      <c r="Q17" s="107">
        <f>P17-M17</f>
        <v>104.49</v>
      </c>
      <c r="S17" s="107">
        <v>10</v>
      </c>
      <c r="T17" s="107">
        <v>1</v>
      </c>
      <c r="V17" s="107">
        <f t="shared" si="4"/>
        <v>0.1</v>
      </c>
    </row>
    <row r="18" spans="1:22" x14ac:dyDescent="0.55000000000000004">
      <c r="B18">
        <v>11</v>
      </c>
      <c r="C18" t="s">
        <v>806</v>
      </c>
      <c r="D18" t="s">
        <v>817</v>
      </c>
      <c r="E18" t="s">
        <v>802</v>
      </c>
      <c r="F18" t="s">
        <v>89</v>
      </c>
      <c r="G18" t="s">
        <v>804</v>
      </c>
      <c r="H18" t="s">
        <v>325</v>
      </c>
      <c r="K18" s="85"/>
      <c r="L18" s="3"/>
      <c r="M18">
        <v>55.15</v>
      </c>
      <c r="Q18">
        <f t="shared" si="3"/>
        <v>-55.15</v>
      </c>
      <c r="S18">
        <v>12</v>
      </c>
      <c r="T18">
        <v>0</v>
      </c>
      <c r="V18">
        <f t="shared" si="4"/>
        <v>0</v>
      </c>
    </row>
    <row r="19" spans="1:22" x14ac:dyDescent="0.55000000000000004">
      <c r="B19">
        <v>12</v>
      </c>
      <c r="C19" t="s">
        <v>807</v>
      </c>
      <c r="D19" t="s">
        <v>818</v>
      </c>
      <c r="E19" t="s">
        <v>802</v>
      </c>
      <c r="F19" t="s">
        <v>89</v>
      </c>
      <c r="G19" t="s">
        <v>804</v>
      </c>
      <c r="H19" t="s">
        <v>325</v>
      </c>
      <c r="K19" s="85"/>
      <c r="L19" s="3"/>
      <c r="M19">
        <v>67.14</v>
      </c>
      <c r="Q19">
        <f t="shared" si="3"/>
        <v>-67.14</v>
      </c>
      <c r="S19">
        <v>16</v>
      </c>
      <c r="T19">
        <v>0</v>
      </c>
      <c r="V19">
        <f t="shared" si="4"/>
        <v>0</v>
      </c>
    </row>
    <row r="20" spans="1:22" x14ac:dyDescent="0.55000000000000004">
      <c r="B20">
        <v>13</v>
      </c>
      <c r="C20" t="s">
        <v>808</v>
      </c>
      <c r="D20" t="s">
        <v>819</v>
      </c>
      <c r="E20" t="s">
        <v>802</v>
      </c>
      <c r="F20" t="s">
        <v>89</v>
      </c>
      <c r="G20" t="s">
        <v>804</v>
      </c>
      <c r="H20" t="s">
        <v>325</v>
      </c>
      <c r="K20" s="85"/>
      <c r="L20" s="3"/>
      <c r="M20">
        <v>69.989999999999995</v>
      </c>
      <c r="Q20">
        <f t="shared" si="3"/>
        <v>-69.989999999999995</v>
      </c>
      <c r="S20">
        <v>6</v>
      </c>
      <c r="T20">
        <v>0</v>
      </c>
      <c r="V20">
        <f t="shared" si="4"/>
        <v>0</v>
      </c>
    </row>
    <row r="21" spans="1:22" x14ac:dyDescent="0.55000000000000004">
      <c r="A21">
        <v>8</v>
      </c>
      <c r="B21">
        <v>14</v>
      </c>
      <c r="C21" t="s">
        <v>809</v>
      </c>
      <c r="D21" t="s">
        <v>820</v>
      </c>
      <c r="E21" t="s">
        <v>802</v>
      </c>
      <c r="F21" t="s">
        <v>89</v>
      </c>
      <c r="G21" t="s">
        <v>804</v>
      </c>
      <c r="H21">
        <v>88.906999999999996</v>
      </c>
      <c r="I21">
        <v>97.003</v>
      </c>
      <c r="J21">
        <f>I21-H22</f>
        <v>5.5280000000000058</v>
      </c>
      <c r="K21" s="85">
        <f>J21*0.0973</f>
        <v>0.53787440000000053</v>
      </c>
      <c r="L21" s="3">
        <f>K21*20</f>
        <v>10.757488000000011</v>
      </c>
      <c r="M21">
        <v>95.01</v>
      </c>
      <c r="N21">
        <v>2401</v>
      </c>
      <c r="O21">
        <v>6092</v>
      </c>
      <c r="P21">
        <v>301.61</v>
      </c>
      <c r="Q21">
        <f t="shared" si="3"/>
        <v>206.60000000000002</v>
      </c>
      <c r="S21">
        <v>2</v>
      </c>
      <c r="T21">
        <v>2</v>
      </c>
      <c r="V21">
        <f>T21/(S21)</f>
        <v>1</v>
      </c>
    </row>
    <row r="22" spans="1:22" s="98" customFormat="1" x14ac:dyDescent="0.55000000000000004">
      <c r="C22" s="98" t="s">
        <v>809</v>
      </c>
      <c r="D22" s="98" t="s">
        <v>820</v>
      </c>
      <c r="E22" s="98" t="s">
        <v>802</v>
      </c>
      <c r="F22" s="98" t="s">
        <v>89</v>
      </c>
      <c r="G22" s="98" t="s">
        <v>804</v>
      </c>
      <c r="H22" s="98">
        <v>91.474999999999994</v>
      </c>
      <c r="I22" s="98">
        <v>97.980999999999995</v>
      </c>
      <c r="J22" s="98">
        <f>I22-H21</f>
        <v>9.0739999999999981</v>
      </c>
      <c r="K22" s="98">
        <f>J22*0.0973</f>
        <v>0.8829001999999998</v>
      </c>
      <c r="L22" s="102">
        <f>K22*20</f>
        <v>17.658003999999995</v>
      </c>
      <c r="M22" s="98">
        <v>95.01</v>
      </c>
      <c r="N22" s="98">
        <v>2401</v>
      </c>
      <c r="O22" s="98">
        <v>6092</v>
      </c>
      <c r="P22" s="98">
        <v>301.61</v>
      </c>
      <c r="Q22" s="98">
        <f>P22-M22</f>
        <v>206.60000000000002</v>
      </c>
      <c r="S22" s="101"/>
      <c r="T22" s="101"/>
      <c r="V22"/>
    </row>
    <row r="23" spans="1:22" x14ac:dyDescent="0.55000000000000004">
      <c r="A23">
        <v>9</v>
      </c>
      <c r="B23">
        <v>15</v>
      </c>
      <c r="C23" t="s">
        <v>1154</v>
      </c>
      <c r="E23" t="s">
        <v>1151</v>
      </c>
      <c r="F23" t="s">
        <v>89</v>
      </c>
      <c r="G23" s="85" t="s">
        <v>804</v>
      </c>
      <c r="H23">
        <v>87.441000000000003</v>
      </c>
      <c r="I23">
        <v>94.855000000000004</v>
      </c>
      <c r="J23">
        <f>I23-H24</f>
        <v>19.043000000000006</v>
      </c>
      <c r="K23" s="85">
        <f>J23*0.0973</f>
        <v>1.8528839000000006</v>
      </c>
      <c r="L23" s="3">
        <f>K23*20</f>
        <v>37.05767800000001</v>
      </c>
      <c r="M23">
        <v>10.09</v>
      </c>
      <c r="N23">
        <v>22</v>
      </c>
      <c r="O23">
        <v>707</v>
      </c>
      <c r="P23">
        <v>36.229999999999997</v>
      </c>
      <c r="Q23">
        <f t="shared" si="3"/>
        <v>26.139999999999997</v>
      </c>
      <c r="S23">
        <v>9</v>
      </c>
      <c r="T23">
        <v>1</v>
      </c>
      <c r="V23">
        <f t="shared" ref="V23:V48" si="5">T23/(S23)</f>
        <v>0.1111111111111111</v>
      </c>
    </row>
    <row r="24" spans="1:22" s="110" customFormat="1" x14ac:dyDescent="0.55000000000000004">
      <c r="C24" s="110" t="s">
        <v>1155</v>
      </c>
      <c r="E24" s="110" t="s">
        <v>1151</v>
      </c>
      <c r="F24" s="110" t="s">
        <v>89</v>
      </c>
      <c r="G24" s="110" t="s">
        <v>804</v>
      </c>
      <c r="H24" s="110">
        <v>75.811999999999998</v>
      </c>
      <c r="I24" s="110">
        <v>83.962999999999994</v>
      </c>
      <c r="J24" s="110">
        <f>I24-H24</f>
        <v>8.1509999999999962</v>
      </c>
      <c r="K24" s="110">
        <f>J24*0.0973</f>
        <v>0.79309229999999964</v>
      </c>
      <c r="L24" s="175">
        <f>K24*20</f>
        <v>15.861845999999993</v>
      </c>
      <c r="M24" s="110">
        <v>10.09</v>
      </c>
      <c r="N24" s="110">
        <v>22</v>
      </c>
      <c r="O24" s="110">
        <v>707</v>
      </c>
      <c r="P24" s="110">
        <v>36.229999999999997</v>
      </c>
      <c r="Q24" s="110">
        <f t="shared" si="3"/>
        <v>26.139999999999997</v>
      </c>
      <c r="S24" s="110">
        <v>9</v>
      </c>
      <c r="T24" s="110">
        <v>1</v>
      </c>
      <c r="V24">
        <f t="shared" si="5"/>
        <v>0.1111111111111111</v>
      </c>
    </row>
    <row r="25" spans="1:22" x14ac:dyDescent="0.55000000000000004">
      <c r="B25">
        <v>16</v>
      </c>
      <c r="C25" t="s">
        <v>1144</v>
      </c>
      <c r="E25" t="s">
        <v>1151</v>
      </c>
      <c r="F25" t="s">
        <v>89</v>
      </c>
      <c r="G25" s="85" t="s">
        <v>804</v>
      </c>
      <c r="H25" s="85" t="s">
        <v>325</v>
      </c>
      <c r="K25" s="85"/>
      <c r="L25" s="3"/>
      <c r="Q25">
        <f t="shared" si="3"/>
        <v>0</v>
      </c>
      <c r="R25" t="s">
        <v>1156</v>
      </c>
      <c r="S25">
        <v>13</v>
      </c>
      <c r="T25">
        <v>0</v>
      </c>
      <c r="V25">
        <f t="shared" si="5"/>
        <v>0</v>
      </c>
    </row>
    <row r="26" spans="1:22" x14ac:dyDescent="0.55000000000000004">
      <c r="A26">
        <v>10</v>
      </c>
      <c r="B26">
        <v>17</v>
      </c>
      <c r="C26" t="s">
        <v>1145</v>
      </c>
      <c r="E26" t="s">
        <v>1151</v>
      </c>
      <c r="F26" t="s">
        <v>89</v>
      </c>
      <c r="G26" s="85" t="s">
        <v>804</v>
      </c>
      <c r="H26" s="85">
        <v>83.179000000000002</v>
      </c>
      <c r="I26">
        <v>94.5</v>
      </c>
      <c r="J26">
        <f>I26-H26</f>
        <v>11.320999999999998</v>
      </c>
      <c r="K26" s="85">
        <f>J26*0.0973</f>
        <v>1.1015332999999998</v>
      </c>
      <c r="L26" s="3">
        <f>K26*20</f>
        <v>22.030665999999997</v>
      </c>
      <c r="M26">
        <v>56.9</v>
      </c>
      <c r="N26">
        <v>1240</v>
      </c>
      <c r="O26">
        <v>2072</v>
      </c>
      <c r="P26">
        <v>103.88</v>
      </c>
      <c r="Q26">
        <f t="shared" si="3"/>
        <v>46.98</v>
      </c>
      <c r="S26">
        <v>11</v>
      </c>
      <c r="T26">
        <v>1</v>
      </c>
      <c r="U26" t="s">
        <v>1157</v>
      </c>
      <c r="V26">
        <f t="shared" si="5"/>
        <v>9.0909090909090912E-2</v>
      </c>
    </row>
    <row r="27" spans="1:22" x14ac:dyDescent="0.55000000000000004">
      <c r="A27">
        <v>11</v>
      </c>
      <c r="B27">
        <v>18</v>
      </c>
      <c r="C27" t="s">
        <v>1146</v>
      </c>
      <c r="E27" t="s">
        <v>1151</v>
      </c>
      <c r="F27" t="s">
        <v>89</v>
      </c>
      <c r="G27" s="85" t="s">
        <v>804</v>
      </c>
      <c r="H27">
        <v>72.781000000000006</v>
      </c>
      <c r="I27">
        <v>85.921999999999997</v>
      </c>
      <c r="J27">
        <f>I27-H27</f>
        <v>13.140999999999991</v>
      </c>
      <c r="K27" s="85">
        <f>J27*0.0973</f>
        <v>1.278619299999999</v>
      </c>
      <c r="L27" s="3">
        <f>K27*20</f>
        <v>25.57238599999998</v>
      </c>
      <c r="M27">
        <v>4.95</v>
      </c>
      <c r="N27">
        <v>226</v>
      </c>
      <c r="O27">
        <v>562</v>
      </c>
      <c r="P27">
        <v>29.92</v>
      </c>
      <c r="Q27">
        <f>P27-M27</f>
        <v>24.970000000000002</v>
      </c>
      <c r="S27">
        <v>2</v>
      </c>
      <c r="T27">
        <v>2</v>
      </c>
      <c r="V27">
        <f t="shared" si="5"/>
        <v>1</v>
      </c>
    </row>
    <row r="28" spans="1:22" x14ac:dyDescent="0.55000000000000004">
      <c r="B28">
        <v>19</v>
      </c>
      <c r="C28" t="s">
        <v>1147</v>
      </c>
      <c r="E28" t="s">
        <v>1151</v>
      </c>
      <c r="F28" t="s">
        <v>89</v>
      </c>
      <c r="G28" s="85" t="s">
        <v>804</v>
      </c>
      <c r="H28" s="85" t="s">
        <v>325</v>
      </c>
      <c r="K28" s="85"/>
      <c r="L28" s="3"/>
      <c r="M28">
        <v>25.63</v>
      </c>
      <c r="R28" t="s">
        <v>1158</v>
      </c>
      <c r="S28">
        <v>13</v>
      </c>
      <c r="T28">
        <v>0</v>
      </c>
      <c r="V28">
        <f t="shared" si="5"/>
        <v>0</v>
      </c>
    </row>
    <row r="29" spans="1:22" x14ac:dyDescent="0.55000000000000004">
      <c r="B29">
        <v>20</v>
      </c>
      <c r="C29" t="s">
        <v>1148</v>
      </c>
      <c r="E29" t="s">
        <v>1151</v>
      </c>
      <c r="F29" t="s">
        <v>89</v>
      </c>
      <c r="G29" s="85" t="s">
        <v>804</v>
      </c>
      <c r="H29" s="85" t="s">
        <v>325</v>
      </c>
      <c r="K29" s="85"/>
      <c r="L29" s="3"/>
      <c r="M29">
        <v>51.29</v>
      </c>
      <c r="R29" t="s">
        <v>1159</v>
      </c>
      <c r="S29">
        <v>10</v>
      </c>
      <c r="T29">
        <v>0</v>
      </c>
      <c r="V29">
        <f t="shared" si="5"/>
        <v>0</v>
      </c>
    </row>
    <row r="30" spans="1:22" x14ac:dyDescent="0.55000000000000004">
      <c r="B30">
        <v>21</v>
      </c>
      <c r="C30" t="s">
        <v>1149</v>
      </c>
      <c r="E30" t="s">
        <v>1151</v>
      </c>
      <c r="F30" t="s">
        <v>89</v>
      </c>
      <c r="G30" s="85" t="s">
        <v>804</v>
      </c>
      <c r="H30" s="85" t="s">
        <v>325</v>
      </c>
      <c r="K30" s="85"/>
      <c r="L30" s="3"/>
      <c r="M30">
        <v>36.99</v>
      </c>
      <c r="S30">
        <v>8</v>
      </c>
      <c r="T30">
        <v>0</v>
      </c>
      <c r="V30">
        <f t="shared" si="5"/>
        <v>0</v>
      </c>
    </row>
    <row r="31" spans="1:22" x14ac:dyDescent="0.55000000000000004">
      <c r="B31">
        <v>22</v>
      </c>
      <c r="C31" t="s">
        <v>1150</v>
      </c>
      <c r="E31" t="s">
        <v>1151</v>
      </c>
      <c r="F31" t="s">
        <v>89</v>
      </c>
      <c r="G31" s="85" t="s">
        <v>804</v>
      </c>
      <c r="H31" s="85" t="s">
        <v>1161</v>
      </c>
      <c r="K31" s="85"/>
      <c r="L31" s="3"/>
      <c r="Q31">
        <f t="shared" si="3"/>
        <v>0</v>
      </c>
      <c r="S31">
        <v>9</v>
      </c>
      <c r="T31">
        <v>1</v>
      </c>
      <c r="U31" t="s">
        <v>1160</v>
      </c>
      <c r="V31">
        <f t="shared" si="5"/>
        <v>0.1111111111111111</v>
      </c>
    </row>
    <row r="32" spans="1:22" x14ac:dyDescent="0.55000000000000004">
      <c r="A32">
        <v>12</v>
      </c>
      <c r="B32">
        <v>23</v>
      </c>
      <c r="C32" t="s">
        <v>1170</v>
      </c>
      <c r="E32" t="s">
        <v>1169</v>
      </c>
      <c r="F32" t="s">
        <v>89</v>
      </c>
      <c r="G32" s="85" t="s">
        <v>804</v>
      </c>
      <c r="H32">
        <v>86.111999999999995</v>
      </c>
      <c r="I32">
        <v>100.755</v>
      </c>
      <c r="J32">
        <f t="shared" ref="J32:J45" si="6">I32-H32</f>
        <v>14.643000000000001</v>
      </c>
      <c r="K32" s="85">
        <f t="shared" ref="K32:K45" si="7">J32*0.0973</f>
        <v>1.4247639000000001</v>
      </c>
      <c r="L32" s="3">
        <f>K32*20</f>
        <v>28.495278000000003</v>
      </c>
      <c r="M32">
        <v>7.43</v>
      </c>
      <c r="N32">
        <v>198</v>
      </c>
      <c r="O32">
        <v>1828</v>
      </c>
      <c r="P32">
        <v>91.2</v>
      </c>
      <c r="Q32">
        <f t="shared" si="3"/>
        <v>83.77000000000001</v>
      </c>
      <c r="S32">
        <v>9</v>
      </c>
      <c r="T32">
        <v>1</v>
      </c>
      <c r="V32">
        <f t="shared" si="5"/>
        <v>0.1111111111111111</v>
      </c>
    </row>
    <row r="33" spans="1:23" s="98" customFormat="1" x14ac:dyDescent="0.55000000000000004">
      <c r="C33" s="98" t="s">
        <v>1171</v>
      </c>
      <c r="E33" s="98" t="s">
        <v>1169</v>
      </c>
      <c r="F33" s="98" t="s">
        <v>89</v>
      </c>
      <c r="G33" s="98" t="s">
        <v>804</v>
      </c>
      <c r="H33" s="98">
        <v>83.221999999999994</v>
      </c>
      <c r="I33" s="98">
        <v>96.435000000000002</v>
      </c>
      <c r="J33" s="98">
        <f t="shared" si="6"/>
        <v>13.213000000000008</v>
      </c>
      <c r="K33" s="98">
        <f t="shared" si="7"/>
        <v>1.2856249000000008</v>
      </c>
      <c r="L33" s="102">
        <f>K33*20</f>
        <v>25.712498000000018</v>
      </c>
      <c r="M33" s="98">
        <v>7.43</v>
      </c>
      <c r="N33" s="98">
        <v>198</v>
      </c>
      <c r="O33" s="98">
        <v>1828</v>
      </c>
      <c r="P33" s="98">
        <v>91.2</v>
      </c>
      <c r="Q33" s="98">
        <f>P33-M33</f>
        <v>83.77000000000001</v>
      </c>
      <c r="S33" s="181"/>
      <c r="T33" s="181"/>
      <c r="V33"/>
    </row>
    <row r="34" spans="1:23" x14ac:dyDescent="0.55000000000000004">
      <c r="A34">
        <v>13</v>
      </c>
      <c r="B34">
        <v>24</v>
      </c>
      <c r="C34" t="s">
        <v>1172</v>
      </c>
      <c r="E34" t="s">
        <v>1169</v>
      </c>
      <c r="F34" t="s">
        <v>89</v>
      </c>
      <c r="G34" s="85" t="s">
        <v>804</v>
      </c>
      <c r="H34">
        <v>83.363</v>
      </c>
      <c r="I34">
        <v>90.072000000000003</v>
      </c>
      <c r="J34">
        <f t="shared" si="6"/>
        <v>6.7090000000000032</v>
      </c>
      <c r="K34" s="85">
        <f t="shared" si="7"/>
        <v>0.65278570000000025</v>
      </c>
      <c r="L34" s="3">
        <f>K34*20</f>
        <v>13.055714000000005</v>
      </c>
      <c r="M34">
        <v>77.89</v>
      </c>
      <c r="N34">
        <v>1783</v>
      </c>
      <c r="O34">
        <v>2315</v>
      </c>
      <c r="P34">
        <v>120.13</v>
      </c>
      <c r="Q34">
        <f t="shared" si="3"/>
        <v>42.239999999999995</v>
      </c>
      <c r="S34">
        <v>7</v>
      </c>
      <c r="T34">
        <v>2</v>
      </c>
      <c r="V34">
        <f t="shared" si="5"/>
        <v>0.2857142857142857</v>
      </c>
      <c r="W34" s="51">
        <f>(STDEV(V2:V3,V5:V7,V9,V12,V14:V21)/SQRT(COUNT(V2:V3,V5:V7,V9,V12,V14:V21)))*100</f>
        <v>6.5789794650454185</v>
      </c>
    </row>
    <row r="35" spans="1:23" s="98" customFormat="1" x14ac:dyDescent="0.55000000000000004">
      <c r="C35" s="98" t="s">
        <v>1174</v>
      </c>
      <c r="E35" s="98" t="s">
        <v>1169</v>
      </c>
      <c r="F35" s="98" t="s">
        <v>89</v>
      </c>
      <c r="G35" s="98" t="s">
        <v>804</v>
      </c>
      <c r="H35" s="98">
        <v>89.662000000000006</v>
      </c>
      <c r="I35" s="98">
        <v>108.133</v>
      </c>
      <c r="J35" s="98">
        <f t="shared" si="6"/>
        <v>18.470999999999989</v>
      </c>
      <c r="K35" s="98">
        <f t="shared" si="7"/>
        <v>1.7972282999999989</v>
      </c>
      <c r="L35" s="102">
        <f>K35*20</f>
        <v>35.94456599999998</v>
      </c>
      <c r="M35" s="98">
        <v>77.89</v>
      </c>
      <c r="N35" s="98">
        <v>1783</v>
      </c>
      <c r="O35" s="98">
        <v>2315</v>
      </c>
      <c r="P35" s="98">
        <v>120.13</v>
      </c>
      <c r="Q35" s="98">
        <f>P35-M35</f>
        <v>42.239999999999995</v>
      </c>
      <c r="R35" s="98" t="s">
        <v>1175</v>
      </c>
      <c r="S35" s="181"/>
      <c r="T35" s="181"/>
      <c r="V35"/>
      <c r="W35" s="98">
        <f>(STDEV(V3:V4,V6:V8,V10,V13,V15:V22)/SQRT(COUNT(V3:V4,V6:V8,V10,V13,V15:V22)))*100</f>
        <v>9.7196822078822223</v>
      </c>
    </row>
    <row r="36" spans="1:23" x14ac:dyDescent="0.55000000000000004">
      <c r="A36">
        <v>14</v>
      </c>
      <c r="C36" t="s">
        <v>1173</v>
      </c>
      <c r="E36" t="s">
        <v>1169</v>
      </c>
      <c r="F36" t="s">
        <v>89</v>
      </c>
      <c r="G36" s="85" t="s">
        <v>804</v>
      </c>
      <c r="H36">
        <v>83.363</v>
      </c>
      <c r="I36">
        <v>85.120999999999995</v>
      </c>
      <c r="J36">
        <f t="shared" si="6"/>
        <v>1.7579999999999956</v>
      </c>
      <c r="K36" s="85">
        <f t="shared" si="7"/>
        <v>0.17105339999999958</v>
      </c>
      <c r="L36" s="3">
        <f t="shared" ref="L36:L48" si="8">K36*20</f>
        <v>3.4210679999999916</v>
      </c>
      <c r="M36">
        <v>77.89</v>
      </c>
      <c r="N36">
        <v>1783</v>
      </c>
      <c r="O36">
        <v>5456</v>
      </c>
      <c r="P36">
        <v>283.23</v>
      </c>
      <c r="Q36">
        <f>P36-M36</f>
        <v>205.34000000000003</v>
      </c>
      <c r="R36" t="s">
        <v>1176</v>
      </c>
      <c r="S36" s="15"/>
      <c r="T36" s="15"/>
      <c r="W36" s="51">
        <f>(STDEV(V4:V5,V7:V9,V11,V14,V16:V23)/SQRT(COUNT(V4:V5,V7:V9,V11,V14,V16:V23)))*100</f>
        <v>8.659075812059152</v>
      </c>
    </row>
    <row r="37" spans="1:23" x14ac:dyDescent="0.55000000000000004">
      <c r="A37" s="98">
        <v>15</v>
      </c>
      <c r="B37">
        <v>25</v>
      </c>
      <c r="C37" t="s">
        <v>1179</v>
      </c>
      <c r="E37" t="s">
        <v>1169</v>
      </c>
      <c r="F37" t="s">
        <v>89</v>
      </c>
      <c r="G37" s="85" t="s">
        <v>804</v>
      </c>
      <c r="H37" s="7">
        <v>73.099000000000004</v>
      </c>
      <c r="I37" s="7">
        <v>91.757000000000005</v>
      </c>
      <c r="J37" s="7">
        <f t="shared" si="6"/>
        <v>18.658000000000001</v>
      </c>
      <c r="K37" s="7">
        <f t="shared" si="7"/>
        <v>1.8154234</v>
      </c>
      <c r="L37" s="3">
        <f t="shared" si="8"/>
        <v>36.308467999999998</v>
      </c>
      <c r="M37" s="7">
        <v>26.19</v>
      </c>
      <c r="N37" s="7">
        <v>680</v>
      </c>
      <c r="O37" s="7">
        <v>1336</v>
      </c>
      <c r="P37" s="7">
        <v>66.790000000000006</v>
      </c>
      <c r="Q37" s="7">
        <f t="shared" si="3"/>
        <v>40.600000000000009</v>
      </c>
      <c r="S37" s="7">
        <v>14</v>
      </c>
      <c r="T37" s="7">
        <v>3</v>
      </c>
      <c r="U37" t="s">
        <v>1177</v>
      </c>
      <c r="V37">
        <f t="shared" si="5"/>
        <v>0.21428571428571427</v>
      </c>
    </row>
    <row r="38" spans="1:23" s="107" customFormat="1" x14ac:dyDescent="0.55000000000000004">
      <c r="C38" s="107" t="s">
        <v>1180</v>
      </c>
      <c r="E38" s="107" t="s">
        <v>1169</v>
      </c>
      <c r="F38" s="107" t="s">
        <v>89</v>
      </c>
      <c r="G38" s="107" t="s">
        <v>804</v>
      </c>
      <c r="H38" s="107">
        <v>81.864000000000004</v>
      </c>
      <c r="I38" s="107">
        <v>100.008</v>
      </c>
      <c r="J38" s="107">
        <f t="shared" si="6"/>
        <v>18.143999999999991</v>
      </c>
      <c r="K38" s="107">
        <f t="shared" si="7"/>
        <v>1.7654111999999991</v>
      </c>
      <c r="L38" s="180">
        <f t="shared" si="8"/>
        <v>35.308223999999981</v>
      </c>
      <c r="M38" s="107">
        <v>26.19</v>
      </c>
      <c r="N38" s="107">
        <v>680</v>
      </c>
      <c r="O38" s="107">
        <v>1336</v>
      </c>
      <c r="P38" s="107">
        <v>66.790000000000006</v>
      </c>
      <c r="Q38" s="107">
        <f t="shared" ref="Q38:Q44" si="9">P38-M38</f>
        <v>40.600000000000009</v>
      </c>
      <c r="S38" s="182"/>
      <c r="T38" s="182"/>
      <c r="U38" s="107" t="s">
        <v>1177</v>
      </c>
      <c r="V38"/>
    </row>
    <row r="39" spans="1:23" s="107" customFormat="1" x14ac:dyDescent="0.55000000000000004">
      <c r="C39" s="107" t="s">
        <v>1181</v>
      </c>
      <c r="E39" s="107" t="s">
        <v>1169</v>
      </c>
      <c r="F39" s="107" t="s">
        <v>89</v>
      </c>
      <c r="G39" s="107" t="s">
        <v>804</v>
      </c>
      <c r="H39" s="107">
        <v>81.614000000000004</v>
      </c>
      <c r="I39" s="107">
        <v>79.600999999999999</v>
      </c>
      <c r="J39" s="107">
        <f t="shared" si="6"/>
        <v>-2.0130000000000052</v>
      </c>
      <c r="K39" s="107">
        <f t="shared" si="7"/>
        <v>-0.19586490000000051</v>
      </c>
      <c r="L39" s="180">
        <f t="shared" si="8"/>
        <v>-3.9172980000000104</v>
      </c>
      <c r="M39" s="107">
        <v>26.19</v>
      </c>
      <c r="N39" s="107">
        <v>3205</v>
      </c>
      <c r="O39" s="107">
        <v>4034</v>
      </c>
      <c r="P39" s="107">
        <v>201.66</v>
      </c>
      <c r="Q39" s="107">
        <f t="shared" si="9"/>
        <v>175.47</v>
      </c>
      <c r="S39" s="182"/>
      <c r="T39" s="182"/>
      <c r="U39" s="107" t="s">
        <v>1177</v>
      </c>
      <c r="V39"/>
    </row>
    <row r="40" spans="1:23" x14ac:dyDescent="0.55000000000000004">
      <c r="A40">
        <v>16</v>
      </c>
      <c r="C40" t="s">
        <v>1182</v>
      </c>
      <c r="E40" t="s">
        <v>1169</v>
      </c>
      <c r="F40" t="s">
        <v>89</v>
      </c>
      <c r="G40" s="85" t="s">
        <v>804</v>
      </c>
      <c r="H40" s="7">
        <v>83.95</v>
      </c>
      <c r="I40" s="7">
        <v>88.653999999999996</v>
      </c>
      <c r="J40" s="7">
        <f t="shared" si="6"/>
        <v>4.7039999999999935</v>
      </c>
      <c r="K40" s="7">
        <f t="shared" si="7"/>
        <v>0.45769919999999936</v>
      </c>
      <c r="L40" s="3">
        <f t="shared" si="8"/>
        <v>9.153983999999987</v>
      </c>
      <c r="M40" s="7">
        <v>26.19</v>
      </c>
      <c r="N40" s="7">
        <v>1967</v>
      </c>
      <c r="O40" s="7">
        <v>4034</v>
      </c>
      <c r="P40" s="7">
        <v>201.66</v>
      </c>
      <c r="Q40" s="7">
        <f t="shared" si="9"/>
        <v>175.47</v>
      </c>
      <c r="S40" s="34"/>
      <c r="T40" s="34"/>
      <c r="U40" t="s">
        <v>1177</v>
      </c>
    </row>
    <row r="41" spans="1:23" x14ac:dyDescent="0.55000000000000004">
      <c r="A41">
        <v>17</v>
      </c>
      <c r="B41">
        <v>26</v>
      </c>
      <c r="C41" t="s">
        <v>1184</v>
      </c>
      <c r="E41" t="s">
        <v>1169</v>
      </c>
      <c r="F41" t="s">
        <v>89</v>
      </c>
      <c r="G41" s="85" t="s">
        <v>804</v>
      </c>
      <c r="H41">
        <v>84.16</v>
      </c>
      <c r="I41" s="7">
        <v>91.1</v>
      </c>
      <c r="J41" s="7">
        <f t="shared" si="6"/>
        <v>6.9399999999999977</v>
      </c>
      <c r="K41" s="7">
        <f t="shared" si="7"/>
        <v>0.67526199999999981</v>
      </c>
      <c r="L41" s="3">
        <f t="shared" si="8"/>
        <v>13.505239999999997</v>
      </c>
      <c r="M41" s="7">
        <v>111.83</v>
      </c>
      <c r="N41" s="7">
        <v>2073</v>
      </c>
      <c r="O41" s="7">
        <v>5533</v>
      </c>
      <c r="P41" s="7">
        <v>272.47000000000003</v>
      </c>
      <c r="Q41" s="7">
        <f t="shared" si="9"/>
        <v>160.64000000000004</v>
      </c>
      <c r="S41" s="7">
        <v>7</v>
      </c>
      <c r="T41" s="7">
        <v>3</v>
      </c>
      <c r="U41" t="s">
        <v>1183</v>
      </c>
      <c r="V41">
        <f t="shared" si="5"/>
        <v>0.42857142857142855</v>
      </c>
    </row>
    <row r="42" spans="1:23" x14ac:dyDescent="0.55000000000000004">
      <c r="A42">
        <v>18</v>
      </c>
      <c r="C42" t="s">
        <v>1185</v>
      </c>
      <c r="E42" t="s">
        <v>1169</v>
      </c>
      <c r="F42" t="s">
        <v>89</v>
      </c>
      <c r="G42" s="85" t="s">
        <v>804</v>
      </c>
      <c r="H42" s="7">
        <v>77.239999999999995</v>
      </c>
      <c r="I42" s="7">
        <v>83.022000000000006</v>
      </c>
      <c r="J42" s="7">
        <f t="shared" si="6"/>
        <v>5.7820000000000107</v>
      </c>
      <c r="K42" s="7">
        <f t="shared" si="7"/>
        <v>0.56258860000000099</v>
      </c>
      <c r="L42" s="3">
        <f t="shared" si="8"/>
        <v>11.25177200000002</v>
      </c>
      <c r="M42" s="7">
        <v>111.83</v>
      </c>
      <c r="N42" s="7">
        <v>5183</v>
      </c>
      <c r="O42" s="7">
        <v>5661</v>
      </c>
      <c r="P42" s="7">
        <v>278.77</v>
      </c>
      <c r="Q42" s="7">
        <f t="shared" si="9"/>
        <v>166.94</v>
      </c>
      <c r="S42" s="34"/>
      <c r="T42" s="34"/>
    </row>
    <row r="43" spans="1:23" x14ac:dyDescent="0.55000000000000004">
      <c r="A43">
        <v>19</v>
      </c>
      <c r="C43" t="s">
        <v>1178</v>
      </c>
      <c r="E43" t="s">
        <v>1169</v>
      </c>
      <c r="F43" t="s">
        <v>89</v>
      </c>
      <c r="G43" s="85" t="s">
        <v>804</v>
      </c>
      <c r="H43">
        <v>84.16</v>
      </c>
      <c r="I43" s="7">
        <v>87.29</v>
      </c>
      <c r="J43" s="7">
        <f t="shared" si="6"/>
        <v>3.1300000000000097</v>
      </c>
      <c r="K43" s="7">
        <f t="shared" si="7"/>
        <v>0.30454900000000096</v>
      </c>
      <c r="L43" s="3">
        <f t="shared" si="8"/>
        <v>6.0909800000000196</v>
      </c>
      <c r="M43" s="7">
        <v>111.83</v>
      </c>
      <c r="N43" s="7">
        <v>2073</v>
      </c>
      <c r="O43" s="7">
        <v>6173</v>
      </c>
      <c r="P43" s="7">
        <v>303.98</v>
      </c>
      <c r="Q43" s="7">
        <f t="shared" si="9"/>
        <v>192.15000000000003</v>
      </c>
      <c r="S43" s="34"/>
      <c r="T43" s="34"/>
    </row>
    <row r="44" spans="1:23" x14ac:dyDescent="0.55000000000000004">
      <c r="A44">
        <v>20</v>
      </c>
      <c r="B44">
        <v>27</v>
      </c>
      <c r="C44" t="s">
        <v>1186</v>
      </c>
      <c r="E44" t="s">
        <v>1169</v>
      </c>
      <c r="F44" t="s">
        <v>89</v>
      </c>
      <c r="G44" s="85" t="s">
        <v>804</v>
      </c>
      <c r="H44" s="85">
        <v>82.087999999999994</v>
      </c>
      <c r="I44" s="7">
        <v>88.873000000000005</v>
      </c>
      <c r="J44" s="7">
        <f t="shared" si="6"/>
        <v>6.7850000000000108</v>
      </c>
      <c r="K44" s="7">
        <f t="shared" si="7"/>
        <v>0.66018050000000106</v>
      </c>
      <c r="L44" s="3">
        <f t="shared" si="8"/>
        <v>13.203610000000021</v>
      </c>
      <c r="M44" s="7">
        <v>9.1</v>
      </c>
      <c r="N44" s="7">
        <v>320</v>
      </c>
      <c r="O44" s="7">
        <v>798</v>
      </c>
      <c r="P44" s="7">
        <v>40.57</v>
      </c>
      <c r="Q44" s="7">
        <f t="shared" si="9"/>
        <v>31.47</v>
      </c>
      <c r="R44" t="s">
        <v>1188</v>
      </c>
      <c r="S44" s="7">
        <v>5</v>
      </c>
      <c r="T44" s="7">
        <v>1</v>
      </c>
      <c r="V44">
        <f t="shared" si="5"/>
        <v>0.2</v>
      </c>
    </row>
    <row r="45" spans="1:23" s="107" customFormat="1" x14ac:dyDescent="0.55000000000000004">
      <c r="C45" s="107" t="s">
        <v>1187</v>
      </c>
      <c r="E45" s="107" t="s">
        <v>1169</v>
      </c>
      <c r="F45" s="107" t="s">
        <v>89</v>
      </c>
      <c r="G45" s="107" t="s">
        <v>804</v>
      </c>
      <c r="H45" s="107">
        <v>83.168000000000006</v>
      </c>
      <c r="I45" s="107">
        <v>99.346999999999994</v>
      </c>
      <c r="J45" s="107">
        <f t="shared" si="6"/>
        <v>16.178999999999988</v>
      </c>
      <c r="K45" s="107">
        <f t="shared" si="7"/>
        <v>1.5742166999999987</v>
      </c>
      <c r="L45" s="180">
        <f>K45*20</f>
        <v>31.484333999999976</v>
      </c>
      <c r="M45" s="107">
        <v>9.1</v>
      </c>
      <c r="N45" s="107">
        <v>320</v>
      </c>
      <c r="O45" s="107">
        <v>798</v>
      </c>
      <c r="P45" s="107">
        <v>40.57</v>
      </c>
      <c r="Q45" s="107">
        <f>P45-M45</f>
        <v>31.47</v>
      </c>
      <c r="S45" s="107">
        <v>5</v>
      </c>
      <c r="T45" s="107">
        <v>1</v>
      </c>
      <c r="V45">
        <f t="shared" si="5"/>
        <v>0.2</v>
      </c>
    </row>
    <row r="46" spans="1:23" x14ac:dyDescent="0.55000000000000004">
      <c r="B46">
        <v>28</v>
      </c>
      <c r="C46" t="s">
        <v>1167</v>
      </c>
      <c r="E46" t="s">
        <v>1169</v>
      </c>
      <c r="F46" t="s">
        <v>89</v>
      </c>
      <c r="G46" s="85" t="s">
        <v>804</v>
      </c>
      <c r="H46" s="85" t="s">
        <v>325</v>
      </c>
      <c r="J46" s="7"/>
      <c r="K46" s="7"/>
      <c r="L46" s="3"/>
      <c r="M46" s="7" t="s">
        <v>1189</v>
      </c>
      <c r="N46" s="7"/>
      <c r="O46" s="7"/>
      <c r="P46" s="7"/>
      <c r="Q46" s="7"/>
      <c r="S46">
        <v>6</v>
      </c>
      <c r="T46">
        <v>0</v>
      </c>
      <c r="V46">
        <f t="shared" si="5"/>
        <v>0</v>
      </c>
    </row>
    <row r="47" spans="1:23" x14ac:dyDescent="0.55000000000000004">
      <c r="B47">
        <v>29</v>
      </c>
      <c r="C47" t="s">
        <v>1168</v>
      </c>
      <c r="E47" t="s">
        <v>1169</v>
      </c>
      <c r="F47" t="s">
        <v>89</v>
      </c>
      <c r="G47" s="85" t="s">
        <v>804</v>
      </c>
      <c r="H47" s="85" t="s">
        <v>325</v>
      </c>
      <c r="J47" s="7"/>
      <c r="K47" s="7"/>
      <c r="L47" s="3"/>
      <c r="M47" s="7">
        <v>61.58</v>
      </c>
      <c r="N47" s="7"/>
      <c r="O47" s="7"/>
      <c r="P47" s="7"/>
      <c r="Q47" s="7"/>
      <c r="S47">
        <v>9</v>
      </c>
      <c r="T47">
        <v>0</v>
      </c>
      <c r="V47">
        <f t="shared" si="5"/>
        <v>0</v>
      </c>
    </row>
    <row r="48" spans="1:23" x14ac:dyDescent="0.55000000000000004">
      <c r="A48">
        <v>21</v>
      </c>
      <c r="B48">
        <v>30</v>
      </c>
      <c r="C48" t="s">
        <v>1190</v>
      </c>
      <c r="E48" t="s">
        <v>1169</v>
      </c>
      <c r="F48" t="s">
        <v>89</v>
      </c>
      <c r="G48" s="85" t="s">
        <v>804</v>
      </c>
      <c r="H48" s="85">
        <v>79.525000000000006</v>
      </c>
      <c r="I48">
        <v>96.084999999999994</v>
      </c>
      <c r="J48" s="7">
        <f>I48-H48</f>
        <v>16.559999999999988</v>
      </c>
      <c r="K48" s="7">
        <f>J48*0.0973</f>
        <v>1.6112879999999987</v>
      </c>
      <c r="L48" s="3">
        <f t="shared" si="8"/>
        <v>32.225759999999973</v>
      </c>
      <c r="M48" s="7">
        <v>128.9</v>
      </c>
      <c r="N48" s="7">
        <v>3338</v>
      </c>
      <c r="O48" s="7">
        <v>4244</v>
      </c>
      <c r="P48" s="7">
        <v>218.56</v>
      </c>
      <c r="Q48" s="7"/>
      <c r="S48" s="7">
        <v>6</v>
      </c>
      <c r="T48" s="7">
        <v>1</v>
      </c>
      <c r="V48">
        <f t="shared" si="5"/>
        <v>0.16666666666666666</v>
      </c>
    </row>
    <row r="49" spans="2:23" s="107" customFormat="1" x14ac:dyDescent="0.55000000000000004">
      <c r="B49" s="107">
        <v>31</v>
      </c>
      <c r="C49" s="107" t="s">
        <v>1191</v>
      </c>
      <c r="E49" s="107" t="s">
        <v>1169</v>
      </c>
      <c r="F49" s="107" t="s">
        <v>89</v>
      </c>
      <c r="G49" s="107" t="s">
        <v>804</v>
      </c>
      <c r="H49" s="107">
        <v>83.114000000000004</v>
      </c>
      <c r="I49" s="107">
        <v>90.19</v>
      </c>
      <c r="J49" s="107">
        <f>I49-H49</f>
        <v>7.0759999999999934</v>
      </c>
      <c r="K49" s="107">
        <f>J49*0.0973</f>
        <v>0.6884947999999993</v>
      </c>
      <c r="L49" s="180">
        <f>K49*20</f>
        <v>13.769895999999985</v>
      </c>
      <c r="M49" s="107">
        <v>128.9</v>
      </c>
      <c r="N49" s="107">
        <v>3338</v>
      </c>
      <c r="O49" s="107">
        <v>4244</v>
      </c>
      <c r="P49" s="107">
        <v>218.56</v>
      </c>
      <c r="S49" s="107">
        <v>6</v>
      </c>
      <c r="T49" s="107">
        <v>1</v>
      </c>
      <c r="V49" s="107">
        <f>T49/(S49)</f>
        <v>0.16666666666666666</v>
      </c>
    </row>
    <row r="52" spans="2:23" x14ac:dyDescent="0.55000000000000004">
      <c r="K52" t="s">
        <v>166</v>
      </c>
      <c r="L52" s="3">
        <f>(SUM(L7:L9,L10,L12,L15:L16,L21,L23,L26:L27,L32,L34,L36:L37,L40:L43,L44,L48))/(COUNT(L7:L9,L10,L12,L15:L16,L21,L23,L26:L27,L32,L34,L36:L37,L40:L43,L44,L48))</f>
        <v>19.293107333333335</v>
      </c>
      <c r="S52">
        <f>SUM(S2:S48)</f>
        <v>267</v>
      </c>
      <c r="T52">
        <f>SUM(T2:T48)</f>
        <v>29</v>
      </c>
      <c r="V52">
        <f>((SUM(V2:V3,V5:V7,V9,V12,V14:V21,V23:V25,V26:V32,V34,V37,V44:V49,V41))/(COUNT(V2:V3,V5:V7,V9,V12,V14:V21,V23:V25,V26:V32,V34,V37,V44:V49,V41)))*100</f>
        <v>15.808929632459048</v>
      </c>
      <c r="W52">
        <f>(STDEV(V2:V3,V5:V7,V9,V12,V14:V21,V23:V25,V26:V32,V34,V37,V44:V49,V41)/SQRT(COUNT(V2:V3,V5:V7,V9,V12,V14:V21,V23:V25,V26:V32,V34,V37,V44:V49,V41)))*100</f>
        <v>4.0931826829192524</v>
      </c>
    </row>
    <row r="53" spans="2:23" x14ac:dyDescent="0.55000000000000004">
      <c r="K53" t="s">
        <v>434</v>
      </c>
      <c r="L53">
        <f xml:space="preserve"> STDEV(L7:L8,L10,L12,L15:L16,L21,L23,L26:L27)/SQRT(COUNT(L7:L8,L10,L12,L15:L16,L21,L23,L26:L27))</f>
        <v>3.8770121555962263</v>
      </c>
      <c r="S53">
        <f>(T52/S52)*100</f>
        <v>10.861423220973784</v>
      </c>
    </row>
    <row r="59" spans="2:23" x14ac:dyDescent="0.55000000000000004">
      <c r="C59">
        <v>16.727816000000008</v>
      </c>
      <c r="D59">
        <v>16.130394000000003</v>
      </c>
      <c r="E59">
        <v>5.0887899999999897</v>
      </c>
      <c r="F59">
        <v>25.210429999999995</v>
      </c>
      <c r="G59">
        <v>21.104369999999996</v>
      </c>
      <c r="H59">
        <v>49.659974000000005</v>
      </c>
      <c r="I59">
        <v>9.103388000000022</v>
      </c>
      <c r="J59">
        <v>10.757488000000011</v>
      </c>
      <c r="K59">
        <v>37.05767800000001</v>
      </c>
      <c r="L59">
        <v>22.030665999999997</v>
      </c>
      <c r="M59">
        <v>25.57238599999998</v>
      </c>
      <c r="N59">
        <v>28.495278000000003</v>
      </c>
      <c r="O59">
        <v>13.055714000000005</v>
      </c>
      <c r="P59">
        <v>3.4210679999999916</v>
      </c>
      <c r="Q59">
        <v>36.308467999999998</v>
      </c>
      <c r="R59">
        <v>9.153983999999987</v>
      </c>
      <c r="S59">
        <v>13.505239999999997</v>
      </c>
      <c r="T59">
        <v>11.25177200000002</v>
      </c>
      <c r="U59">
        <v>6.0909800000000196</v>
      </c>
      <c r="V59">
        <v>13.203610000000021</v>
      </c>
      <c r="W59">
        <v>32.225759999999973</v>
      </c>
    </row>
  </sheetData>
  <pageMargins left="0.7" right="0.7" top="0.75" bottom="0.75" header="0.3" footer="0.3"/>
  <pageSetup paperSize="9" orientation="portrait" horizontalDpi="4294967293" verticalDpi="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Z50"/>
  <sheetViews>
    <sheetView zoomScale="77" zoomScaleNormal="100" workbookViewId="0">
      <selection activeCell="Z6" sqref="Z6"/>
    </sheetView>
  </sheetViews>
  <sheetFormatPr defaultRowHeight="14.4" x14ac:dyDescent="0.55000000000000004"/>
  <cols>
    <col min="1" max="2" width="3.89453125" customWidth="1"/>
    <col min="3" max="3" width="9.3125" customWidth="1"/>
    <col min="5" max="5" width="10.578125" customWidth="1"/>
    <col min="12" max="12" width="8.83984375" style="3"/>
    <col min="19" max="19" width="9.9453125" customWidth="1"/>
  </cols>
  <sheetData>
    <row r="1" spans="1:26" ht="57.6" x14ac:dyDescent="0.55000000000000004">
      <c r="B1" t="s">
        <v>932</v>
      </c>
      <c r="C1" s="2" t="s">
        <v>0</v>
      </c>
      <c r="D1" s="2" t="s">
        <v>1</v>
      </c>
      <c r="E1" s="2" t="s">
        <v>90</v>
      </c>
      <c r="F1" s="2" t="s">
        <v>88</v>
      </c>
      <c r="G1" s="2" t="s">
        <v>803</v>
      </c>
      <c r="H1" s="2" t="s">
        <v>2</v>
      </c>
      <c r="I1" s="2" t="s">
        <v>3</v>
      </c>
      <c r="J1" s="2" t="s">
        <v>11</v>
      </c>
      <c r="K1" s="2" t="s">
        <v>12</v>
      </c>
      <c r="L1" s="2" t="s">
        <v>4</v>
      </c>
      <c r="M1" s="2" t="s">
        <v>19</v>
      </c>
      <c r="N1" s="2" t="s">
        <v>10</v>
      </c>
      <c r="O1" s="2" t="s">
        <v>8</v>
      </c>
      <c r="P1" s="2" t="s">
        <v>9</v>
      </c>
      <c r="Q1" s="2" t="s">
        <v>123</v>
      </c>
      <c r="R1" s="2" t="s">
        <v>5</v>
      </c>
      <c r="S1" s="2" t="s">
        <v>396</v>
      </c>
      <c r="T1" s="2" t="s">
        <v>397</v>
      </c>
      <c r="Z1" t="s">
        <v>1410</v>
      </c>
    </row>
    <row r="2" spans="1:26" x14ac:dyDescent="0.55000000000000004">
      <c r="B2">
        <v>1</v>
      </c>
      <c r="C2" t="s">
        <v>848</v>
      </c>
      <c r="E2" t="s">
        <v>852</v>
      </c>
      <c r="F2" t="s">
        <v>89</v>
      </c>
      <c r="G2" t="s">
        <v>853</v>
      </c>
      <c r="H2" t="s">
        <v>325</v>
      </c>
      <c r="M2">
        <v>91.33</v>
      </c>
      <c r="S2">
        <v>8</v>
      </c>
      <c r="T2">
        <v>0</v>
      </c>
      <c r="W2">
        <f>T2/S2</f>
        <v>0</v>
      </c>
    </row>
    <row r="3" spans="1:26" x14ac:dyDescent="0.55000000000000004">
      <c r="A3">
        <v>1</v>
      </c>
      <c r="B3">
        <v>2</v>
      </c>
      <c r="C3" t="s">
        <v>854</v>
      </c>
      <c r="E3" t="s">
        <v>852</v>
      </c>
      <c r="F3" t="s">
        <v>89</v>
      </c>
      <c r="G3" t="s">
        <v>853</v>
      </c>
      <c r="H3">
        <v>83.994</v>
      </c>
      <c r="I3">
        <v>100.366</v>
      </c>
      <c r="J3">
        <f t="shared" ref="J3:J9" si="0">I3-H3</f>
        <v>16.372</v>
      </c>
      <c r="K3">
        <f t="shared" ref="K3:K9" si="1">J3*0.0973</f>
        <v>1.5929955999999998</v>
      </c>
      <c r="L3" s="3">
        <f t="shared" ref="L3:L9" si="2">K3*20</f>
        <v>31.859911999999998</v>
      </c>
      <c r="M3">
        <v>155.51</v>
      </c>
      <c r="N3">
        <v>2437</v>
      </c>
      <c r="O3">
        <v>4440</v>
      </c>
      <c r="P3">
        <v>222.01</v>
      </c>
      <c r="Q3">
        <f>P3-M3</f>
        <v>66.5</v>
      </c>
      <c r="R3" t="s">
        <v>858</v>
      </c>
      <c r="S3">
        <v>7</v>
      </c>
      <c r="T3">
        <v>2</v>
      </c>
      <c r="W3">
        <f>T3/S3</f>
        <v>0.2857142857142857</v>
      </c>
    </row>
    <row r="4" spans="1:26" x14ac:dyDescent="0.55000000000000004">
      <c r="A4" s="98"/>
      <c r="B4" s="98"/>
      <c r="C4" s="98" t="s">
        <v>857</v>
      </c>
      <c r="D4" s="98"/>
      <c r="E4" s="98" t="s">
        <v>852</v>
      </c>
      <c r="F4" s="98" t="s">
        <v>89</v>
      </c>
      <c r="G4" s="98" t="s">
        <v>853</v>
      </c>
      <c r="H4" s="98">
        <v>92.367000000000004</v>
      </c>
      <c r="I4" s="98">
        <v>104.071</v>
      </c>
      <c r="J4" s="98">
        <f t="shared" si="0"/>
        <v>11.703999999999994</v>
      </c>
      <c r="K4" s="98">
        <f t="shared" si="1"/>
        <v>1.1387991999999993</v>
      </c>
      <c r="L4" s="102">
        <f t="shared" si="2"/>
        <v>22.775983999999987</v>
      </c>
      <c r="M4" s="98">
        <v>155.51</v>
      </c>
      <c r="N4" s="98">
        <v>2437</v>
      </c>
      <c r="O4" s="98">
        <v>4440</v>
      </c>
      <c r="P4" s="98">
        <v>222.01</v>
      </c>
      <c r="Q4" s="98">
        <f>P4-M4</f>
        <v>66.5</v>
      </c>
      <c r="R4" s="98" t="s">
        <v>858</v>
      </c>
      <c r="S4" s="100"/>
      <c r="T4" s="100"/>
      <c r="U4" s="98"/>
      <c r="V4" s="98"/>
      <c r="X4" s="98"/>
    </row>
    <row r="5" spans="1:26" x14ac:dyDescent="0.55000000000000004">
      <c r="A5">
        <v>2</v>
      </c>
      <c r="C5" t="s">
        <v>855</v>
      </c>
      <c r="E5" t="s">
        <v>852</v>
      </c>
      <c r="F5" t="s">
        <v>89</v>
      </c>
      <c r="G5" t="s">
        <v>853</v>
      </c>
      <c r="H5">
        <v>83.994</v>
      </c>
      <c r="I5">
        <v>93.284999999999997</v>
      </c>
      <c r="J5">
        <f t="shared" si="0"/>
        <v>9.2909999999999968</v>
      </c>
      <c r="K5">
        <f t="shared" si="1"/>
        <v>0.90401429999999972</v>
      </c>
      <c r="L5" s="3">
        <f t="shared" si="2"/>
        <v>18.080285999999994</v>
      </c>
      <c r="M5">
        <v>155.51</v>
      </c>
      <c r="N5">
        <v>2437</v>
      </c>
      <c r="O5">
        <v>5295</v>
      </c>
      <c r="P5">
        <v>264.76</v>
      </c>
      <c r="Q5">
        <f t="shared" ref="Q5:Q12" si="3">P5-M5</f>
        <v>109.25</v>
      </c>
      <c r="R5" t="s">
        <v>858</v>
      </c>
      <c r="S5" s="34"/>
      <c r="T5" s="34"/>
    </row>
    <row r="6" spans="1:26" x14ac:dyDescent="0.55000000000000004">
      <c r="A6" s="98"/>
      <c r="B6" s="98"/>
      <c r="C6" s="98" t="s">
        <v>856</v>
      </c>
      <c r="D6" s="98"/>
      <c r="E6" s="98" t="s">
        <v>852</v>
      </c>
      <c r="F6" s="98" t="s">
        <v>89</v>
      </c>
      <c r="G6" s="98" t="s">
        <v>853</v>
      </c>
      <c r="H6" s="98">
        <v>88.241</v>
      </c>
      <c r="I6" s="98">
        <v>83.316000000000003</v>
      </c>
      <c r="J6" s="98">
        <f t="shared" si="0"/>
        <v>-4.9249999999999972</v>
      </c>
      <c r="K6" s="98">
        <f t="shared" si="1"/>
        <v>-0.4792024999999997</v>
      </c>
      <c r="L6" s="102">
        <f t="shared" si="2"/>
        <v>-9.5840499999999942</v>
      </c>
      <c r="M6" s="98">
        <v>155.51</v>
      </c>
      <c r="N6" s="98">
        <v>2437</v>
      </c>
      <c r="O6" s="98">
        <v>5295</v>
      </c>
      <c r="P6" s="98">
        <v>264.76</v>
      </c>
      <c r="Q6" s="98">
        <f t="shared" si="3"/>
        <v>109.25</v>
      </c>
      <c r="R6" s="98" t="s">
        <v>858</v>
      </c>
      <c r="S6" s="100"/>
      <c r="T6" s="100"/>
      <c r="U6" s="98"/>
      <c r="V6" s="98"/>
      <c r="X6" s="98"/>
    </row>
    <row r="7" spans="1:26" x14ac:dyDescent="0.55000000000000004">
      <c r="A7">
        <v>3</v>
      </c>
      <c r="B7">
        <v>3</v>
      </c>
      <c r="C7" t="s">
        <v>859</v>
      </c>
      <c r="E7" t="s">
        <v>852</v>
      </c>
      <c r="F7" t="s">
        <v>89</v>
      </c>
      <c r="G7" t="s">
        <v>853</v>
      </c>
      <c r="H7">
        <v>82.822999999999993</v>
      </c>
      <c r="I7">
        <v>86.274000000000001</v>
      </c>
      <c r="J7">
        <f t="shared" si="0"/>
        <v>3.4510000000000076</v>
      </c>
      <c r="K7">
        <f t="shared" si="1"/>
        <v>0.33578230000000076</v>
      </c>
      <c r="L7" s="3">
        <f t="shared" si="2"/>
        <v>6.7156460000000155</v>
      </c>
      <c r="M7">
        <v>72.12</v>
      </c>
      <c r="N7">
        <v>1190</v>
      </c>
      <c r="O7">
        <v>4426</v>
      </c>
      <c r="P7">
        <v>216.84</v>
      </c>
      <c r="Q7">
        <f t="shared" si="3"/>
        <v>144.72</v>
      </c>
      <c r="R7" t="s">
        <v>862</v>
      </c>
      <c r="S7">
        <v>6</v>
      </c>
      <c r="T7">
        <v>2</v>
      </c>
      <c r="W7">
        <f>T7/S7</f>
        <v>0.33333333333333331</v>
      </c>
    </row>
    <row r="8" spans="1:26" x14ac:dyDescent="0.55000000000000004">
      <c r="A8" s="7">
        <v>4</v>
      </c>
      <c r="B8" s="7"/>
      <c r="C8" t="s">
        <v>860</v>
      </c>
      <c r="E8" t="s">
        <v>852</v>
      </c>
      <c r="F8" t="s">
        <v>89</v>
      </c>
      <c r="G8" t="s">
        <v>853</v>
      </c>
      <c r="H8" s="85">
        <v>80.793000000000006</v>
      </c>
      <c r="I8" s="85">
        <v>83.007999999999996</v>
      </c>
      <c r="J8">
        <f t="shared" si="0"/>
        <v>2.2149999999999892</v>
      </c>
      <c r="K8">
        <f t="shared" si="1"/>
        <v>0.21551949999999895</v>
      </c>
      <c r="L8" s="3">
        <f t="shared" si="2"/>
        <v>4.3103899999999786</v>
      </c>
      <c r="M8">
        <v>72.12</v>
      </c>
      <c r="N8">
        <v>1190</v>
      </c>
      <c r="O8" s="85">
        <v>4877</v>
      </c>
      <c r="P8">
        <v>238.94</v>
      </c>
      <c r="Q8">
        <f>P8-M8</f>
        <v>166.82</v>
      </c>
      <c r="R8" s="85" t="s">
        <v>863</v>
      </c>
      <c r="S8" s="33"/>
      <c r="T8" s="33"/>
    </row>
    <row r="9" spans="1:26" x14ac:dyDescent="0.55000000000000004">
      <c r="A9" s="98"/>
      <c r="B9" s="98"/>
      <c r="C9" s="98" t="s">
        <v>861</v>
      </c>
      <c r="D9" s="98"/>
      <c r="E9" s="98" t="s">
        <v>852</v>
      </c>
      <c r="F9" s="98" t="s">
        <v>89</v>
      </c>
      <c r="G9" s="98" t="s">
        <v>853</v>
      </c>
      <c r="H9" s="98">
        <v>85.054000000000002</v>
      </c>
      <c r="I9" s="98">
        <v>88.879000000000005</v>
      </c>
      <c r="J9" s="98">
        <f t="shared" si="0"/>
        <v>3.8250000000000028</v>
      </c>
      <c r="K9" s="98">
        <f t="shared" si="1"/>
        <v>0.37217250000000029</v>
      </c>
      <c r="L9" s="102">
        <f t="shared" si="2"/>
        <v>7.4434500000000057</v>
      </c>
      <c r="M9" s="98">
        <v>72.12</v>
      </c>
      <c r="N9" s="98">
        <v>1190</v>
      </c>
      <c r="O9" s="98">
        <v>4877</v>
      </c>
      <c r="P9" s="98">
        <v>238.94</v>
      </c>
      <c r="Q9" s="98">
        <f>P9-M9</f>
        <v>166.82</v>
      </c>
      <c r="R9" s="98" t="s">
        <v>863</v>
      </c>
      <c r="S9" s="101"/>
      <c r="T9" s="101"/>
      <c r="U9" s="98"/>
      <c r="V9" s="98"/>
      <c r="X9" s="98"/>
    </row>
    <row r="10" spans="1:26" x14ac:dyDescent="0.55000000000000004">
      <c r="B10">
        <v>4</v>
      </c>
      <c r="C10" t="s">
        <v>849</v>
      </c>
      <c r="E10" t="s">
        <v>852</v>
      </c>
      <c r="F10" t="s">
        <v>89</v>
      </c>
      <c r="G10" t="s">
        <v>853</v>
      </c>
      <c r="H10" t="s">
        <v>325</v>
      </c>
      <c r="M10">
        <v>111.26</v>
      </c>
      <c r="Q10">
        <f t="shared" si="3"/>
        <v>-111.26</v>
      </c>
      <c r="S10">
        <v>5</v>
      </c>
      <c r="T10">
        <v>0</v>
      </c>
      <c r="W10">
        <f>T10/S10</f>
        <v>0</v>
      </c>
    </row>
    <row r="11" spans="1:26" x14ac:dyDescent="0.55000000000000004">
      <c r="B11">
        <v>5</v>
      </c>
      <c r="C11" t="s">
        <v>850</v>
      </c>
      <c r="E11" t="s">
        <v>852</v>
      </c>
      <c r="F11" t="s">
        <v>89</v>
      </c>
      <c r="G11" t="s">
        <v>853</v>
      </c>
      <c r="H11" t="s">
        <v>325</v>
      </c>
      <c r="M11">
        <v>28.18</v>
      </c>
      <c r="Q11">
        <f t="shared" si="3"/>
        <v>-28.18</v>
      </c>
      <c r="S11">
        <v>10</v>
      </c>
      <c r="T11">
        <v>0</v>
      </c>
      <c r="W11">
        <f>T11/S11</f>
        <v>0</v>
      </c>
    </row>
    <row r="12" spans="1:26" x14ac:dyDescent="0.55000000000000004">
      <c r="A12">
        <v>5</v>
      </c>
      <c r="B12">
        <v>6</v>
      </c>
      <c r="C12" t="s">
        <v>865</v>
      </c>
      <c r="E12" t="s">
        <v>852</v>
      </c>
      <c r="F12" t="s">
        <v>89</v>
      </c>
      <c r="G12" t="s">
        <v>853</v>
      </c>
      <c r="H12">
        <v>88.881</v>
      </c>
      <c r="I12">
        <v>113.872</v>
      </c>
      <c r="J12">
        <f>I12-H12</f>
        <v>24.991</v>
      </c>
      <c r="K12">
        <f>J12*0.0973</f>
        <v>2.4316242999999997</v>
      </c>
      <c r="L12" s="3">
        <f>K12*20</f>
        <v>48.632485999999993</v>
      </c>
      <c r="M12">
        <v>17.77</v>
      </c>
      <c r="N12">
        <v>844</v>
      </c>
      <c r="O12">
        <v>2407</v>
      </c>
      <c r="P12">
        <v>119.78</v>
      </c>
      <c r="Q12">
        <f t="shared" si="3"/>
        <v>102.01</v>
      </c>
      <c r="S12">
        <v>6</v>
      </c>
      <c r="T12">
        <v>3</v>
      </c>
      <c r="W12">
        <f>T12/S12</f>
        <v>0.5</v>
      </c>
    </row>
    <row r="13" spans="1:26" x14ac:dyDescent="0.55000000000000004">
      <c r="A13" s="31"/>
      <c r="B13" s="31"/>
      <c r="C13" s="31" t="s">
        <v>866</v>
      </c>
      <c r="D13" s="31"/>
      <c r="E13" s="31" t="s">
        <v>852</v>
      </c>
      <c r="F13" s="31" t="s">
        <v>89</v>
      </c>
      <c r="G13" s="31" t="s">
        <v>853</v>
      </c>
      <c r="H13" s="31">
        <v>81.070999999999998</v>
      </c>
      <c r="I13" s="31">
        <v>102.04300000000001</v>
      </c>
      <c r="J13" s="31">
        <f>I13-H13</f>
        <v>20.972000000000008</v>
      </c>
      <c r="K13" s="31">
        <f>J13*0.0973</f>
        <v>2.0405756000000008</v>
      </c>
      <c r="L13" s="32">
        <f>K13*20</f>
        <v>40.811512000000015</v>
      </c>
      <c r="M13" s="31">
        <v>17.77</v>
      </c>
      <c r="N13" s="31">
        <v>844</v>
      </c>
      <c r="O13" s="31">
        <v>2407</v>
      </c>
      <c r="P13" s="31">
        <v>119.78</v>
      </c>
      <c r="Q13" s="31">
        <f>P13-M13</f>
        <v>102.01</v>
      </c>
      <c r="R13" s="31"/>
      <c r="S13" s="106"/>
      <c r="T13" s="106"/>
      <c r="U13" s="31"/>
      <c r="V13" s="31"/>
      <c r="X13" s="31"/>
    </row>
    <row r="14" spans="1:26" x14ac:dyDescent="0.55000000000000004">
      <c r="A14">
        <v>6</v>
      </c>
      <c r="C14" t="s">
        <v>867</v>
      </c>
      <c r="E14" t="s">
        <v>852</v>
      </c>
      <c r="F14" t="s">
        <v>89</v>
      </c>
      <c r="G14" t="s">
        <v>853</v>
      </c>
      <c r="H14">
        <v>83.89</v>
      </c>
      <c r="I14">
        <v>97.27</v>
      </c>
      <c r="J14">
        <f>I14-H14</f>
        <v>13.379999999999995</v>
      </c>
      <c r="K14">
        <f>J14*0.0973</f>
        <v>1.3018739999999995</v>
      </c>
      <c r="L14" s="3">
        <f>K14*20</f>
        <v>26.037479999999992</v>
      </c>
      <c r="M14">
        <v>17.77</v>
      </c>
      <c r="N14">
        <v>419</v>
      </c>
      <c r="O14">
        <v>2896</v>
      </c>
      <c r="P14">
        <v>144.12</v>
      </c>
      <c r="Q14">
        <f>P14-M14</f>
        <v>126.35000000000001</v>
      </c>
      <c r="R14" t="s">
        <v>869</v>
      </c>
      <c r="S14" s="34"/>
      <c r="T14" s="34"/>
    </row>
    <row r="15" spans="1:26" x14ac:dyDescent="0.55000000000000004">
      <c r="A15">
        <v>7</v>
      </c>
      <c r="C15" t="s">
        <v>868</v>
      </c>
      <c r="E15" t="s">
        <v>852</v>
      </c>
      <c r="F15" t="s">
        <v>89</v>
      </c>
      <c r="G15" t="s">
        <v>853</v>
      </c>
      <c r="H15">
        <v>83.89</v>
      </c>
      <c r="I15">
        <v>95.066999999999993</v>
      </c>
      <c r="J15">
        <f>I15-H15</f>
        <v>11.176999999999992</v>
      </c>
      <c r="K15">
        <f>J15*0.0973</f>
        <v>1.0875220999999993</v>
      </c>
      <c r="L15" s="3">
        <f>K15*20</f>
        <v>21.750441999999985</v>
      </c>
      <c r="M15">
        <v>17.77</v>
      </c>
      <c r="N15">
        <v>419</v>
      </c>
      <c r="O15">
        <v>3604</v>
      </c>
      <c r="P15">
        <v>179.35</v>
      </c>
      <c r="Q15">
        <f t="shared" ref="Q15:Q21" si="4">P15-M15</f>
        <v>161.57999999999998</v>
      </c>
      <c r="S15" s="34"/>
      <c r="T15" s="34"/>
    </row>
    <row r="16" spans="1:26" x14ac:dyDescent="0.55000000000000004">
      <c r="B16">
        <v>7</v>
      </c>
      <c r="C16" t="s">
        <v>851</v>
      </c>
      <c r="E16" t="s">
        <v>852</v>
      </c>
      <c r="F16" t="s">
        <v>89</v>
      </c>
      <c r="G16" t="s">
        <v>853</v>
      </c>
      <c r="H16" t="s">
        <v>325</v>
      </c>
      <c r="M16">
        <v>205.49</v>
      </c>
      <c r="S16">
        <v>13</v>
      </c>
      <c r="T16">
        <v>0</v>
      </c>
      <c r="W16">
        <f>T16/S16</f>
        <v>0</v>
      </c>
    </row>
    <row r="17" spans="1:24" x14ac:dyDescent="0.55000000000000004">
      <c r="A17">
        <v>8</v>
      </c>
      <c r="B17">
        <v>8</v>
      </c>
      <c r="C17" t="s">
        <v>876</v>
      </c>
      <c r="E17" t="s">
        <v>852</v>
      </c>
      <c r="F17" t="s">
        <v>89</v>
      </c>
      <c r="G17" t="s">
        <v>853</v>
      </c>
      <c r="H17">
        <v>74.186999999999998</v>
      </c>
      <c r="I17">
        <v>99.828000000000003</v>
      </c>
      <c r="J17">
        <f t="shared" ref="J17:J26" si="5">I17-H17</f>
        <v>25.641000000000005</v>
      </c>
      <c r="K17">
        <f t="shared" ref="K17:K26" si="6">J17*0.0973</f>
        <v>2.4948693000000004</v>
      </c>
      <c r="L17" s="3">
        <f t="shared" ref="L17:L26" si="7">K17*20</f>
        <v>49.897386000000012</v>
      </c>
      <c r="M17">
        <v>47.46</v>
      </c>
      <c r="N17">
        <v>93</v>
      </c>
      <c r="O17">
        <v>1730</v>
      </c>
      <c r="P17">
        <v>88.86</v>
      </c>
      <c r="Q17">
        <f t="shared" si="4"/>
        <v>41.4</v>
      </c>
      <c r="S17">
        <v>11</v>
      </c>
      <c r="T17">
        <v>3</v>
      </c>
      <c r="W17">
        <f>T17/S17</f>
        <v>0.27272727272727271</v>
      </c>
    </row>
    <row r="18" spans="1:24" x14ac:dyDescent="0.55000000000000004">
      <c r="A18">
        <v>9</v>
      </c>
      <c r="C18" t="s">
        <v>877</v>
      </c>
      <c r="E18" t="s">
        <v>852</v>
      </c>
      <c r="F18" t="s">
        <v>89</v>
      </c>
      <c r="G18" t="s">
        <v>853</v>
      </c>
      <c r="H18">
        <v>74.186999999999998</v>
      </c>
      <c r="I18">
        <v>94.322000000000003</v>
      </c>
      <c r="J18">
        <f t="shared" si="5"/>
        <v>20.135000000000005</v>
      </c>
      <c r="K18">
        <f t="shared" si="6"/>
        <v>1.9591355000000004</v>
      </c>
      <c r="L18" s="3">
        <f t="shared" si="7"/>
        <v>39.182710000000007</v>
      </c>
      <c r="M18">
        <v>47.46</v>
      </c>
      <c r="N18">
        <v>93</v>
      </c>
      <c r="O18">
        <v>2152</v>
      </c>
      <c r="P18">
        <v>110.54</v>
      </c>
      <c r="Q18">
        <f t="shared" si="4"/>
        <v>63.080000000000005</v>
      </c>
      <c r="R18" t="s">
        <v>269</v>
      </c>
      <c r="S18" s="34"/>
      <c r="T18" s="34"/>
    </row>
    <row r="19" spans="1:24" x14ac:dyDescent="0.55000000000000004">
      <c r="A19">
        <v>10</v>
      </c>
      <c r="C19" t="s">
        <v>878</v>
      </c>
      <c r="E19" t="s">
        <v>852</v>
      </c>
      <c r="F19" t="s">
        <v>89</v>
      </c>
      <c r="G19" t="s">
        <v>853</v>
      </c>
      <c r="H19">
        <v>79.52</v>
      </c>
      <c r="I19">
        <v>90.837000000000003</v>
      </c>
      <c r="J19">
        <f t="shared" si="5"/>
        <v>11.317000000000007</v>
      </c>
      <c r="K19">
        <f t="shared" si="6"/>
        <v>1.1011441000000006</v>
      </c>
      <c r="L19" s="3">
        <f t="shared" si="7"/>
        <v>22.022882000000013</v>
      </c>
      <c r="M19">
        <v>47.46</v>
      </c>
      <c r="N19">
        <v>1646</v>
      </c>
      <c r="O19">
        <v>2737</v>
      </c>
      <c r="P19">
        <v>140.59</v>
      </c>
      <c r="Q19">
        <f t="shared" si="4"/>
        <v>93.13</v>
      </c>
      <c r="R19" t="s">
        <v>269</v>
      </c>
      <c r="S19" s="34"/>
      <c r="T19" s="34"/>
    </row>
    <row r="20" spans="1:24" x14ac:dyDescent="0.55000000000000004">
      <c r="A20">
        <v>11</v>
      </c>
      <c r="B20">
        <v>9</v>
      </c>
      <c r="C20" t="s">
        <v>879</v>
      </c>
      <c r="E20" t="s">
        <v>852</v>
      </c>
      <c r="F20" t="s">
        <v>89</v>
      </c>
      <c r="G20" t="s">
        <v>853</v>
      </c>
      <c r="H20">
        <v>88.409000000000006</v>
      </c>
      <c r="I20">
        <v>90.953999999999994</v>
      </c>
      <c r="J20">
        <f t="shared" si="5"/>
        <v>2.5449999999999875</v>
      </c>
      <c r="K20">
        <f t="shared" si="6"/>
        <v>0.24762849999999878</v>
      </c>
      <c r="L20" s="3">
        <f t="shared" si="7"/>
        <v>4.9525699999999757</v>
      </c>
      <c r="M20">
        <v>16.27</v>
      </c>
      <c r="N20">
        <v>613</v>
      </c>
      <c r="O20">
        <v>1414</v>
      </c>
      <c r="P20">
        <v>71.459999999999994</v>
      </c>
      <c r="Q20">
        <f t="shared" si="4"/>
        <v>55.19</v>
      </c>
      <c r="S20">
        <v>4</v>
      </c>
      <c r="T20">
        <v>2</v>
      </c>
      <c r="U20" t="s">
        <v>881</v>
      </c>
      <c r="W20">
        <f>T20/S20</f>
        <v>0.5</v>
      </c>
    </row>
    <row r="21" spans="1:24" x14ac:dyDescent="0.55000000000000004">
      <c r="A21">
        <v>12</v>
      </c>
      <c r="C21" t="s">
        <v>880</v>
      </c>
      <c r="E21" t="s">
        <v>852</v>
      </c>
      <c r="F21" t="s">
        <v>89</v>
      </c>
      <c r="G21" t="s">
        <v>853</v>
      </c>
      <c r="H21">
        <v>84.722999999999999</v>
      </c>
      <c r="I21">
        <v>106.96</v>
      </c>
      <c r="J21">
        <f t="shared" si="5"/>
        <v>22.236999999999995</v>
      </c>
      <c r="K21">
        <f t="shared" si="6"/>
        <v>2.1636600999999995</v>
      </c>
      <c r="L21" s="3">
        <f t="shared" si="7"/>
        <v>43.273201999999991</v>
      </c>
      <c r="M21">
        <v>16.27</v>
      </c>
      <c r="N21">
        <v>723</v>
      </c>
      <c r="O21">
        <v>3111</v>
      </c>
      <c r="P21">
        <v>157.22</v>
      </c>
      <c r="Q21">
        <f t="shared" si="4"/>
        <v>140.94999999999999</v>
      </c>
      <c r="S21" s="34"/>
      <c r="T21" s="34"/>
    </row>
    <row r="22" spans="1:24" x14ac:dyDescent="0.55000000000000004">
      <c r="A22">
        <v>13</v>
      </c>
      <c r="B22">
        <v>10</v>
      </c>
      <c r="C22" t="s">
        <v>882</v>
      </c>
      <c r="E22" t="s">
        <v>852</v>
      </c>
      <c r="F22" t="s">
        <v>89</v>
      </c>
      <c r="G22" t="s">
        <v>853</v>
      </c>
      <c r="H22">
        <v>66.95</v>
      </c>
      <c r="I22">
        <v>67.418999999999997</v>
      </c>
      <c r="J22">
        <f t="shared" si="5"/>
        <v>0.46899999999999409</v>
      </c>
      <c r="K22">
        <f t="shared" si="6"/>
        <v>4.5633699999999423E-2</v>
      </c>
      <c r="L22" s="3">
        <f t="shared" si="7"/>
        <v>0.91267399999998844</v>
      </c>
      <c r="M22" t="s">
        <v>150</v>
      </c>
      <c r="N22">
        <v>194</v>
      </c>
      <c r="O22">
        <v>1058</v>
      </c>
      <c r="P22">
        <v>49.01</v>
      </c>
      <c r="S22">
        <v>9</v>
      </c>
      <c r="T22">
        <v>5</v>
      </c>
      <c r="W22">
        <f>T22/S22</f>
        <v>0.55555555555555558</v>
      </c>
    </row>
    <row r="23" spans="1:24" x14ac:dyDescent="0.55000000000000004">
      <c r="A23">
        <v>14</v>
      </c>
      <c r="C23" t="s">
        <v>883</v>
      </c>
      <c r="E23" t="s">
        <v>852</v>
      </c>
      <c r="F23" t="s">
        <v>89</v>
      </c>
      <c r="G23" t="s">
        <v>853</v>
      </c>
      <c r="H23">
        <v>78.171000000000006</v>
      </c>
      <c r="I23">
        <v>93.957999999999998</v>
      </c>
      <c r="J23">
        <f t="shared" si="5"/>
        <v>15.786999999999992</v>
      </c>
      <c r="K23">
        <f t="shared" si="6"/>
        <v>1.5360750999999992</v>
      </c>
      <c r="L23" s="3">
        <f t="shared" si="7"/>
        <v>30.721501999999987</v>
      </c>
      <c r="M23" t="s">
        <v>150</v>
      </c>
      <c r="N23">
        <v>194</v>
      </c>
      <c r="O23">
        <v>1662</v>
      </c>
      <c r="P23">
        <v>49.01</v>
      </c>
      <c r="R23" t="s">
        <v>888</v>
      </c>
      <c r="S23" s="34"/>
      <c r="T23" s="34"/>
    </row>
    <row r="24" spans="1:24" x14ac:dyDescent="0.55000000000000004">
      <c r="A24">
        <v>15</v>
      </c>
      <c r="C24" t="s">
        <v>884</v>
      </c>
      <c r="E24" t="s">
        <v>852</v>
      </c>
      <c r="F24" t="s">
        <v>89</v>
      </c>
      <c r="G24" t="s">
        <v>853</v>
      </c>
      <c r="H24">
        <v>78.171000000000006</v>
      </c>
      <c r="I24">
        <v>94.686000000000007</v>
      </c>
      <c r="J24">
        <f t="shared" si="5"/>
        <v>16.515000000000001</v>
      </c>
      <c r="K24">
        <f t="shared" si="6"/>
        <v>1.6069095</v>
      </c>
      <c r="L24" s="3">
        <f t="shared" si="7"/>
        <v>32.138190000000002</v>
      </c>
      <c r="M24" t="s">
        <v>150</v>
      </c>
      <c r="N24">
        <v>96</v>
      </c>
      <c r="O24">
        <v>1973</v>
      </c>
      <c r="P24">
        <v>91.4</v>
      </c>
      <c r="R24" t="s">
        <v>888</v>
      </c>
      <c r="S24" s="34"/>
      <c r="T24" s="34"/>
    </row>
    <row r="25" spans="1:24" x14ac:dyDescent="0.55000000000000004">
      <c r="A25">
        <v>16</v>
      </c>
      <c r="C25" t="s">
        <v>885</v>
      </c>
      <c r="E25" t="s">
        <v>852</v>
      </c>
      <c r="F25" t="s">
        <v>89</v>
      </c>
      <c r="G25" t="s">
        <v>853</v>
      </c>
      <c r="H25">
        <v>77.521000000000001</v>
      </c>
      <c r="I25">
        <v>96.24</v>
      </c>
      <c r="J25">
        <f t="shared" si="5"/>
        <v>18.718999999999994</v>
      </c>
      <c r="K25">
        <f t="shared" si="6"/>
        <v>1.8213586999999993</v>
      </c>
      <c r="L25" s="3">
        <f t="shared" si="7"/>
        <v>36.427173999999987</v>
      </c>
      <c r="M25" t="s">
        <v>150</v>
      </c>
      <c r="N25">
        <v>1676</v>
      </c>
      <c r="O25">
        <v>3122</v>
      </c>
      <c r="P25">
        <v>144.63</v>
      </c>
      <c r="S25" s="34"/>
      <c r="T25" s="34"/>
    </row>
    <row r="26" spans="1:24" x14ac:dyDescent="0.55000000000000004">
      <c r="A26">
        <v>17</v>
      </c>
      <c r="C26" t="s">
        <v>887</v>
      </c>
      <c r="E26" t="s">
        <v>852</v>
      </c>
      <c r="F26" t="s">
        <v>89</v>
      </c>
      <c r="G26" t="s">
        <v>853</v>
      </c>
      <c r="H26">
        <v>77.521000000000001</v>
      </c>
      <c r="I26">
        <v>89.162999999999997</v>
      </c>
      <c r="J26">
        <f t="shared" si="5"/>
        <v>11.641999999999996</v>
      </c>
      <c r="K26">
        <f t="shared" si="6"/>
        <v>1.1327665999999996</v>
      </c>
      <c r="L26" s="3">
        <f t="shared" si="7"/>
        <v>22.655331999999994</v>
      </c>
      <c r="M26" t="s">
        <v>150</v>
      </c>
      <c r="N26">
        <v>1676</v>
      </c>
      <c r="O26">
        <v>3669</v>
      </c>
      <c r="P26">
        <v>169.97</v>
      </c>
      <c r="R26" t="s">
        <v>886</v>
      </c>
      <c r="S26" s="34"/>
      <c r="T26" s="34"/>
    </row>
    <row r="27" spans="1:24" x14ac:dyDescent="0.55000000000000004">
      <c r="B27">
        <v>11</v>
      </c>
      <c r="C27" t="s">
        <v>889</v>
      </c>
      <c r="E27" t="s">
        <v>852</v>
      </c>
      <c r="F27" t="s">
        <v>89</v>
      </c>
      <c r="G27" t="s">
        <v>853</v>
      </c>
      <c r="H27" t="s">
        <v>325</v>
      </c>
      <c r="M27">
        <v>37.86</v>
      </c>
      <c r="S27">
        <v>11</v>
      </c>
      <c r="T27">
        <v>0</v>
      </c>
      <c r="W27">
        <f>T27/S27</f>
        <v>0</v>
      </c>
    </row>
    <row r="31" spans="1:24" x14ac:dyDescent="0.55000000000000004">
      <c r="K31" t="s">
        <v>225</v>
      </c>
      <c r="L31" s="3">
        <f>(SUM(L3,L5,L7:L8,L12,L14:L15,L17:L26))/(COUNT(L3,L5,L7:L8,L12,L14:L15,L17:L26))</f>
        <v>25.857074352941169</v>
      </c>
      <c r="M31">
        <f xml:space="preserve"> STDEV(L3,L5,L7:L8,L12,L14:L15)/SQRT(COUNT(L3,L5,L7:L8,L12,L14:L15))</f>
        <v>5.7386122397514656</v>
      </c>
      <c r="S31">
        <f>SUM(S2:S30)</f>
        <v>90</v>
      </c>
      <c r="T31">
        <f>SUM(T2:T30)</f>
        <v>17</v>
      </c>
      <c r="W31">
        <f>(SUM(W27,W22,W20,W17,W16,W10:W12,W7,W2:W3)/COUNT(W27,W22,W20,W17,W16,W10:W12,W7,W2:W3))*100</f>
        <v>22.248458612094975</v>
      </c>
      <c r="X31">
        <f>(STDEV(W27,W22,W20,W17,W16,W10:W12,W7,W2:W3)/SQRT(COUNT(W27,W22,W20,W17,W16,W10:W12,W7,W2:W3)))*100</f>
        <v>6.9496409527577265</v>
      </c>
    </row>
    <row r="32" spans="1:24" x14ac:dyDescent="0.55000000000000004">
      <c r="T32">
        <f>(T31/S31)*100</f>
        <v>18.888888888888889</v>
      </c>
    </row>
    <row r="33" spans="3:19" x14ac:dyDescent="0.55000000000000004">
      <c r="C33">
        <v>31.859911999999998</v>
      </c>
      <c r="D33">
        <v>18.080285999999994</v>
      </c>
      <c r="E33">
        <v>6.7156460000000155</v>
      </c>
      <c r="F33">
        <v>4.3103899999999786</v>
      </c>
      <c r="G33">
        <v>48.632485999999993</v>
      </c>
      <c r="H33">
        <v>26.037479999999992</v>
      </c>
      <c r="I33">
        <v>21.750441999999985</v>
      </c>
      <c r="J33">
        <v>49.897386000000012</v>
      </c>
      <c r="K33">
        <v>39.182710000000007</v>
      </c>
      <c r="L33">
        <v>22.022882000000013</v>
      </c>
      <c r="M33">
        <v>4.9525699999999757</v>
      </c>
      <c r="N33">
        <v>43.273201999999991</v>
      </c>
      <c r="O33">
        <v>0.91267399999998844</v>
      </c>
      <c r="P33">
        <v>30.721501999999987</v>
      </c>
      <c r="Q33">
        <v>32.138190000000002</v>
      </c>
      <c r="R33">
        <v>36.427173999999987</v>
      </c>
      <c r="S33">
        <v>22.655331999999994</v>
      </c>
    </row>
    <row r="41" spans="3:19" s="98" customFormat="1" x14ac:dyDescent="0.55000000000000004"/>
    <row r="43" spans="3:19" s="98" customFormat="1" x14ac:dyDescent="0.55000000000000004"/>
    <row r="46" spans="3:19" s="98" customFormat="1" x14ac:dyDescent="0.55000000000000004"/>
    <row r="50" s="31" customFormat="1" x14ac:dyDescent="0.55000000000000004"/>
  </sheetData>
  <pageMargins left="0.7" right="0.7" top="0.75" bottom="0.75" header="0.3" footer="0.3"/>
  <pageSetup paperSize="9" orientation="portrait" horizontalDpi="4294967293" verticalDpi="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Y71"/>
  <sheetViews>
    <sheetView topLeftCell="A33" zoomScale="70" zoomScaleNormal="70" workbookViewId="0">
      <selection activeCell="AB48" sqref="AB48"/>
    </sheetView>
  </sheetViews>
  <sheetFormatPr defaultRowHeight="14.4" x14ac:dyDescent="0.55000000000000004"/>
  <cols>
    <col min="1" max="2" width="3.578125" customWidth="1"/>
    <col min="3" max="3" width="12.26171875" customWidth="1"/>
    <col min="5" max="5" width="9.7890625" customWidth="1"/>
    <col min="11" max="11" width="8.83984375" style="3"/>
    <col min="14" max="14" width="11.1015625" customWidth="1"/>
    <col min="15" max="15" width="10.68359375" customWidth="1"/>
    <col min="16" max="16" width="10.3671875" customWidth="1"/>
    <col min="18" max="18" width="9.9453125" customWidth="1"/>
    <col min="20" max="20" width="32.5234375" customWidth="1"/>
  </cols>
  <sheetData>
    <row r="1" spans="1:24" ht="72" x14ac:dyDescent="0.55000000000000004">
      <c r="A1" s="114" t="s">
        <v>923</v>
      </c>
      <c r="B1" s="114" t="s">
        <v>922</v>
      </c>
      <c r="C1" s="115" t="s">
        <v>0</v>
      </c>
      <c r="D1" s="115" t="s">
        <v>1</v>
      </c>
      <c r="E1" s="115" t="s">
        <v>90</v>
      </c>
      <c r="F1" s="115" t="s">
        <v>88</v>
      </c>
      <c r="G1" s="115" t="s">
        <v>2</v>
      </c>
      <c r="H1" s="115" t="s">
        <v>3</v>
      </c>
      <c r="I1" s="115" t="s">
        <v>11</v>
      </c>
      <c r="J1" s="115" t="s">
        <v>12</v>
      </c>
      <c r="K1" s="115" t="s">
        <v>4</v>
      </c>
      <c r="L1" s="115" t="s">
        <v>19</v>
      </c>
      <c r="M1" s="115" t="s">
        <v>10</v>
      </c>
      <c r="N1" s="115" t="s">
        <v>8</v>
      </c>
      <c r="O1" s="115" t="s">
        <v>9</v>
      </c>
      <c r="P1" s="115" t="s">
        <v>123</v>
      </c>
      <c r="Q1" s="115" t="s">
        <v>5</v>
      </c>
      <c r="R1" s="115" t="s">
        <v>396</v>
      </c>
      <c r="S1" s="115" t="s">
        <v>397</v>
      </c>
      <c r="T1" s="115" t="s">
        <v>925</v>
      </c>
      <c r="U1" s="114" t="s">
        <v>1027</v>
      </c>
      <c r="V1" s="116" t="s">
        <v>1050</v>
      </c>
    </row>
    <row r="2" spans="1:24" x14ac:dyDescent="0.55000000000000004">
      <c r="A2" s="114">
        <v>1</v>
      </c>
      <c r="B2" s="114">
        <v>1</v>
      </c>
      <c r="C2" s="114" t="s">
        <v>893</v>
      </c>
      <c r="D2" s="114"/>
      <c r="E2" s="114" t="s">
        <v>916</v>
      </c>
      <c r="F2" s="114" t="s">
        <v>895</v>
      </c>
      <c r="G2" s="114">
        <v>82.332999999999998</v>
      </c>
      <c r="H2" s="114">
        <v>95.950999999999993</v>
      </c>
      <c r="I2" s="114">
        <f>H2-G2</f>
        <v>13.617999999999995</v>
      </c>
      <c r="J2" s="114">
        <f>I2*0.0973</f>
        <v>1.3250313999999994</v>
      </c>
      <c r="K2" s="139">
        <f>J2*20</f>
        <v>26.500627999999988</v>
      </c>
      <c r="L2" s="114">
        <v>8.5299999999999994</v>
      </c>
      <c r="M2" s="114">
        <v>363</v>
      </c>
      <c r="N2" s="114">
        <v>1576</v>
      </c>
      <c r="O2" s="114">
        <v>79.540000000000006</v>
      </c>
      <c r="P2" s="114">
        <f>O2-L2</f>
        <v>71.010000000000005</v>
      </c>
      <c r="Q2" s="114"/>
      <c r="R2" s="114">
        <v>8</v>
      </c>
      <c r="S2" s="114">
        <v>1</v>
      </c>
      <c r="T2" s="114"/>
      <c r="U2" s="114"/>
      <c r="X2">
        <f>S2/R2</f>
        <v>0.125</v>
      </c>
    </row>
    <row r="3" spans="1:24" s="31" customFormat="1" x14ac:dyDescent="0.55000000000000004">
      <c r="A3" s="127"/>
      <c r="B3" s="127"/>
      <c r="C3" s="127" t="s">
        <v>894</v>
      </c>
      <c r="D3" s="127"/>
      <c r="E3" s="114" t="s">
        <v>916</v>
      </c>
      <c r="F3" s="127" t="s">
        <v>895</v>
      </c>
      <c r="G3" s="127">
        <v>78.775000000000006</v>
      </c>
      <c r="H3" s="127">
        <v>84.259</v>
      </c>
      <c r="I3" s="127">
        <f>H3-G3</f>
        <v>5.4839999999999947</v>
      </c>
      <c r="J3" s="127">
        <f>I3*0.0973</f>
        <v>0.53359319999999943</v>
      </c>
      <c r="K3" s="140">
        <f>J3*20</f>
        <v>10.671863999999989</v>
      </c>
      <c r="L3" s="127">
        <v>8.5299999999999994</v>
      </c>
      <c r="M3" s="127">
        <v>363</v>
      </c>
      <c r="N3" s="127">
        <v>1576</v>
      </c>
      <c r="O3" s="127">
        <v>79.540000000000006</v>
      </c>
      <c r="P3" s="127">
        <f>O3-L3</f>
        <v>71.010000000000005</v>
      </c>
      <c r="Q3" s="127"/>
      <c r="R3" s="128"/>
      <c r="S3" s="128"/>
      <c r="T3" s="127"/>
      <c r="U3" s="127"/>
      <c r="X3"/>
    </row>
    <row r="4" spans="1:24" x14ac:dyDescent="0.55000000000000004">
      <c r="A4" s="114"/>
      <c r="B4" s="114">
        <v>2</v>
      </c>
      <c r="C4" s="114" t="s">
        <v>896</v>
      </c>
      <c r="D4" s="114"/>
      <c r="E4" s="114" t="s">
        <v>916</v>
      </c>
      <c r="F4" s="114" t="s">
        <v>895</v>
      </c>
      <c r="G4" s="114" t="s">
        <v>325</v>
      </c>
      <c r="H4" s="114"/>
      <c r="I4" s="114"/>
      <c r="J4" s="114"/>
      <c r="K4" s="139"/>
      <c r="L4" s="114">
        <v>68.97</v>
      </c>
      <c r="M4" s="114"/>
      <c r="N4" s="114"/>
      <c r="O4" s="114"/>
      <c r="P4" s="127"/>
      <c r="Q4" s="114"/>
      <c r="R4" s="114">
        <v>10</v>
      </c>
      <c r="S4" s="114">
        <v>0</v>
      </c>
      <c r="T4" s="114"/>
      <c r="U4" s="114"/>
      <c r="X4">
        <f>S4/R4</f>
        <v>0</v>
      </c>
    </row>
    <row r="5" spans="1:24" x14ac:dyDescent="0.55000000000000004">
      <c r="A5" s="114"/>
      <c r="B5" s="114">
        <v>3</v>
      </c>
      <c r="C5" s="114" t="s">
        <v>897</v>
      </c>
      <c r="D5" s="114"/>
      <c r="E5" s="114" t="s">
        <v>916</v>
      </c>
      <c r="F5" s="114" t="s">
        <v>895</v>
      </c>
      <c r="G5" s="114" t="s">
        <v>325</v>
      </c>
      <c r="H5" s="114"/>
      <c r="I5" s="114"/>
      <c r="J5" s="114"/>
      <c r="K5" s="139"/>
      <c r="L5" s="114">
        <v>214.11</v>
      </c>
      <c r="M5" s="114"/>
      <c r="N5" s="114"/>
      <c r="O5" s="114"/>
      <c r="P5" s="127"/>
      <c r="Q5" s="114"/>
      <c r="R5" s="114">
        <v>7</v>
      </c>
      <c r="S5" s="114">
        <v>0</v>
      </c>
      <c r="T5" s="114"/>
      <c r="U5" s="114"/>
      <c r="X5">
        <f>S5/R5</f>
        <v>0</v>
      </c>
    </row>
    <row r="6" spans="1:24" x14ac:dyDescent="0.55000000000000004">
      <c r="A6" s="129">
        <v>2</v>
      </c>
      <c r="B6" s="114">
        <v>4</v>
      </c>
      <c r="C6" s="114" t="s">
        <v>899</v>
      </c>
      <c r="D6" s="114"/>
      <c r="E6" s="114" t="s">
        <v>916</v>
      </c>
      <c r="F6" s="114" t="s">
        <v>895</v>
      </c>
      <c r="G6" s="114">
        <v>79.546000000000006</v>
      </c>
      <c r="H6" s="114">
        <v>106.006</v>
      </c>
      <c r="I6" s="114">
        <f>H6-G6</f>
        <v>26.459999999999994</v>
      </c>
      <c r="J6" s="114">
        <f>I6*0.0973</f>
        <v>2.5745579999999992</v>
      </c>
      <c r="K6" s="139">
        <f>J6*20</f>
        <v>51.491159999999986</v>
      </c>
      <c r="L6" s="114">
        <v>24.7</v>
      </c>
      <c r="M6" s="114">
        <v>416</v>
      </c>
      <c r="N6" s="114">
        <v>949</v>
      </c>
      <c r="O6" s="114">
        <v>46.42</v>
      </c>
      <c r="P6" s="127">
        <f>O6-L6</f>
        <v>21.720000000000002</v>
      </c>
      <c r="Q6" s="114" t="s">
        <v>898</v>
      </c>
      <c r="R6" s="114">
        <v>11</v>
      </c>
      <c r="S6" s="114">
        <v>4</v>
      </c>
      <c r="T6" s="114" t="s">
        <v>903</v>
      </c>
      <c r="U6" s="114"/>
      <c r="X6">
        <f>S6/R6</f>
        <v>0.36363636363636365</v>
      </c>
    </row>
    <row r="7" spans="1:24" x14ac:dyDescent="0.55000000000000004">
      <c r="A7" s="129">
        <v>3</v>
      </c>
      <c r="B7" s="114"/>
      <c r="C7" s="114" t="s">
        <v>900</v>
      </c>
      <c r="D7" s="114"/>
      <c r="E7" s="114" t="s">
        <v>916</v>
      </c>
      <c r="F7" s="114" t="s">
        <v>895</v>
      </c>
      <c r="G7" s="114">
        <v>79.546000000000006</v>
      </c>
      <c r="H7" s="114">
        <v>85.653000000000006</v>
      </c>
      <c r="I7" s="114">
        <f>H7-G7</f>
        <v>6.1069999999999993</v>
      </c>
      <c r="J7" s="114">
        <f>I7*0.0973</f>
        <v>0.59421109999999988</v>
      </c>
      <c r="K7" s="139">
        <f>J7*20</f>
        <v>11.884221999999998</v>
      </c>
      <c r="L7" s="114">
        <v>24.7</v>
      </c>
      <c r="M7" s="114">
        <v>416</v>
      </c>
      <c r="N7" s="114">
        <v>2893</v>
      </c>
      <c r="O7" s="114">
        <v>141.5</v>
      </c>
      <c r="P7" s="127">
        <f>O7-L7</f>
        <v>116.8</v>
      </c>
      <c r="Q7" s="114" t="s">
        <v>898</v>
      </c>
      <c r="R7" s="130"/>
      <c r="S7" s="130"/>
      <c r="T7" s="114"/>
      <c r="U7" s="114"/>
    </row>
    <row r="8" spans="1:24" x14ac:dyDescent="0.55000000000000004">
      <c r="A8" s="129">
        <v>4</v>
      </c>
      <c r="B8" s="114"/>
      <c r="C8" s="114" t="s">
        <v>901</v>
      </c>
      <c r="D8" s="114"/>
      <c r="E8" s="114" t="s">
        <v>916</v>
      </c>
      <c r="F8" s="114" t="s">
        <v>895</v>
      </c>
      <c r="G8" s="114">
        <v>80.433000000000007</v>
      </c>
      <c r="H8" s="114">
        <v>90.546999999999997</v>
      </c>
      <c r="I8" s="114">
        <f>H8-G8</f>
        <v>10.11399999999999</v>
      </c>
      <c r="J8" s="114">
        <f>I8*0.0973</f>
        <v>0.98409219999999897</v>
      </c>
      <c r="K8" s="139">
        <f>J8*20</f>
        <v>19.68184399999998</v>
      </c>
      <c r="L8" s="114">
        <v>24.7</v>
      </c>
      <c r="M8" s="114">
        <v>1557</v>
      </c>
      <c r="N8" s="114">
        <v>3797</v>
      </c>
      <c r="O8" s="114">
        <v>185.72</v>
      </c>
      <c r="P8" s="127">
        <f>O8-L8</f>
        <v>161.02000000000001</v>
      </c>
      <c r="Q8" s="114" t="s">
        <v>902</v>
      </c>
      <c r="R8" s="130"/>
      <c r="S8" s="130"/>
      <c r="T8" s="114"/>
      <c r="U8" s="114"/>
    </row>
    <row r="9" spans="1:24" x14ac:dyDescent="0.55000000000000004">
      <c r="A9" s="114"/>
      <c r="B9" s="114"/>
      <c r="C9" s="114" t="s">
        <v>890</v>
      </c>
      <c r="D9" s="114"/>
      <c r="E9" s="114" t="s">
        <v>916</v>
      </c>
      <c r="F9" s="114" t="s">
        <v>895</v>
      </c>
      <c r="G9" s="114" t="s">
        <v>47</v>
      </c>
      <c r="H9" s="114"/>
      <c r="I9" s="114"/>
      <c r="J9" s="114"/>
      <c r="K9" s="139"/>
      <c r="L9" s="114"/>
      <c r="M9" s="114"/>
      <c r="N9" s="114"/>
      <c r="O9" s="114"/>
      <c r="P9" s="121">
        <f>O9-L9</f>
        <v>0</v>
      </c>
      <c r="Q9" s="114" t="s">
        <v>924</v>
      </c>
      <c r="R9" s="131"/>
      <c r="S9" s="131"/>
      <c r="T9" s="114"/>
      <c r="U9" s="114"/>
    </row>
    <row r="10" spans="1:24" x14ac:dyDescent="0.55000000000000004">
      <c r="A10" s="114"/>
      <c r="B10" s="114">
        <v>5</v>
      </c>
      <c r="C10" s="114" t="s">
        <v>891</v>
      </c>
      <c r="D10" s="114"/>
      <c r="E10" s="114" t="s">
        <v>916</v>
      </c>
      <c r="F10" s="114" t="s">
        <v>895</v>
      </c>
      <c r="G10" s="114" t="s">
        <v>325</v>
      </c>
      <c r="H10" s="114"/>
      <c r="I10" s="114"/>
      <c r="J10" s="114"/>
      <c r="K10" s="139"/>
      <c r="L10" s="114">
        <v>45.68</v>
      </c>
      <c r="M10" s="114"/>
      <c r="N10" s="114"/>
      <c r="O10" s="114"/>
      <c r="P10" s="121"/>
      <c r="Q10" s="114"/>
      <c r="R10" s="114">
        <v>14</v>
      </c>
      <c r="S10" s="114">
        <v>0</v>
      </c>
      <c r="T10" s="114"/>
      <c r="U10" s="114"/>
      <c r="X10">
        <f>S10/R10</f>
        <v>0</v>
      </c>
    </row>
    <row r="11" spans="1:24" x14ac:dyDescent="0.55000000000000004">
      <c r="A11" s="114"/>
      <c r="B11" s="114">
        <v>6</v>
      </c>
      <c r="C11" s="114" t="s">
        <v>926</v>
      </c>
      <c r="D11" s="114"/>
      <c r="E11" s="114" t="s">
        <v>916</v>
      </c>
      <c r="F11" s="114" t="s">
        <v>895</v>
      </c>
      <c r="G11" s="114" t="s">
        <v>325</v>
      </c>
      <c r="H11" s="114"/>
      <c r="I11" s="114"/>
      <c r="J11" s="114"/>
      <c r="K11" s="139"/>
      <c r="L11" s="114">
        <v>14.11</v>
      </c>
      <c r="M11" s="114"/>
      <c r="N11" s="114"/>
      <c r="O11" s="114"/>
      <c r="P11" s="121"/>
      <c r="Q11" s="114"/>
      <c r="R11" s="114">
        <v>8</v>
      </c>
      <c r="S11" s="114">
        <v>0</v>
      </c>
      <c r="T11" s="114"/>
      <c r="U11" s="114"/>
      <c r="X11">
        <f>S11/R11</f>
        <v>0</v>
      </c>
    </row>
    <row r="12" spans="1:24" x14ac:dyDescent="0.55000000000000004">
      <c r="A12" s="114"/>
      <c r="B12" s="114">
        <v>7</v>
      </c>
      <c r="C12" s="114" t="s">
        <v>927</v>
      </c>
      <c r="D12" s="114"/>
      <c r="E12" s="114" t="s">
        <v>916</v>
      </c>
      <c r="F12" s="114" t="s">
        <v>895</v>
      </c>
      <c r="G12" s="114" t="s">
        <v>325</v>
      </c>
      <c r="H12" s="114"/>
      <c r="I12" s="114"/>
      <c r="J12" s="114"/>
      <c r="K12" s="139"/>
      <c r="L12" s="114">
        <v>132</v>
      </c>
      <c r="M12" s="114"/>
      <c r="N12" s="114"/>
      <c r="O12" s="114"/>
      <c r="P12" s="121"/>
      <c r="Q12" s="114"/>
      <c r="R12" s="114">
        <v>13</v>
      </c>
      <c r="S12" s="114">
        <v>0</v>
      </c>
      <c r="T12" s="114"/>
      <c r="U12" s="114"/>
      <c r="X12">
        <f>S12/R12</f>
        <v>0</v>
      </c>
    </row>
    <row r="13" spans="1:24" x14ac:dyDescent="0.55000000000000004">
      <c r="A13" s="114"/>
      <c r="B13" s="114">
        <v>8</v>
      </c>
      <c r="C13" s="114" t="s">
        <v>892</v>
      </c>
      <c r="D13" s="114"/>
      <c r="E13" s="114" t="s">
        <v>916</v>
      </c>
      <c r="F13" s="114" t="s">
        <v>895</v>
      </c>
      <c r="G13" s="114" t="s">
        <v>325</v>
      </c>
      <c r="H13" s="114"/>
      <c r="I13" s="114"/>
      <c r="J13" s="114"/>
      <c r="K13" s="139"/>
      <c r="L13" s="114">
        <v>19.66</v>
      </c>
      <c r="M13" s="114"/>
      <c r="N13" s="114"/>
      <c r="O13" s="114"/>
      <c r="P13" s="121"/>
      <c r="Q13" s="114"/>
      <c r="R13" s="114">
        <v>8</v>
      </c>
      <c r="S13" s="114">
        <v>0</v>
      </c>
      <c r="T13" s="114"/>
      <c r="U13" s="114"/>
      <c r="X13">
        <f>S13/R13</f>
        <v>0</v>
      </c>
    </row>
    <row r="14" spans="1:24" x14ac:dyDescent="0.55000000000000004">
      <c r="A14" s="114"/>
      <c r="B14" s="114">
        <v>9</v>
      </c>
      <c r="C14" s="114" t="s">
        <v>904</v>
      </c>
      <c r="D14" s="114"/>
      <c r="E14" s="114" t="s">
        <v>914</v>
      </c>
      <c r="F14" s="114" t="s">
        <v>915</v>
      </c>
      <c r="G14" s="114" t="s">
        <v>325</v>
      </c>
      <c r="H14" s="114"/>
      <c r="I14" s="114"/>
      <c r="J14" s="114"/>
      <c r="K14" s="139"/>
      <c r="L14" s="114">
        <v>44.44</v>
      </c>
      <c r="M14" s="114"/>
      <c r="N14" s="114"/>
      <c r="O14" s="114"/>
      <c r="P14" s="121"/>
      <c r="Q14" s="114"/>
      <c r="R14" s="114">
        <v>11</v>
      </c>
      <c r="S14" s="114">
        <v>0</v>
      </c>
      <c r="T14" s="114"/>
      <c r="U14" s="114"/>
      <c r="X14">
        <f>S14/R14</f>
        <v>0</v>
      </c>
    </row>
    <row r="15" spans="1:24" s="147" customFormat="1" x14ac:dyDescent="0.55000000000000004">
      <c r="A15" s="145"/>
      <c r="B15" s="145">
        <v>10</v>
      </c>
      <c r="C15" s="145" t="s">
        <v>928</v>
      </c>
      <c r="D15" s="145"/>
      <c r="E15" s="145" t="s">
        <v>914</v>
      </c>
      <c r="F15" s="145" t="s">
        <v>915</v>
      </c>
      <c r="G15" s="145" t="s">
        <v>325</v>
      </c>
      <c r="H15" s="145"/>
      <c r="I15" s="145"/>
      <c r="J15" s="145"/>
      <c r="K15" s="146"/>
      <c r="L15" s="145" t="s">
        <v>742</v>
      </c>
      <c r="M15" s="145"/>
      <c r="N15" s="145"/>
      <c r="O15" s="145"/>
      <c r="P15" s="145"/>
      <c r="Q15" s="145"/>
      <c r="R15" s="145">
        <v>7</v>
      </c>
      <c r="S15" s="145">
        <v>0</v>
      </c>
      <c r="T15" s="145"/>
      <c r="U15" s="145"/>
      <c r="W15" s="147" t="s">
        <v>1052</v>
      </c>
      <c r="X15"/>
    </row>
    <row r="16" spans="1:24" s="147" customFormat="1" x14ac:dyDescent="0.55000000000000004">
      <c r="A16" s="145"/>
      <c r="B16" s="145">
        <v>11</v>
      </c>
      <c r="C16" s="145" t="s">
        <v>929</v>
      </c>
      <c r="D16" s="145"/>
      <c r="E16" s="145" t="s">
        <v>914</v>
      </c>
      <c r="F16" s="145" t="s">
        <v>915</v>
      </c>
      <c r="G16" s="145" t="s">
        <v>325</v>
      </c>
      <c r="H16" s="145"/>
      <c r="I16" s="145"/>
      <c r="J16" s="145"/>
      <c r="K16" s="146"/>
      <c r="L16" s="145">
        <v>196.63</v>
      </c>
      <c r="M16" s="145"/>
      <c r="N16" s="145"/>
      <c r="O16" s="145"/>
      <c r="P16" s="145"/>
      <c r="Q16" s="145"/>
      <c r="R16" s="145">
        <v>6</v>
      </c>
      <c r="S16" s="145">
        <v>0</v>
      </c>
      <c r="T16" s="145"/>
      <c r="U16" s="145"/>
      <c r="X16"/>
    </row>
    <row r="17" spans="1:24" s="147" customFormat="1" x14ac:dyDescent="0.55000000000000004">
      <c r="A17" s="145"/>
      <c r="B17" s="145">
        <v>12</v>
      </c>
      <c r="C17" s="145" t="s">
        <v>905</v>
      </c>
      <c r="D17" s="145"/>
      <c r="E17" s="145" t="s">
        <v>914</v>
      </c>
      <c r="F17" s="145" t="s">
        <v>915</v>
      </c>
      <c r="G17" s="145" t="s">
        <v>325</v>
      </c>
      <c r="H17" s="145"/>
      <c r="I17" s="145"/>
      <c r="J17" s="145"/>
      <c r="K17" s="146"/>
      <c r="L17" s="145">
        <v>59.73</v>
      </c>
      <c r="M17" s="145"/>
      <c r="N17" s="145"/>
      <c r="O17" s="145"/>
      <c r="P17" s="145"/>
      <c r="Q17" s="145"/>
      <c r="R17" s="145">
        <v>14</v>
      </c>
      <c r="S17" s="145">
        <v>0</v>
      </c>
      <c r="T17" s="145" t="s">
        <v>930</v>
      </c>
      <c r="U17" s="145"/>
      <c r="X17"/>
    </row>
    <row r="18" spans="1:24" s="147" customFormat="1" x14ac:dyDescent="0.55000000000000004">
      <c r="A18" s="145"/>
      <c r="B18" s="145">
        <v>13</v>
      </c>
      <c r="C18" s="145" t="s">
        <v>906</v>
      </c>
      <c r="D18" s="145"/>
      <c r="E18" s="145" t="s">
        <v>914</v>
      </c>
      <c r="F18" s="145" t="s">
        <v>915</v>
      </c>
      <c r="G18" s="145" t="s">
        <v>325</v>
      </c>
      <c r="H18" s="145"/>
      <c r="I18" s="145"/>
      <c r="J18" s="145"/>
      <c r="K18" s="146"/>
      <c r="L18" s="145" t="s">
        <v>742</v>
      </c>
      <c r="M18" s="145"/>
      <c r="N18" s="145"/>
      <c r="O18" s="145"/>
      <c r="P18" s="145"/>
      <c r="Q18" s="145"/>
      <c r="R18" s="145">
        <v>6</v>
      </c>
      <c r="S18" s="145">
        <v>0</v>
      </c>
      <c r="T18" s="145"/>
      <c r="U18" s="145"/>
      <c r="X18"/>
    </row>
    <row r="19" spans="1:24" s="147" customFormat="1" x14ac:dyDescent="0.55000000000000004">
      <c r="A19" s="145"/>
      <c r="B19" s="145">
        <v>14</v>
      </c>
      <c r="C19" s="145" t="s">
        <v>907</v>
      </c>
      <c r="D19" s="145"/>
      <c r="E19" s="145" t="s">
        <v>914</v>
      </c>
      <c r="F19" s="145" t="s">
        <v>915</v>
      </c>
      <c r="G19" s="145" t="s">
        <v>325</v>
      </c>
      <c r="H19" s="145"/>
      <c r="I19" s="145"/>
      <c r="J19" s="145"/>
      <c r="K19" s="146"/>
      <c r="L19" s="145">
        <v>137.76</v>
      </c>
      <c r="M19" s="145"/>
      <c r="N19" s="145"/>
      <c r="O19" s="145"/>
      <c r="P19" s="145"/>
      <c r="Q19" s="145"/>
      <c r="R19" s="145">
        <v>5</v>
      </c>
      <c r="S19" s="145">
        <v>0</v>
      </c>
      <c r="T19" s="145"/>
      <c r="U19" s="145"/>
      <c r="X19"/>
    </row>
    <row r="20" spans="1:24" s="147" customFormat="1" x14ac:dyDescent="0.55000000000000004">
      <c r="A20" s="145"/>
      <c r="B20" s="145">
        <v>15</v>
      </c>
      <c r="C20" s="145" t="s">
        <v>908</v>
      </c>
      <c r="D20" s="145"/>
      <c r="E20" s="145" t="s">
        <v>914</v>
      </c>
      <c r="F20" s="145" t="s">
        <v>915</v>
      </c>
      <c r="G20" s="145" t="s">
        <v>325</v>
      </c>
      <c r="H20" s="145"/>
      <c r="I20" s="145"/>
      <c r="J20" s="145"/>
      <c r="K20" s="146"/>
      <c r="L20" s="145">
        <v>42.46</v>
      </c>
      <c r="M20" s="145"/>
      <c r="N20" s="145"/>
      <c r="O20" s="145"/>
      <c r="P20" s="145"/>
      <c r="Q20" s="145"/>
      <c r="R20" s="145">
        <v>4</v>
      </c>
      <c r="S20" s="145">
        <v>0</v>
      </c>
      <c r="T20" s="145"/>
      <c r="U20" s="145"/>
      <c r="X20"/>
    </row>
    <row r="21" spans="1:24" s="147" customFormat="1" x14ac:dyDescent="0.55000000000000004">
      <c r="A21" s="145"/>
      <c r="B21" s="145">
        <v>16</v>
      </c>
      <c r="C21" s="145" t="s">
        <v>909</v>
      </c>
      <c r="D21" s="145"/>
      <c r="E21" s="145" t="s">
        <v>914</v>
      </c>
      <c r="F21" s="145" t="s">
        <v>915</v>
      </c>
      <c r="G21" s="145" t="s">
        <v>325</v>
      </c>
      <c r="H21" s="145"/>
      <c r="I21" s="145"/>
      <c r="J21" s="145"/>
      <c r="K21" s="146"/>
      <c r="L21" s="145">
        <v>144.41</v>
      </c>
      <c r="M21" s="145"/>
      <c r="N21" s="145"/>
      <c r="O21" s="145"/>
      <c r="P21" s="145"/>
      <c r="Q21" s="145"/>
      <c r="R21" s="145">
        <v>6</v>
      </c>
      <c r="S21" s="145">
        <v>0</v>
      </c>
      <c r="T21" s="145" t="s">
        <v>931</v>
      </c>
      <c r="U21" s="145"/>
      <c r="X21"/>
    </row>
    <row r="22" spans="1:24" s="147" customFormat="1" x14ac:dyDescent="0.55000000000000004">
      <c r="A22" s="145"/>
      <c r="B22" s="145">
        <v>17</v>
      </c>
      <c r="C22" s="145" t="s">
        <v>910</v>
      </c>
      <c r="D22" s="145"/>
      <c r="E22" s="145" t="s">
        <v>914</v>
      </c>
      <c r="F22" s="145" t="s">
        <v>915</v>
      </c>
      <c r="G22" s="145" t="s">
        <v>325</v>
      </c>
      <c r="H22" s="145"/>
      <c r="I22" s="145"/>
      <c r="J22" s="145"/>
      <c r="K22" s="146"/>
      <c r="L22" s="145">
        <v>375.03</v>
      </c>
      <c r="M22" s="145"/>
      <c r="N22" s="145"/>
      <c r="O22" s="145"/>
      <c r="P22" s="145"/>
      <c r="Q22" s="145"/>
      <c r="R22" s="145">
        <v>5</v>
      </c>
      <c r="S22" s="145">
        <v>0</v>
      </c>
      <c r="T22" s="145" t="s">
        <v>931</v>
      </c>
      <c r="U22" s="145"/>
      <c r="X22"/>
    </row>
    <row r="23" spans="1:24" s="147" customFormat="1" x14ac:dyDescent="0.55000000000000004">
      <c r="A23" s="145"/>
      <c r="B23" s="145">
        <v>18</v>
      </c>
      <c r="C23" s="145" t="s">
        <v>911</v>
      </c>
      <c r="D23" s="145"/>
      <c r="E23" s="145" t="s">
        <v>914</v>
      </c>
      <c r="F23" s="145" t="s">
        <v>915</v>
      </c>
      <c r="G23" s="145" t="s">
        <v>325</v>
      </c>
      <c r="H23" s="145"/>
      <c r="I23" s="145"/>
      <c r="J23" s="145"/>
      <c r="K23" s="146"/>
      <c r="L23" s="145">
        <v>11.27</v>
      </c>
      <c r="M23" s="145"/>
      <c r="N23" s="145"/>
      <c r="O23" s="145"/>
      <c r="P23" s="145"/>
      <c r="Q23" s="145"/>
      <c r="R23" s="145">
        <v>6</v>
      </c>
      <c r="S23" s="145">
        <v>0</v>
      </c>
      <c r="T23" s="145"/>
      <c r="U23" s="145"/>
      <c r="X23"/>
    </row>
    <row r="24" spans="1:24" s="147" customFormat="1" x14ac:dyDescent="0.55000000000000004">
      <c r="A24" s="145"/>
      <c r="B24" s="145">
        <v>19</v>
      </c>
      <c r="C24" s="145" t="s">
        <v>912</v>
      </c>
      <c r="D24" s="145"/>
      <c r="E24" s="145" t="s">
        <v>914</v>
      </c>
      <c r="F24" s="145" t="s">
        <v>915</v>
      </c>
      <c r="G24" s="145" t="s">
        <v>325</v>
      </c>
      <c r="H24" s="145"/>
      <c r="I24" s="145"/>
      <c r="J24" s="145"/>
      <c r="K24" s="146"/>
      <c r="L24" s="145">
        <v>95.82</v>
      </c>
      <c r="M24" s="145"/>
      <c r="N24" s="145"/>
      <c r="O24" s="145"/>
      <c r="P24" s="145"/>
      <c r="Q24" s="145"/>
      <c r="R24" s="145">
        <v>7</v>
      </c>
      <c r="S24" s="145">
        <v>0</v>
      </c>
      <c r="T24" s="145"/>
      <c r="U24" s="145"/>
      <c r="X24"/>
    </row>
    <row r="25" spans="1:24" s="147" customFormat="1" x14ac:dyDescent="0.55000000000000004">
      <c r="A25" s="145"/>
      <c r="B25" s="145">
        <v>20</v>
      </c>
      <c r="C25" s="145" t="s">
        <v>913</v>
      </c>
      <c r="D25" s="145"/>
      <c r="E25" s="145" t="s">
        <v>914</v>
      </c>
      <c r="F25" s="145" t="s">
        <v>915</v>
      </c>
      <c r="G25" s="145"/>
      <c r="H25" s="145"/>
      <c r="I25" s="145"/>
      <c r="J25" s="145"/>
      <c r="K25" s="146"/>
      <c r="L25" s="145">
        <v>121.11</v>
      </c>
      <c r="M25" s="145"/>
      <c r="N25" s="145"/>
      <c r="O25" s="145"/>
      <c r="P25" s="145"/>
      <c r="Q25" s="145"/>
      <c r="R25" s="145">
        <v>7</v>
      </c>
      <c r="S25" s="145">
        <v>0</v>
      </c>
      <c r="T25" s="145" t="s">
        <v>933</v>
      </c>
      <c r="U25" s="145"/>
      <c r="X25"/>
    </row>
    <row r="26" spans="1:24" x14ac:dyDescent="0.55000000000000004">
      <c r="A26" s="132">
        <v>5</v>
      </c>
      <c r="B26" s="114">
        <v>21</v>
      </c>
      <c r="C26" s="114" t="s">
        <v>937</v>
      </c>
      <c r="D26" s="114"/>
      <c r="E26" s="114" t="s">
        <v>921</v>
      </c>
      <c r="F26" s="114" t="s">
        <v>915</v>
      </c>
      <c r="G26" s="114">
        <v>90.739000000000004</v>
      </c>
      <c r="H26" s="114">
        <v>93.718999999999994</v>
      </c>
      <c r="I26" s="114">
        <f t="shared" ref="I26:I33" si="0">H26-G26</f>
        <v>2.9799999999999898</v>
      </c>
      <c r="J26" s="114">
        <f t="shared" ref="J26:J33" si="1">I26*0.0973</f>
        <v>0.28995399999999899</v>
      </c>
      <c r="K26" s="139">
        <f t="shared" ref="K26:K33" si="2">J26*20</f>
        <v>5.7990799999999796</v>
      </c>
      <c r="L26" s="114">
        <v>28.64</v>
      </c>
      <c r="M26" s="114">
        <v>1152</v>
      </c>
      <c r="N26" s="114">
        <v>2696</v>
      </c>
      <c r="O26" s="114">
        <v>125.95</v>
      </c>
      <c r="P26" s="121">
        <f t="shared" ref="P26:P33" si="3">O26-L26</f>
        <v>97.31</v>
      </c>
      <c r="Q26" s="114"/>
      <c r="R26" s="114">
        <v>10</v>
      </c>
      <c r="S26" s="114">
        <v>2</v>
      </c>
      <c r="T26" s="114"/>
      <c r="U26" s="114"/>
      <c r="X26">
        <f>S26/R26</f>
        <v>0.2</v>
      </c>
    </row>
    <row r="27" spans="1:24" x14ac:dyDescent="0.55000000000000004">
      <c r="A27" s="132">
        <v>6</v>
      </c>
      <c r="B27" s="114"/>
      <c r="C27" s="114" t="s">
        <v>936</v>
      </c>
      <c r="D27" s="114"/>
      <c r="E27" s="114" t="s">
        <v>921</v>
      </c>
      <c r="F27" s="114" t="s">
        <v>915</v>
      </c>
      <c r="G27" s="114">
        <v>90.739000000000004</v>
      </c>
      <c r="H27" s="114">
        <v>99.718999999999994</v>
      </c>
      <c r="I27" s="114">
        <f t="shared" si="0"/>
        <v>8.9799999999999898</v>
      </c>
      <c r="J27" s="114">
        <f t="shared" si="1"/>
        <v>0.87375399999999903</v>
      </c>
      <c r="K27" s="139">
        <f t="shared" si="2"/>
        <v>17.475079999999981</v>
      </c>
      <c r="L27" s="114">
        <v>28.64</v>
      </c>
      <c r="M27" s="114">
        <v>1152</v>
      </c>
      <c r="N27" s="114">
        <v>4446</v>
      </c>
      <c r="O27" s="114">
        <v>207.71</v>
      </c>
      <c r="P27" s="121">
        <f t="shared" si="3"/>
        <v>179.07</v>
      </c>
      <c r="Q27" s="114" t="s">
        <v>934</v>
      </c>
      <c r="R27" s="133"/>
      <c r="S27" s="133"/>
      <c r="T27" s="114"/>
      <c r="U27" s="114"/>
    </row>
    <row r="28" spans="1:24" s="107" customFormat="1" x14ac:dyDescent="0.55000000000000004">
      <c r="A28" s="134"/>
      <c r="B28" s="134"/>
      <c r="C28" s="134" t="s">
        <v>935</v>
      </c>
      <c r="D28" s="134"/>
      <c r="E28" s="134" t="s">
        <v>921</v>
      </c>
      <c r="F28" s="134" t="s">
        <v>915</v>
      </c>
      <c r="G28" s="134">
        <v>86.191000000000003</v>
      </c>
      <c r="H28" s="134">
        <v>104.70099999999999</v>
      </c>
      <c r="I28" s="134">
        <f t="shared" si="0"/>
        <v>18.509999999999991</v>
      </c>
      <c r="J28" s="134">
        <f t="shared" si="1"/>
        <v>1.8010229999999992</v>
      </c>
      <c r="K28" s="141">
        <f t="shared" si="2"/>
        <v>36.020459999999986</v>
      </c>
      <c r="L28" s="134">
        <v>28.64</v>
      </c>
      <c r="M28" s="134">
        <v>3569</v>
      </c>
      <c r="N28" s="134">
        <v>4446</v>
      </c>
      <c r="O28" s="134">
        <v>207.71</v>
      </c>
      <c r="P28" s="134">
        <f t="shared" si="3"/>
        <v>179.07</v>
      </c>
      <c r="Q28" s="134"/>
      <c r="R28" s="135"/>
      <c r="S28" s="135"/>
      <c r="T28" s="134"/>
      <c r="U28" s="134"/>
      <c r="X28"/>
    </row>
    <row r="29" spans="1:24" x14ac:dyDescent="0.55000000000000004">
      <c r="A29" s="129">
        <v>7</v>
      </c>
      <c r="B29" s="114">
        <v>22</v>
      </c>
      <c r="C29" s="114" t="s">
        <v>938</v>
      </c>
      <c r="D29" s="114"/>
      <c r="E29" s="114" t="s">
        <v>921</v>
      </c>
      <c r="F29" s="114" t="s">
        <v>915</v>
      </c>
      <c r="G29" s="114">
        <v>88.47</v>
      </c>
      <c r="H29" s="114">
        <v>89.578000000000003</v>
      </c>
      <c r="I29" s="114">
        <f t="shared" si="0"/>
        <v>1.1080000000000041</v>
      </c>
      <c r="J29" s="114">
        <f t="shared" si="1"/>
        <v>0.1078084000000004</v>
      </c>
      <c r="K29" s="139">
        <f t="shared" si="2"/>
        <v>2.1561680000000081</v>
      </c>
      <c r="L29" s="114">
        <v>74.3</v>
      </c>
      <c r="M29" s="114">
        <v>1610</v>
      </c>
      <c r="N29" s="114">
        <v>2269</v>
      </c>
      <c r="O29" s="114">
        <v>120.94</v>
      </c>
      <c r="P29" s="121">
        <f t="shared" si="3"/>
        <v>46.64</v>
      </c>
      <c r="Q29" s="114" t="s">
        <v>940</v>
      </c>
      <c r="R29" s="114">
        <v>11</v>
      </c>
      <c r="S29" s="114">
        <v>5</v>
      </c>
      <c r="T29" s="114"/>
      <c r="U29" s="114"/>
      <c r="X29">
        <f>S29/R29</f>
        <v>0.45454545454545453</v>
      </c>
    </row>
    <row r="30" spans="1:24" x14ac:dyDescent="0.55000000000000004">
      <c r="A30" s="129">
        <v>8</v>
      </c>
      <c r="B30" s="114"/>
      <c r="C30" s="114" t="s">
        <v>939</v>
      </c>
      <c r="D30" s="114"/>
      <c r="E30" s="114" t="s">
        <v>921</v>
      </c>
      <c r="F30" s="114" t="s">
        <v>915</v>
      </c>
      <c r="G30" s="114">
        <v>86.16</v>
      </c>
      <c r="H30" s="114">
        <v>97.378</v>
      </c>
      <c r="I30" s="114">
        <f t="shared" si="0"/>
        <v>11.218000000000004</v>
      </c>
      <c r="J30" s="114">
        <f t="shared" si="1"/>
        <v>1.0915114000000004</v>
      </c>
      <c r="K30" s="139">
        <f t="shared" si="2"/>
        <v>21.830228000000005</v>
      </c>
      <c r="L30" s="114">
        <v>74.3</v>
      </c>
      <c r="M30" s="114">
        <v>1561</v>
      </c>
      <c r="N30" s="114">
        <v>2363</v>
      </c>
      <c r="O30" s="114">
        <v>125.95</v>
      </c>
      <c r="P30" s="121">
        <f t="shared" si="3"/>
        <v>51.650000000000006</v>
      </c>
      <c r="Q30" s="114"/>
      <c r="R30" s="133"/>
      <c r="S30" s="133"/>
      <c r="T30" s="114"/>
      <c r="U30" s="114"/>
    </row>
    <row r="31" spans="1:24" s="6" customFormat="1" x14ac:dyDescent="0.55000000000000004">
      <c r="A31" s="123"/>
      <c r="B31" s="123"/>
      <c r="C31" s="123" t="s">
        <v>942</v>
      </c>
      <c r="D31" s="123"/>
      <c r="E31" s="123" t="s">
        <v>921</v>
      </c>
      <c r="F31" s="123" t="s">
        <v>915</v>
      </c>
      <c r="G31" s="123">
        <v>87.593000000000004</v>
      </c>
      <c r="H31" s="123">
        <v>86.983000000000004</v>
      </c>
      <c r="I31" s="123">
        <f t="shared" si="0"/>
        <v>-0.60999999999999943</v>
      </c>
      <c r="J31" s="123">
        <f t="shared" si="1"/>
        <v>-5.9352999999999941E-2</v>
      </c>
      <c r="K31" s="142">
        <f t="shared" si="2"/>
        <v>-1.1870599999999989</v>
      </c>
      <c r="L31" s="123">
        <v>74.3</v>
      </c>
      <c r="M31" s="123">
        <v>2363</v>
      </c>
      <c r="N31" s="123">
        <v>3564</v>
      </c>
      <c r="O31" s="123">
        <v>189.97</v>
      </c>
      <c r="P31" s="123">
        <f t="shared" si="3"/>
        <v>115.67</v>
      </c>
      <c r="Q31" s="123" t="s">
        <v>941</v>
      </c>
      <c r="R31" s="136"/>
      <c r="S31" s="136"/>
      <c r="T31" s="123"/>
      <c r="U31" s="123"/>
      <c r="X31"/>
    </row>
    <row r="32" spans="1:24" x14ac:dyDescent="0.55000000000000004">
      <c r="A32" s="129">
        <v>9</v>
      </c>
      <c r="B32" s="114"/>
      <c r="C32" s="114" t="s">
        <v>943</v>
      </c>
      <c r="D32" s="114"/>
      <c r="E32" s="114" t="s">
        <v>921</v>
      </c>
      <c r="F32" s="114" t="s">
        <v>915</v>
      </c>
      <c r="G32" s="121">
        <v>87.593000000000004</v>
      </c>
      <c r="H32" s="114">
        <v>103.691</v>
      </c>
      <c r="I32" s="114">
        <f t="shared" si="0"/>
        <v>16.097999999999999</v>
      </c>
      <c r="J32" s="114">
        <f t="shared" si="1"/>
        <v>1.5663353999999998</v>
      </c>
      <c r="K32" s="139">
        <f t="shared" si="2"/>
        <v>31.326707999999996</v>
      </c>
      <c r="L32" s="114">
        <v>74.3</v>
      </c>
      <c r="M32" s="114">
        <v>2810</v>
      </c>
      <c r="N32" s="114">
        <v>3923</v>
      </c>
      <c r="O32" s="114">
        <v>209.11</v>
      </c>
      <c r="P32" s="121">
        <f t="shared" si="3"/>
        <v>134.81</v>
      </c>
      <c r="Q32" s="114" t="s">
        <v>945</v>
      </c>
      <c r="R32" s="133"/>
      <c r="S32" s="133"/>
      <c r="T32" s="114"/>
      <c r="U32" s="114"/>
    </row>
    <row r="33" spans="1:24" x14ac:dyDescent="0.55000000000000004">
      <c r="A33" s="129">
        <v>10</v>
      </c>
      <c r="B33" s="114"/>
      <c r="C33" s="114" t="s">
        <v>944</v>
      </c>
      <c r="D33" s="114"/>
      <c r="E33" s="114" t="s">
        <v>921</v>
      </c>
      <c r="F33" s="114" t="s">
        <v>915</v>
      </c>
      <c r="G33" s="121">
        <v>90.837000000000003</v>
      </c>
      <c r="H33" s="114">
        <v>93.634</v>
      </c>
      <c r="I33" s="114">
        <f t="shared" si="0"/>
        <v>2.796999999999997</v>
      </c>
      <c r="J33" s="114">
        <f t="shared" si="1"/>
        <v>0.27214809999999973</v>
      </c>
      <c r="K33" s="139">
        <f t="shared" si="2"/>
        <v>5.4429619999999943</v>
      </c>
      <c r="L33" s="114">
        <v>74.3</v>
      </c>
      <c r="M33" s="114">
        <v>3254</v>
      </c>
      <c r="N33" s="114">
        <v>4715</v>
      </c>
      <c r="O33" s="114">
        <v>251.32</v>
      </c>
      <c r="P33" s="121">
        <f t="shared" si="3"/>
        <v>177.01999999999998</v>
      </c>
      <c r="Q33" s="114"/>
      <c r="R33" s="133"/>
      <c r="S33" s="133"/>
      <c r="T33" s="114"/>
      <c r="U33" s="114"/>
    </row>
    <row r="34" spans="1:24" x14ac:dyDescent="0.55000000000000004">
      <c r="A34" s="114"/>
      <c r="B34" s="114">
        <v>23</v>
      </c>
      <c r="C34" s="114" t="s">
        <v>917</v>
      </c>
      <c r="D34" s="114"/>
      <c r="E34" s="114" t="s">
        <v>921</v>
      </c>
      <c r="F34" s="114" t="s">
        <v>915</v>
      </c>
      <c r="G34" s="114" t="s">
        <v>325</v>
      </c>
      <c r="H34" s="114"/>
      <c r="I34" s="114"/>
      <c r="J34" s="114"/>
      <c r="K34" s="139"/>
      <c r="L34" s="114" t="s">
        <v>742</v>
      </c>
      <c r="M34" s="114"/>
      <c r="N34" s="114"/>
      <c r="O34" s="114"/>
      <c r="P34" s="121"/>
      <c r="Q34" s="114"/>
      <c r="R34" s="114">
        <v>7</v>
      </c>
      <c r="S34" s="114">
        <v>0</v>
      </c>
      <c r="T34" s="114"/>
      <c r="U34" s="114"/>
      <c r="X34">
        <f t="shared" ref="X34:X40" si="4">S34/R34</f>
        <v>0</v>
      </c>
    </row>
    <row r="35" spans="1:24" x14ac:dyDescent="0.55000000000000004">
      <c r="A35" s="114"/>
      <c r="B35" s="114">
        <v>24</v>
      </c>
      <c r="C35" s="114" t="s">
        <v>918</v>
      </c>
      <c r="D35" s="114"/>
      <c r="E35" s="114" t="s">
        <v>921</v>
      </c>
      <c r="F35" s="114" t="s">
        <v>915</v>
      </c>
      <c r="G35" s="114" t="s">
        <v>325</v>
      </c>
      <c r="H35" s="114"/>
      <c r="I35" s="114"/>
      <c r="J35" s="114"/>
      <c r="K35" s="139"/>
      <c r="L35" s="114">
        <v>5.61</v>
      </c>
      <c r="M35" s="114"/>
      <c r="N35" s="114"/>
      <c r="O35" s="114"/>
      <c r="P35" s="121">
        <f>O35-L35</f>
        <v>-5.61</v>
      </c>
      <c r="Q35" s="114"/>
      <c r="R35" s="114">
        <v>6</v>
      </c>
      <c r="S35" s="114">
        <v>0</v>
      </c>
      <c r="T35" s="114"/>
      <c r="U35" s="114"/>
      <c r="X35">
        <f t="shared" si="4"/>
        <v>0</v>
      </c>
    </row>
    <row r="36" spans="1:24" x14ac:dyDescent="0.55000000000000004">
      <c r="A36" s="114">
        <v>11</v>
      </c>
      <c r="B36" s="114">
        <v>25</v>
      </c>
      <c r="C36" s="114" t="s">
        <v>946</v>
      </c>
      <c r="D36" s="114"/>
      <c r="E36" s="114" t="s">
        <v>921</v>
      </c>
      <c r="F36" s="114" t="s">
        <v>915</v>
      </c>
      <c r="G36" s="114">
        <v>84.85</v>
      </c>
      <c r="H36" s="114">
        <v>97.644999999999996</v>
      </c>
      <c r="I36" s="114">
        <f>H36-G36</f>
        <v>12.795000000000002</v>
      </c>
      <c r="J36" s="114">
        <f>I36*0.0973</f>
        <v>1.2449535</v>
      </c>
      <c r="K36" s="139">
        <f>J36*20</f>
        <v>24.899070000000002</v>
      </c>
      <c r="L36" s="114">
        <v>66.31</v>
      </c>
      <c r="M36" s="114">
        <v>1527</v>
      </c>
      <c r="N36" s="114">
        <v>4826</v>
      </c>
      <c r="O36" s="114">
        <v>239.27</v>
      </c>
      <c r="P36" s="121">
        <f>O36-L36</f>
        <v>172.96</v>
      </c>
      <c r="Q36" s="114"/>
      <c r="R36" s="114">
        <v>11</v>
      </c>
      <c r="S36" s="114">
        <v>1</v>
      </c>
      <c r="T36" s="114"/>
      <c r="U36" s="114"/>
      <c r="X36">
        <f t="shared" si="4"/>
        <v>9.0909090909090912E-2</v>
      </c>
    </row>
    <row r="37" spans="1:24" s="107" customFormat="1" x14ac:dyDescent="0.55000000000000004">
      <c r="A37" s="134"/>
      <c r="B37" s="134"/>
      <c r="C37" s="134" t="s">
        <v>947</v>
      </c>
      <c r="D37" s="134"/>
      <c r="E37" s="134" t="s">
        <v>921</v>
      </c>
      <c r="F37" s="134" t="s">
        <v>915</v>
      </c>
      <c r="G37" s="134">
        <v>91.838999999999999</v>
      </c>
      <c r="H37" s="134">
        <v>91.128</v>
      </c>
      <c r="I37" s="134">
        <f t="shared" ref="I37:I58" si="5">H37-G37</f>
        <v>-0.71099999999999852</v>
      </c>
      <c r="J37" s="134">
        <f t="shared" ref="J37:J58" si="6">I37*0.0973</f>
        <v>-6.9180299999999861E-2</v>
      </c>
      <c r="K37" s="141">
        <f t="shared" ref="K37:K58" si="7">J37*20</f>
        <v>-1.3836059999999972</v>
      </c>
      <c r="L37" s="134">
        <v>66.31</v>
      </c>
      <c r="M37" s="134">
        <v>1527</v>
      </c>
      <c r="N37" s="134">
        <v>4826</v>
      </c>
      <c r="O37" s="134">
        <v>239.27</v>
      </c>
      <c r="P37" s="134">
        <f>O37-L37</f>
        <v>172.96</v>
      </c>
      <c r="Q37" s="134"/>
      <c r="R37" s="134">
        <v>11</v>
      </c>
      <c r="S37" s="134">
        <v>1</v>
      </c>
      <c r="T37" s="134"/>
      <c r="U37" s="134"/>
      <c r="X37">
        <f t="shared" si="4"/>
        <v>9.0909090909090912E-2</v>
      </c>
    </row>
    <row r="38" spans="1:24" x14ac:dyDescent="0.55000000000000004">
      <c r="A38" s="114"/>
      <c r="B38" s="114">
        <v>26</v>
      </c>
      <c r="C38" s="114" t="s">
        <v>919</v>
      </c>
      <c r="D38" s="114"/>
      <c r="E38" s="114" t="s">
        <v>921</v>
      </c>
      <c r="F38" s="114" t="s">
        <v>915</v>
      </c>
      <c r="G38" s="114" t="s">
        <v>325</v>
      </c>
      <c r="H38" s="114"/>
      <c r="I38" s="137"/>
      <c r="J38" s="137"/>
      <c r="K38" s="143"/>
      <c r="L38" s="114">
        <v>105.75</v>
      </c>
      <c r="M38" s="114"/>
      <c r="N38" s="114"/>
      <c r="O38" s="114"/>
      <c r="P38" s="134"/>
      <c r="Q38" s="114"/>
      <c r="R38" s="114">
        <v>8</v>
      </c>
      <c r="S38" s="114">
        <v>0</v>
      </c>
      <c r="T38" s="114"/>
      <c r="U38" s="114"/>
      <c r="X38">
        <f t="shared" si="4"/>
        <v>0</v>
      </c>
    </row>
    <row r="39" spans="1:24" x14ac:dyDescent="0.55000000000000004">
      <c r="A39" s="114"/>
      <c r="B39" s="114"/>
      <c r="C39" s="114" t="s">
        <v>920</v>
      </c>
      <c r="D39" s="114"/>
      <c r="E39" s="114" t="s">
        <v>921</v>
      </c>
      <c r="F39" s="114" t="s">
        <v>915</v>
      </c>
      <c r="G39" s="114" t="s">
        <v>325</v>
      </c>
      <c r="H39" s="114"/>
      <c r="I39" s="137"/>
      <c r="J39" s="137"/>
      <c r="K39" s="143"/>
      <c r="L39" s="114">
        <v>63.49</v>
      </c>
      <c r="M39" s="114"/>
      <c r="N39" s="114"/>
      <c r="O39" s="114"/>
      <c r="P39" s="134"/>
      <c r="Q39" s="114"/>
      <c r="R39" s="114">
        <v>11</v>
      </c>
      <c r="S39" s="114">
        <v>0</v>
      </c>
      <c r="T39" s="114"/>
      <c r="U39" s="114"/>
      <c r="X39">
        <f t="shared" si="4"/>
        <v>0</v>
      </c>
    </row>
    <row r="40" spans="1:24" x14ac:dyDescent="0.55000000000000004">
      <c r="A40" s="114">
        <v>12</v>
      </c>
      <c r="B40" s="114">
        <v>27</v>
      </c>
      <c r="C40" s="114" t="s">
        <v>1029</v>
      </c>
      <c r="D40" s="114"/>
      <c r="E40" s="114" t="s">
        <v>1026</v>
      </c>
      <c r="F40" s="114" t="s">
        <v>915</v>
      </c>
      <c r="G40" s="114">
        <v>77.650999999999996</v>
      </c>
      <c r="H40" s="114">
        <v>92.149000000000001</v>
      </c>
      <c r="I40" s="137">
        <f t="shared" si="5"/>
        <v>14.498000000000005</v>
      </c>
      <c r="J40" s="137">
        <f t="shared" si="6"/>
        <v>1.4106554000000004</v>
      </c>
      <c r="K40" s="143">
        <f t="shared" si="7"/>
        <v>28.213108000000009</v>
      </c>
      <c r="L40" s="114">
        <v>126.33</v>
      </c>
      <c r="M40" s="114">
        <v>2107</v>
      </c>
      <c r="N40" s="114">
        <v>3252</v>
      </c>
      <c r="O40" s="114">
        <v>151.83000000000001</v>
      </c>
      <c r="P40" s="137">
        <f>O40-L40</f>
        <v>25.500000000000014</v>
      </c>
      <c r="Q40" s="114"/>
      <c r="R40" s="114">
        <v>6</v>
      </c>
      <c r="S40" s="114">
        <v>2</v>
      </c>
      <c r="T40" s="114"/>
      <c r="U40" s="114" t="s">
        <v>1028</v>
      </c>
      <c r="V40" t="s">
        <v>558</v>
      </c>
      <c r="X40">
        <f t="shared" si="4"/>
        <v>0.33333333333333331</v>
      </c>
    </row>
    <row r="41" spans="1:24" x14ac:dyDescent="0.55000000000000004">
      <c r="A41" s="114">
        <v>13</v>
      </c>
      <c r="B41" s="114"/>
      <c r="C41" s="114" t="s">
        <v>1030</v>
      </c>
      <c r="D41" s="114"/>
      <c r="E41" s="114" t="s">
        <v>1026</v>
      </c>
      <c r="F41" s="114" t="s">
        <v>915</v>
      </c>
      <c r="G41" s="114">
        <v>82.546999999999997</v>
      </c>
      <c r="H41" s="114">
        <v>100.77</v>
      </c>
      <c r="I41" s="137">
        <f t="shared" si="5"/>
        <v>18.222999999999999</v>
      </c>
      <c r="J41" s="137">
        <f t="shared" si="6"/>
        <v>1.7730978999999998</v>
      </c>
      <c r="K41" s="143">
        <f t="shared" si="7"/>
        <v>35.461957999999996</v>
      </c>
      <c r="L41" s="114">
        <v>126.33</v>
      </c>
      <c r="M41" s="114">
        <v>2107</v>
      </c>
      <c r="N41" s="114">
        <v>6098</v>
      </c>
      <c r="O41" s="114">
        <v>284.7</v>
      </c>
      <c r="P41" s="137">
        <f>O41-L41</f>
        <v>158.37</v>
      </c>
      <c r="Q41" s="114"/>
      <c r="R41" s="126"/>
      <c r="S41" s="126"/>
      <c r="T41" s="114"/>
      <c r="U41" s="114" t="s">
        <v>455</v>
      </c>
    </row>
    <row r="42" spans="1:24" s="111" customFormat="1" x14ac:dyDescent="0.55000000000000004">
      <c r="A42" s="124"/>
      <c r="B42" s="124"/>
      <c r="C42" s="124" t="s">
        <v>1031</v>
      </c>
      <c r="D42" s="124"/>
      <c r="E42" s="124" t="s">
        <v>1026</v>
      </c>
      <c r="F42" s="124" t="s">
        <v>915</v>
      </c>
      <c r="G42" s="124">
        <v>77.650999999999996</v>
      </c>
      <c r="H42" s="124">
        <v>105.517</v>
      </c>
      <c r="I42" s="124">
        <f t="shared" si="5"/>
        <v>27.866</v>
      </c>
      <c r="J42" s="124">
        <f t="shared" si="6"/>
        <v>2.7113617999999997</v>
      </c>
      <c r="K42" s="144">
        <f t="shared" si="7"/>
        <v>54.227235999999991</v>
      </c>
      <c r="L42" s="124">
        <v>126.33</v>
      </c>
      <c r="M42" s="124">
        <v>2107</v>
      </c>
      <c r="N42" s="124">
        <v>6098</v>
      </c>
      <c r="O42" s="124">
        <v>284.7</v>
      </c>
      <c r="P42" s="124">
        <f>O42-L42</f>
        <v>158.37</v>
      </c>
      <c r="Q42" s="124" t="s">
        <v>1032</v>
      </c>
      <c r="R42" s="125"/>
      <c r="S42" s="125"/>
      <c r="T42" s="124"/>
      <c r="U42" s="124" t="s">
        <v>455</v>
      </c>
      <c r="X42"/>
    </row>
    <row r="43" spans="1:24" x14ac:dyDescent="0.55000000000000004">
      <c r="A43" s="114"/>
      <c r="B43" s="114">
        <v>28</v>
      </c>
      <c r="C43" s="114" t="s">
        <v>1019</v>
      </c>
      <c r="D43" s="114"/>
      <c r="E43" s="114" t="s">
        <v>1026</v>
      </c>
      <c r="F43" s="114" t="s">
        <v>915</v>
      </c>
      <c r="G43" s="114" t="s">
        <v>325</v>
      </c>
      <c r="H43" s="114"/>
      <c r="I43" s="137"/>
      <c r="J43" s="137"/>
      <c r="K43" s="143"/>
      <c r="L43" s="114">
        <v>33.42</v>
      </c>
      <c r="M43" s="114"/>
      <c r="N43" s="114"/>
      <c r="O43" s="114"/>
      <c r="P43" s="137"/>
      <c r="Q43" s="114"/>
      <c r="R43" s="114">
        <v>11</v>
      </c>
      <c r="S43" s="114">
        <v>0</v>
      </c>
      <c r="T43" s="114"/>
      <c r="U43" s="133"/>
      <c r="X43">
        <f>S43/R43</f>
        <v>0</v>
      </c>
    </row>
    <row r="44" spans="1:24" x14ac:dyDescent="0.55000000000000004">
      <c r="A44" s="114"/>
      <c r="B44" s="114">
        <v>29</v>
      </c>
      <c r="C44" s="114" t="s">
        <v>1020</v>
      </c>
      <c r="D44" s="114"/>
      <c r="E44" s="114" t="s">
        <v>1026</v>
      </c>
      <c r="F44" s="114" t="s">
        <v>915</v>
      </c>
      <c r="G44" s="114" t="s">
        <v>325</v>
      </c>
      <c r="H44" s="114"/>
      <c r="I44" s="137"/>
      <c r="J44" s="137"/>
      <c r="K44" s="143"/>
      <c r="L44" s="114">
        <v>3.38</v>
      </c>
      <c r="M44" s="114"/>
      <c r="N44" s="114"/>
      <c r="O44" s="114"/>
      <c r="P44" s="137"/>
      <c r="Q44" s="114"/>
      <c r="R44" s="114">
        <v>8</v>
      </c>
      <c r="S44" s="114">
        <v>0</v>
      </c>
      <c r="T44" s="114"/>
      <c r="U44" s="133"/>
      <c r="X44">
        <f>S44/R44</f>
        <v>0</v>
      </c>
    </row>
    <row r="45" spans="1:24" x14ac:dyDescent="0.55000000000000004">
      <c r="A45" s="114">
        <v>14</v>
      </c>
      <c r="B45" s="114">
        <v>30</v>
      </c>
      <c r="C45" s="114" t="s">
        <v>1033</v>
      </c>
      <c r="D45" s="114"/>
      <c r="E45" s="114" t="s">
        <v>1026</v>
      </c>
      <c r="F45" s="114" t="s">
        <v>915</v>
      </c>
      <c r="G45" s="114">
        <v>77.816999999999993</v>
      </c>
      <c r="H45" s="114">
        <v>78.715999999999994</v>
      </c>
      <c r="I45" s="137">
        <f t="shared" si="5"/>
        <v>0.89900000000000091</v>
      </c>
      <c r="J45" s="137">
        <f t="shared" si="6"/>
        <v>8.7472700000000084E-2</v>
      </c>
      <c r="K45" s="143">
        <f t="shared" si="7"/>
        <v>1.7494540000000016</v>
      </c>
      <c r="L45" s="114">
        <v>51.99</v>
      </c>
      <c r="M45" s="114">
        <v>886</v>
      </c>
      <c r="N45" s="114">
        <v>2049</v>
      </c>
      <c r="O45" s="114">
        <v>100.79</v>
      </c>
      <c r="P45" s="137">
        <f>O45-L45</f>
        <v>48.800000000000004</v>
      </c>
      <c r="Q45" s="114" t="s">
        <v>1039</v>
      </c>
      <c r="R45" s="114">
        <v>10</v>
      </c>
      <c r="S45" s="114">
        <v>3</v>
      </c>
      <c r="T45" s="114"/>
      <c r="U45" s="114" t="s">
        <v>455</v>
      </c>
      <c r="X45">
        <f>S45/R45</f>
        <v>0.3</v>
      </c>
    </row>
    <row r="46" spans="1:24" x14ac:dyDescent="0.55000000000000004">
      <c r="A46" s="114">
        <v>15</v>
      </c>
      <c r="B46" s="114"/>
      <c r="C46" s="114" t="s">
        <v>1034</v>
      </c>
      <c r="D46" s="114"/>
      <c r="E46" s="114" t="s">
        <v>1026</v>
      </c>
      <c r="F46" s="114" t="s">
        <v>915</v>
      </c>
      <c r="G46" s="114">
        <v>77.816999999999993</v>
      </c>
      <c r="H46" s="114">
        <v>84.602000000000004</v>
      </c>
      <c r="I46" s="137">
        <f>H46-G46</f>
        <v>6.7850000000000108</v>
      </c>
      <c r="J46" s="137">
        <f>I46*0.0973</f>
        <v>0.66018050000000106</v>
      </c>
      <c r="K46" s="143">
        <f>J46*20</f>
        <v>13.203610000000021</v>
      </c>
      <c r="L46" s="114">
        <v>51.99</v>
      </c>
      <c r="M46" s="114">
        <v>886</v>
      </c>
      <c r="N46" s="114">
        <v>2594</v>
      </c>
      <c r="O46" s="114">
        <v>127.6</v>
      </c>
      <c r="P46" s="137">
        <f>O46-L46</f>
        <v>75.609999999999985</v>
      </c>
      <c r="Q46" s="114" t="s">
        <v>1036</v>
      </c>
      <c r="R46" s="133"/>
      <c r="S46" s="133"/>
      <c r="T46" s="114"/>
      <c r="U46" s="114" t="s">
        <v>1038</v>
      </c>
      <c r="V46" t="s">
        <v>558</v>
      </c>
    </row>
    <row r="47" spans="1:24" x14ac:dyDescent="0.55000000000000004">
      <c r="A47" s="114">
        <v>16</v>
      </c>
      <c r="B47" s="114"/>
      <c r="C47" s="114" t="s">
        <v>1037</v>
      </c>
      <c r="D47" s="114"/>
      <c r="E47" s="114" t="s">
        <v>1026</v>
      </c>
      <c r="F47" s="114" t="s">
        <v>915</v>
      </c>
      <c r="G47" s="114">
        <v>77.816999999999993</v>
      </c>
      <c r="H47" s="114">
        <v>87.241</v>
      </c>
      <c r="I47" s="137">
        <f>H47-G47</f>
        <v>9.4240000000000066</v>
      </c>
      <c r="J47" s="137">
        <f>I47*0.0973</f>
        <v>0.91695520000000064</v>
      </c>
      <c r="K47" s="143">
        <f>J47*20</f>
        <v>18.339104000000013</v>
      </c>
      <c r="L47" s="114">
        <v>51.99</v>
      </c>
      <c r="M47" s="114">
        <v>886</v>
      </c>
      <c r="N47" s="114">
        <v>4159</v>
      </c>
      <c r="O47" s="114">
        <v>204.58</v>
      </c>
      <c r="P47" s="137">
        <f>O47-L47</f>
        <v>152.59</v>
      </c>
      <c r="Q47" s="114"/>
      <c r="R47" s="133"/>
      <c r="S47" s="133"/>
      <c r="T47" s="114"/>
      <c r="U47" s="114" t="s">
        <v>1035</v>
      </c>
      <c r="V47" t="s">
        <v>558</v>
      </c>
    </row>
    <row r="48" spans="1:24" x14ac:dyDescent="0.55000000000000004">
      <c r="A48" s="114"/>
      <c r="B48" s="114">
        <v>31</v>
      </c>
      <c r="C48" s="114" t="s">
        <v>1021</v>
      </c>
      <c r="D48" s="114"/>
      <c r="E48" s="114" t="s">
        <v>1026</v>
      </c>
      <c r="F48" s="114" t="s">
        <v>915</v>
      </c>
      <c r="G48" s="114" t="s">
        <v>325</v>
      </c>
      <c r="H48" s="114"/>
      <c r="I48" s="137"/>
      <c r="J48" s="137"/>
      <c r="K48" s="143"/>
      <c r="L48" s="114">
        <v>11.36</v>
      </c>
      <c r="M48" s="114"/>
      <c r="N48" s="114"/>
      <c r="O48" s="114"/>
      <c r="P48" s="137">
        <f>O48-L48</f>
        <v>-11.36</v>
      </c>
      <c r="Q48" s="114"/>
      <c r="R48" s="114">
        <v>8</v>
      </c>
      <c r="S48" s="114">
        <v>0</v>
      </c>
      <c r="T48" s="114"/>
      <c r="U48" s="133"/>
      <c r="X48">
        <f>S48/R48</f>
        <v>0</v>
      </c>
    </row>
    <row r="49" spans="1:25" x14ac:dyDescent="0.55000000000000004">
      <c r="A49" s="114">
        <v>17</v>
      </c>
      <c r="B49" s="114">
        <v>32</v>
      </c>
      <c r="C49" s="114" t="s">
        <v>1022</v>
      </c>
      <c r="D49" s="114"/>
      <c r="E49" s="114" t="s">
        <v>1026</v>
      </c>
      <c r="F49" s="114" t="s">
        <v>915</v>
      </c>
      <c r="G49" s="114">
        <v>89.031999999999996</v>
      </c>
      <c r="H49" s="114">
        <v>105.23</v>
      </c>
      <c r="I49" s="137">
        <f t="shared" si="5"/>
        <v>16.198000000000008</v>
      </c>
      <c r="J49" s="137">
        <f t="shared" si="6"/>
        <v>1.5760654000000007</v>
      </c>
      <c r="K49" s="143">
        <f t="shared" si="7"/>
        <v>31.521308000000015</v>
      </c>
      <c r="L49" s="114">
        <v>14.2</v>
      </c>
      <c r="M49" s="114">
        <v>1140</v>
      </c>
      <c r="N49" s="114">
        <v>1940</v>
      </c>
      <c r="O49" s="114">
        <v>98.74</v>
      </c>
      <c r="P49" s="137">
        <f>O49-L49</f>
        <v>84.539999999999992</v>
      </c>
      <c r="Q49" s="114"/>
      <c r="R49" s="114">
        <v>13</v>
      </c>
      <c r="S49" s="114">
        <v>1</v>
      </c>
      <c r="T49" s="114"/>
      <c r="U49" s="114" t="s">
        <v>1040</v>
      </c>
      <c r="X49">
        <f>S49/R49</f>
        <v>7.6923076923076927E-2</v>
      </c>
    </row>
    <row r="50" spans="1:25" x14ac:dyDescent="0.55000000000000004">
      <c r="A50" s="114">
        <v>18</v>
      </c>
      <c r="B50" s="114">
        <v>33</v>
      </c>
      <c r="C50" s="114" t="s">
        <v>1041</v>
      </c>
      <c r="D50" s="114"/>
      <c r="E50" s="114" t="s">
        <v>1026</v>
      </c>
      <c r="F50" s="114" t="s">
        <v>915</v>
      </c>
      <c r="G50" s="114">
        <v>78.694000000000003</v>
      </c>
      <c r="H50" s="114">
        <v>82.207999999999998</v>
      </c>
      <c r="I50" s="137">
        <f t="shared" si="5"/>
        <v>3.5139999999999958</v>
      </c>
      <c r="J50" s="137">
        <f t="shared" si="6"/>
        <v>0.34191219999999956</v>
      </c>
      <c r="K50" s="143">
        <f t="shared" si="7"/>
        <v>6.8382439999999907</v>
      </c>
      <c r="L50" s="114" t="s">
        <v>742</v>
      </c>
      <c r="M50" s="114">
        <v>35</v>
      </c>
      <c r="N50" s="114">
        <v>320</v>
      </c>
      <c r="O50" s="114">
        <v>15.8</v>
      </c>
      <c r="P50" s="137"/>
      <c r="Q50" s="114"/>
      <c r="R50" s="114">
        <v>13</v>
      </c>
      <c r="S50" s="114">
        <v>2</v>
      </c>
      <c r="T50" s="114"/>
      <c r="U50" s="114" t="s">
        <v>1040</v>
      </c>
      <c r="X50">
        <f>S50/R50</f>
        <v>0.15384615384615385</v>
      </c>
    </row>
    <row r="51" spans="1:25" x14ac:dyDescent="0.55000000000000004">
      <c r="A51" s="114">
        <v>19</v>
      </c>
      <c r="B51" s="114"/>
      <c r="C51" s="114" t="s">
        <v>1043</v>
      </c>
      <c r="D51" s="114"/>
      <c r="E51" s="114" t="s">
        <v>1026</v>
      </c>
      <c r="F51" s="114" t="s">
        <v>915</v>
      </c>
      <c r="G51" s="114">
        <v>78.694000000000003</v>
      </c>
      <c r="H51" s="114">
        <v>89.808999999999997</v>
      </c>
      <c r="I51" s="137">
        <f t="shared" si="5"/>
        <v>11.114999999999995</v>
      </c>
      <c r="J51" s="137">
        <f t="shared" si="6"/>
        <v>1.0814894999999995</v>
      </c>
      <c r="K51" s="143">
        <f t="shared" si="7"/>
        <v>21.629789999999993</v>
      </c>
      <c r="L51" s="114" t="s">
        <v>742</v>
      </c>
      <c r="M51" s="114">
        <v>35</v>
      </c>
      <c r="N51" s="114">
        <v>2148</v>
      </c>
      <c r="O51" s="114">
        <v>106.04</v>
      </c>
      <c r="P51" s="137"/>
      <c r="Q51" s="114"/>
      <c r="R51" s="133"/>
      <c r="S51" s="133"/>
      <c r="T51" s="114" t="s">
        <v>1045</v>
      </c>
      <c r="U51" s="114" t="s">
        <v>1042</v>
      </c>
      <c r="V51" t="s">
        <v>455</v>
      </c>
    </row>
    <row r="52" spans="1:25" s="111" customFormat="1" x14ac:dyDescent="0.55000000000000004">
      <c r="A52" s="124"/>
      <c r="B52" s="124"/>
      <c r="C52" s="124" t="s">
        <v>1044</v>
      </c>
      <c r="D52" s="124"/>
      <c r="E52" s="124" t="s">
        <v>1026</v>
      </c>
      <c r="F52" s="124" t="s">
        <v>915</v>
      </c>
      <c r="G52" s="124">
        <v>86.379000000000005</v>
      </c>
      <c r="H52" s="124">
        <v>93.271000000000001</v>
      </c>
      <c r="I52" s="124">
        <f>H52-G52</f>
        <v>6.8919999999999959</v>
      </c>
      <c r="J52" s="124">
        <f>I52*0.0973</f>
        <v>0.67059159999999962</v>
      </c>
      <c r="K52" s="144">
        <f>J52*20</f>
        <v>13.411831999999993</v>
      </c>
      <c r="L52" s="124" t="s">
        <v>742</v>
      </c>
      <c r="M52" s="124">
        <v>35</v>
      </c>
      <c r="N52" s="124">
        <v>2148</v>
      </c>
      <c r="O52" s="124">
        <v>106.04</v>
      </c>
      <c r="P52" s="124"/>
      <c r="Q52" s="124"/>
      <c r="R52" s="138"/>
      <c r="S52" s="138"/>
      <c r="T52" s="124"/>
      <c r="U52" s="138"/>
      <c r="X52"/>
    </row>
    <row r="53" spans="1:25" x14ac:dyDescent="0.55000000000000004">
      <c r="A53" s="114">
        <v>20</v>
      </c>
      <c r="B53" s="114">
        <v>34</v>
      </c>
      <c r="C53" s="114" t="s">
        <v>1046</v>
      </c>
      <c r="D53" s="114"/>
      <c r="E53" s="114" t="s">
        <v>1026</v>
      </c>
      <c r="F53" s="114" t="s">
        <v>915</v>
      </c>
      <c r="G53" s="114">
        <v>86.18</v>
      </c>
      <c r="H53" s="114">
        <v>92.555000000000007</v>
      </c>
      <c r="I53" s="137">
        <f t="shared" si="5"/>
        <v>6.375</v>
      </c>
      <c r="J53" s="137">
        <f t="shared" si="6"/>
        <v>0.62028749999999999</v>
      </c>
      <c r="K53" s="143">
        <f t="shared" si="7"/>
        <v>12.405749999999999</v>
      </c>
      <c r="L53" s="114" t="s">
        <v>742</v>
      </c>
      <c r="M53" s="114">
        <v>49</v>
      </c>
      <c r="N53" s="114">
        <v>2204</v>
      </c>
      <c r="O53" s="114">
        <v>106.88</v>
      </c>
      <c r="P53" s="137" t="s">
        <v>1051</v>
      </c>
      <c r="Q53" s="114"/>
      <c r="R53" s="114">
        <v>12</v>
      </c>
      <c r="S53" s="114">
        <v>3</v>
      </c>
      <c r="T53" s="114"/>
      <c r="U53" s="114" t="s">
        <v>1048</v>
      </c>
      <c r="V53" t="s">
        <v>455</v>
      </c>
      <c r="X53">
        <f>S53/R53</f>
        <v>0.25</v>
      </c>
    </row>
    <row r="54" spans="1:25" x14ac:dyDescent="0.55000000000000004">
      <c r="A54" s="114">
        <v>21</v>
      </c>
      <c r="B54" s="114"/>
      <c r="C54" s="114" t="s">
        <v>1047</v>
      </c>
      <c r="D54" s="114"/>
      <c r="E54" s="114" t="s">
        <v>1026</v>
      </c>
      <c r="F54" s="114" t="s">
        <v>915</v>
      </c>
      <c r="G54" s="114">
        <v>86.18</v>
      </c>
      <c r="H54" s="114">
        <v>94.075999999999993</v>
      </c>
      <c r="I54" s="137">
        <f>H54-G54</f>
        <v>7.8959999999999866</v>
      </c>
      <c r="J54" s="137">
        <f>I54*0.0973</f>
        <v>0.76828079999999865</v>
      </c>
      <c r="K54" s="143">
        <f>J54*20</f>
        <v>15.365615999999973</v>
      </c>
      <c r="L54" s="114" t="s">
        <v>742</v>
      </c>
      <c r="M54" s="114">
        <v>49</v>
      </c>
      <c r="N54" s="114">
        <v>2746</v>
      </c>
      <c r="O54" s="114">
        <v>133.16</v>
      </c>
      <c r="P54" s="137"/>
      <c r="Q54" s="114"/>
      <c r="R54" s="133"/>
      <c r="S54" s="133"/>
      <c r="T54" s="114"/>
      <c r="U54" s="114" t="s">
        <v>1049</v>
      </c>
      <c r="V54" t="s">
        <v>558</v>
      </c>
    </row>
    <row r="55" spans="1:25" x14ac:dyDescent="0.55000000000000004">
      <c r="A55" s="114">
        <v>22</v>
      </c>
      <c r="B55" s="114"/>
      <c r="C55" s="114" t="s">
        <v>1047</v>
      </c>
      <c r="D55" s="114"/>
      <c r="E55" s="114" t="s">
        <v>1026</v>
      </c>
      <c r="F55" s="114" t="s">
        <v>915</v>
      </c>
      <c r="G55" s="114">
        <v>86.18</v>
      </c>
      <c r="H55" s="114">
        <v>95.721000000000004</v>
      </c>
      <c r="I55" s="137">
        <f>H55-G55</f>
        <v>9.5409999999999968</v>
      </c>
      <c r="J55" s="137">
        <f>I55*0.0973</f>
        <v>0.92833929999999965</v>
      </c>
      <c r="K55" s="143">
        <f>J55*20</f>
        <v>18.566785999999993</v>
      </c>
      <c r="L55" s="114" t="s">
        <v>742</v>
      </c>
      <c r="M55" s="114">
        <v>49</v>
      </c>
      <c r="N55" s="114">
        <v>3189</v>
      </c>
      <c r="O55" s="114">
        <v>154.63999999999999</v>
      </c>
      <c r="P55" s="137"/>
      <c r="Q55" s="114"/>
      <c r="R55" s="133"/>
      <c r="S55" s="133"/>
      <c r="T55" s="114"/>
      <c r="U55" s="114" t="s">
        <v>1049</v>
      </c>
      <c r="V55" t="s">
        <v>558</v>
      </c>
    </row>
    <row r="56" spans="1:25" x14ac:dyDescent="0.55000000000000004">
      <c r="A56" s="114">
        <v>23</v>
      </c>
      <c r="B56" s="114">
        <v>35</v>
      </c>
      <c r="C56" s="114" t="s">
        <v>1023</v>
      </c>
      <c r="D56" s="114"/>
      <c r="E56" s="114" t="s">
        <v>1026</v>
      </c>
      <c r="F56" s="114" t="s">
        <v>915</v>
      </c>
      <c r="G56" s="114">
        <v>85.504999999999995</v>
      </c>
      <c r="H56" s="114">
        <v>93.646000000000001</v>
      </c>
      <c r="I56" s="137">
        <f t="shared" si="5"/>
        <v>8.1410000000000053</v>
      </c>
      <c r="J56" s="137">
        <f t="shared" si="6"/>
        <v>0.79211930000000053</v>
      </c>
      <c r="K56" s="143">
        <f t="shared" si="7"/>
        <v>15.84238600000001</v>
      </c>
      <c r="L56" s="114">
        <v>84.01</v>
      </c>
      <c r="M56" s="114">
        <v>1352</v>
      </c>
      <c r="N56" s="114">
        <v>4003</v>
      </c>
      <c r="O56" s="114">
        <v>204.44</v>
      </c>
      <c r="P56" s="137">
        <f>O56-L56</f>
        <v>120.42999999999999</v>
      </c>
      <c r="Q56" s="114"/>
      <c r="R56" s="114">
        <v>6</v>
      </c>
      <c r="S56" s="114">
        <v>1</v>
      </c>
      <c r="T56" s="114"/>
      <c r="U56" s="114" t="s">
        <v>1040</v>
      </c>
      <c r="X56">
        <f>S56/R56</f>
        <v>0.16666666666666666</v>
      </c>
    </row>
    <row r="57" spans="1:25" x14ac:dyDescent="0.55000000000000004">
      <c r="A57" s="114"/>
      <c r="B57" s="114">
        <v>37</v>
      </c>
      <c r="C57" s="114" t="s">
        <v>1024</v>
      </c>
      <c r="D57" s="114"/>
      <c r="E57" s="114" t="s">
        <v>1026</v>
      </c>
      <c r="F57" s="114" t="s">
        <v>915</v>
      </c>
      <c r="G57" s="114" t="s">
        <v>325</v>
      </c>
      <c r="H57" s="114"/>
      <c r="I57" s="137"/>
      <c r="J57" s="137"/>
      <c r="K57" s="143"/>
      <c r="L57" s="114">
        <v>131.96</v>
      </c>
      <c r="M57" s="114"/>
      <c r="N57" s="114"/>
      <c r="O57" s="114"/>
      <c r="P57" s="137">
        <f>O57-L57</f>
        <v>-131.96</v>
      </c>
      <c r="Q57" s="114"/>
      <c r="R57" s="114">
        <v>6</v>
      </c>
      <c r="S57" s="114">
        <v>0</v>
      </c>
      <c r="T57" s="114"/>
      <c r="U57" s="114"/>
      <c r="X57">
        <f>S57/R57</f>
        <v>0</v>
      </c>
    </row>
    <row r="58" spans="1:25" x14ac:dyDescent="0.55000000000000004">
      <c r="A58" s="114"/>
      <c r="B58" s="114">
        <v>38</v>
      </c>
      <c r="C58" s="114" t="s">
        <v>1025</v>
      </c>
      <c r="D58" s="114"/>
      <c r="E58" s="114" t="s">
        <v>1026</v>
      </c>
      <c r="F58" s="114" t="s">
        <v>915</v>
      </c>
      <c r="G58" s="114"/>
      <c r="H58" s="114"/>
      <c r="I58" s="137">
        <f t="shared" si="5"/>
        <v>0</v>
      </c>
      <c r="J58" s="137">
        <f t="shared" si="6"/>
        <v>0</v>
      </c>
      <c r="K58" s="143">
        <f t="shared" si="7"/>
        <v>0</v>
      </c>
      <c r="L58" s="114"/>
      <c r="M58" s="114"/>
      <c r="N58" s="114"/>
      <c r="O58" s="114"/>
      <c r="P58" s="137">
        <f>O58-L58</f>
        <v>0</v>
      </c>
      <c r="Q58" s="114"/>
      <c r="R58" s="114">
        <v>7</v>
      </c>
      <c r="S58" s="114">
        <v>0</v>
      </c>
      <c r="T58" s="114"/>
      <c r="U58" s="114"/>
      <c r="X58">
        <f>S58/R58</f>
        <v>0</v>
      </c>
    </row>
    <row r="59" spans="1:25" x14ac:dyDescent="0.55000000000000004">
      <c r="B59" s="3">
        <v>28</v>
      </c>
      <c r="R59">
        <f>SUM(R2:R14,R26:R58)</f>
        <v>265</v>
      </c>
      <c r="S59">
        <f>SUM(S2:S14,S26:S58)</f>
        <v>26</v>
      </c>
    </row>
    <row r="60" spans="1:25" x14ac:dyDescent="0.55000000000000004">
      <c r="J60" t="s">
        <v>166</v>
      </c>
      <c r="K60" s="3">
        <f>(SUM(K2,K6:K8,K26:K27,K29:K30,K32:K33,K36,K40:K41,K45:K47,K49:K51,K53:K56))/(COUNT(K2,K6:K8,K26:K27,K29:K30,K32:K33,K36,K40:K41,K45:K47,K49:K51,K53:K56))</f>
        <v>19.027141913043476</v>
      </c>
      <c r="R60">
        <f>(S59/R59)*100</f>
        <v>9.8113207547169825</v>
      </c>
      <c r="X60">
        <f>(SUM(X56:X58,X53,X50,X48:X49,X43:X45,X34:X40,X29,X26,X10:X14,X4:X6,X2)/COUNT(X56:X58,X53,X50,X48:X49,X43:X45,X34:X40,X29,X26,X10:X14,X4:X6,X2))*100</f>
        <v>9.3063186813186825</v>
      </c>
      <c r="Y60">
        <f>(STDEV(X56:X58,X53,X48:X50,X43:X45,X34:X40,X29,X26,X10:X14,X4:X5,X2)/SQRT(COUNT(X56:X58,X53,X48:X50,X43:X45,X34:X40,X29,X26,X10:X14,X4:X5,X2)))*100</f>
        <v>2.4271408152359202</v>
      </c>
    </row>
    <row r="61" spans="1:25" x14ac:dyDescent="0.55000000000000004">
      <c r="J61" t="s">
        <v>434</v>
      </c>
      <c r="K61" s="3">
        <f xml:space="preserve"> STDEV(K2,K6:K8,K26:K27,K29:K30,K32:K33,K36,K40:K41,K45:K47,K49:K51,K53:K56)/SQRT(COUNT(K2,K6:K8,K26:K27,K29:K30,K32:K33,K36,K40:K41,K45:K47,K49:K51,K53:K56))</f>
        <v>2.4622942132110257</v>
      </c>
    </row>
    <row r="64" spans="1:25" x14ac:dyDescent="0.55000000000000004">
      <c r="C64">
        <v>26.500627999999988</v>
      </c>
      <c r="D64">
        <v>51.491159999999986</v>
      </c>
      <c r="E64">
        <v>11.884221999999998</v>
      </c>
      <c r="F64">
        <v>19.681844000000002</v>
      </c>
      <c r="G64">
        <v>5.7990799999999796</v>
      </c>
      <c r="H64">
        <v>17.475079999999981</v>
      </c>
      <c r="I64">
        <v>2.1561680000000081</v>
      </c>
      <c r="J64">
        <v>21.830228000000005</v>
      </c>
      <c r="K64" s="85">
        <v>31.326707999999996</v>
      </c>
      <c r="L64">
        <v>5.4429619999999943</v>
      </c>
      <c r="M64">
        <v>24.899070000000002</v>
      </c>
      <c r="N64">
        <v>28.213108000000009</v>
      </c>
      <c r="O64">
        <v>35.461957999999996</v>
      </c>
      <c r="P64">
        <v>1.7494540000000016</v>
      </c>
      <c r="Q64">
        <v>13.203610000000021</v>
      </c>
      <c r="R64">
        <v>18.339104000000013</v>
      </c>
      <c r="S64">
        <v>31.521308000000015</v>
      </c>
      <c r="T64">
        <v>6.8382439999999907</v>
      </c>
      <c r="U64">
        <v>21.629789999999993</v>
      </c>
      <c r="V64">
        <v>12.405749999999999</v>
      </c>
      <c r="W64">
        <v>15.365615999999973</v>
      </c>
      <c r="X64">
        <v>18.566785999999993</v>
      </c>
      <c r="Y64">
        <v>15.84238600000001</v>
      </c>
    </row>
    <row r="71" spans="3:3" x14ac:dyDescent="0.55000000000000004">
      <c r="C71">
        <v>26.500627999999988</v>
      </c>
    </row>
  </sheetData>
  <pageMargins left="0.7" right="0.7" top="0.75" bottom="0.75" header="0.3" footer="0.3"/>
  <pageSetup paperSize="9" orientation="portrait" horizontalDpi="4294967293" verticalDpi="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B74"/>
  <sheetViews>
    <sheetView topLeftCell="A40" zoomScale="85" zoomScaleNormal="85" workbookViewId="0">
      <selection activeCell="Y56" sqref="Y56"/>
    </sheetView>
  </sheetViews>
  <sheetFormatPr defaultRowHeight="14.4" x14ac:dyDescent="0.55000000000000004"/>
  <cols>
    <col min="1" max="1" width="3.89453125" customWidth="1"/>
    <col min="2" max="2" width="3.734375" customWidth="1"/>
    <col min="3" max="3" width="11.41796875" customWidth="1"/>
    <col min="4" max="4" width="6.5234375" customWidth="1"/>
    <col min="5" max="5" width="10.20703125" customWidth="1"/>
    <col min="6" max="6" width="12.68359375" customWidth="1"/>
    <col min="11" max="11" width="8.83984375" style="3"/>
  </cols>
  <sheetData>
    <row r="1" spans="1:24" ht="72" x14ac:dyDescent="0.55000000000000004">
      <c r="A1" t="s">
        <v>923</v>
      </c>
      <c r="B1" t="s">
        <v>922</v>
      </c>
      <c r="C1" s="2" t="s">
        <v>0</v>
      </c>
      <c r="D1" s="2" t="s">
        <v>1</v>
      </c>
      <c r="E1" s="2" t="s">
        <v>90</v>
      </c>
      <c r="F1" s="2" t="s">
        <v>88</v>
      </c>
      <c r="G1" s="2" t="s">
        <v>2</v>
      </c>
      <c r="H1" s="2" t="s">
        <v>3</v>
      </c>
      <c r="I1" s="2" t="s">
        <v>11</v>
      </c>
      <c r="J1" s="2" t="s">
        <v>12</v>
      </c>
      <c r="K1" s="2" t="s">
        <v>4</v>
      </c>
      <c r="L1" s="2" t="s">
        <v>19</v>
      </c>
      <c r="M1" s="2" t="s">
        <v>10</v>
      </c>
      <c r="N1" s="2" t="s">
        <v>8</v>
      </c>
      <c r="O1" s="2" t="s">
        <v>9</v>
      </c>
      <c r="P1" s="2" t="s">
        <v>123</v>
      </c>
      <c r="Q1" s="2" t="s">
        <v>5</v>
      </c>
      <c r="R1" s="2" t="s">
        <v>396</v>
      </c>
      <c r="S1" s="2" t="s">
        <v>397</v>
      </c>
      <c r="T1" s="2" t="s">
        <v>948</v>
      </c>
      <c r="U1" s="114" t="s">
        <v>1027</v>
      </c>
      <c r="V1" s="116" t="s">
        <v>1050</v>
      </c>
    </row>
    <row r="2" spans="1:24" x14ac:dyDescent="0.55000000000000004">
      <c r="B2">
        <v>1</v>
      </c>
      <c r="C2" t="s">
        <v>949</v>
      </c>
      <c r="E2" t="s">
        <v>966</v>
      </c>
      <c r="F2" t="s">
        <v>955</v>
      </c>
      <c r="G2" t="s">
        <v>18</v>
      </c>
      <c r="L2">
        <v>59.65</v>
      </c>
      <c r="R2">
        <v>10</v>
      </c>
      <c r="S2">
        <v>0</v>
      </c>
      <c r="X2">
        <f>S2/R2</f>
        <v>0</v>
      </c>
    </row>
    <row r="3" spans="1:24" x14ac:dyDescent="0.55000000000000004">
      <c r="B3">
        <v>2</v>
      </c>
      <c r="C3" t="s">
        <v>950</v>
      </c>
      <c r="E3" t="s">
        <v>966</v>
      </c>
      <c r="F3" t="s">
        <v>955</v>
      </c>
      <c r="G3" t="s">
        <v>18</v>
      </c>
      <c r="L3">
        <v>33.83</v>
      </c>
      <c r="R3">
        <v>5</v>
      </c>
      <c r="S3">
        <v>0</v>
      </c>
      <c r="X3">
        <f t="shared" ref="X3:X54" si="0">S3/R3</f>
        <v>0</v>
      </c>
    </row>
    <row r="4" spans="1:24" s="6" customFormat="1" x14ac:dyDescent="0.55000000000000004">
      <c r="B4" s="6">
        <v>3</v>
      </c>
      <c r="C4" s="6" t="s">
        <v>963</v>
      </c>
      <c r="E4" s="6" t="s">
        <v>966</v>
      </c>
      <c r="F4" s="6" t="s">
        <v>955</v>
      </c>
      <c r="G4" s="6">
        <v>85.197000000000003</v>
      </c>
      <c r="H4" s="6">
        <v>80.644999999999996</v>
      </c>
      <c r="I4" s="6">
        <f>H4-G4</f>
        <v>-4.5520000000000067</v>
      </c>
      <c r="J4" s="6">
        <f>I4*0.0973</f>
        <v>-0.44290960000000063</v>
      </c>
      <c r="K4" s="12">
        <f>J4*20</f>
        <v>-8.8581920000000132</v>
      </c>
      <c r="L4" s="6">
        <v>129.15</v>
      </c>
      <c r="M4" s="6">
        <v>2563</v>
      </c>
      <c r="N4" s="6">
        <v>3488</v>
      </c>
      <c r="O4" s="6">
        <v>179.83</v>
      </c>
      <c r="P4" s="6">
        <f>O4-L4</f>
        <v>50.680000000000007</v>
      </c>
      <c r="R4">
        <v>17</v>
      </c>
      <c r="S4">
        <v>2</v>
      </c>
      <c r="T4" s="85" t="s">
        <v>970</v>
      </c>
      <c r="X4">
        <f t="shared" si="0"/>
        <v>0.11764705882352941</v>
      </c>
    </row>
    <row r="5" spans="1:24" x14ac:dyDescent="0.55000000000000004">
      <c r="A5" s="53">
        <v>1</v>
      </c>
      <c r="C5" t="s">
        <v>964</v>
      </c>
      <c r="E5" t="s">
        <v>966</v>
      </c>
      <c r="F5" t="s">
        <v>955</v>
      </c>
      <c r="G5">
        <v>75.457999999999998</v>
      </c>
      <c r="H5">
        <v>107.613</v>
      </c>
      <c r="I5" s="85">
        <f>H5-G5</f>
        <v>32.155000000000001</v>
      </c>
      <c r="J5" s="85">
        <f>I5*0.0973</f>
        <v>3.1286814999999999</v>
      </c>
      <c r="K5" s="3">
        <f>J5*20</f>
        <v>62.573629999999994</v>
      </c>
      <c r="L5">
        <v>129.15</v>
      </c>
      <c r="M5">
        <v>2822</v>
      </c>
      <c r="N5">
        <v>4140</v>
      </c>
      <c r="O5">
        <v>213.45</v>
      </c>
      <c r="P5">
        <f>O5-L5</f>
        <v>84.299999999999983</v>
      </c>
      <c r="R5" s="108"/>
      <c r="S5" s="108"/>
    </row>
    <row r="6" spans="1:24" x14ac:dyDescent="0.55000000000000004">
      <c r="A6" s="53">
        <v>2</v>
      </c>
      <c r="C6" t="s">
        <v>965</v>
      </c>
      <c r="E6" t="s">
        <v>966</v>
      </c>
      <c r="F6" t="s">
        <v>955</v>
      </c>
      <c r="G6">
        <v>75.457999999999998</v>
      </c>
      <c r="H6">
        <v>94.483999999999995</v>
      </c>
      <c r="I6" s="85">
        <f>H6-G6</f>
        <v>19.025999999999996</v>
      </c>
      <c r="J6" s="85">
        <f>I6*0.0973</f>
        <v>1.8512297999999996</v>
      </c>
      <c r="K6" s="3">
        <f>J6*20</f>
        <v>37.024595999999988</v>
      </c>
      <c r="L6">
        <v>129.15</v>
      </c>
      <c r="M6">
        <v>2822</v>
      </c>
      <c r="N6">
        <v>4680</v>
      </c>
      <c r="O6">
        <v>241.29</v>
      </c>
      <c r="P6">
        <f>O6-L6</f>
        <v>112.13999999999999</v>
      </c>
      <c r="Q6" t="s">
        <v>969</v>
      </c>
      <c r="R6" s="108"/>
      <c r="S6" s="108"/>
    </row>
    <row r="7" spans="1:24" s="6" customFormat="1" x14ac:dyDescent="0.55000000000000004">
      <c r="C7" s="6" t="s">
        <v>967</v>
      </c>
      <c r="E7" s="6" t="s">
        <v>966</v>
      </c>
      <c r="F7" s="6" t="s">
        <v>955</v>
      </c>
      <c r="G7" s="6">
        <v>83.825999999999993</v>
      </c>
      <c r="H7" s="6">
        <v>78.668000000000006</v>
      </c>
      <c r="I7" s="6">
        <f>H7-G7</f>
        <v>-5.157999999999987</v>
      </c>
      <c r="J7" s="6">
        <f>I7*0.0973</f>
        <v>-0.50187339999999869</v>
      </c>
      <c r="K7" s="12">
        <f>J7*20</f>
        <v>-10.037467999999974</v>
      </c>
      <c r="L7" s="6">
        <v>129.15</v>
      </c>
      <c r="M7" s="6">
        <v>3013</v>
      </c>
      <c r="N7" s="6">
        <v>5930</v>
      </c>
      <c r="O7" s="6">
        <v>305.73</v>
      </c>
      <c r="P7" s="6">
        <f>O7-L7</f>
        <v>176.58</v>
      </c>
      <c r="Q7" s="6" t="s">
        <v>968</v>
      </c>
      <c r="R7" s="109"/>
      <c r="S7" s="109"/>
      <c r="X7"/>
    </row>
    <row r="8" spans="1:24" x14ac:dyDescent="0.55000000000000004">
      <c r="B8">
        <v>4</v>
      </c>
      <c r="C8" t="s">
        <v>951</v>
      </c>
      <c r="E8" t="s">
        <v>966</v>
      </c>
      <c r="F8" t="s">
        <v>955</v>
      </c>
      <c r="G8" t="s">
        <v>18</v>
      </c>
      <c r="I8" s="85"/>
      <c r="J8" s="85"/>
      <c r="L8">
        <v>12.55</v>
      </c>
      <c r="R8">
        <v>12</v>
      </c>
      <c r="S8">
        <v>0</v>
      </c>
      <c r="X8">
        <f t="shared" si="0"/>
        <v>0</v>
      </c>
    </row>
    <row r="9" spans="1:24" x14ac:dyDescent="0.55000000000000004">
      <c r="B9">
        <v>5</v>
      </c>
      <c r="C9" t="s">
        <v>952</v>
      </c>
      <c r="E9" t="s">
        <v>966</v>
      </c>
      <c r="F9" t="s">
        <v>955</v>
      </c>
      <c r="G9" t="s">
        <v>18</v>
      </c>
      <c r="I9" s="85"/>
      <c r="J9" s="85"/>
      <c r="L9">
        <v>57.95</v>
      </c>
      <c r="R9">
        <v>11</v>
      </c>
      <c r="S9">
        <v>0</v>
      </c>
      <c r="X9">
        <f t="shared" si="0"/>
        <v>0</v>
      </c>
    </row>
    <row r="10" spans="1:24" x14ac:dyDescent="0.55000000000000004">
      <c r="B10">
        <v>6</v>
      </c>
      <c r="C10" t="s">
        <v>953</v>
      </c>
      <c r="E10" t="s">
        <v>971</v>
      </c>
      <c r="F10" t="s">
        <v>955</v>
      </c>
      <c r="G10" t="s">
        <v>18</v>
      </c>
      <c r="I10" s="85"/>
      <c r="J10" s="85"/>
      <c r="L10">
        <v>64.260000000000005</v>
      </c>
      <c r="R10">
        <v>6</v>
      </c>
      <c r="S10">
        <v>0</v>
      </c>
      <c r="X10">
        <f t="shared" si="0"/>
        <v>0</v>
      </c>
    </row>
    <row r="11" spans="1:24" x14ac:dyDescent="0.55000000000000004">
      <c r="A11">
        <v>3</v>
      </c>
      <c r="B11">
        <v>7</v>
      </c>
      <c r="C11" t="s">
        <v>977</v>
      </c>
      <c r="E11" t="s">
        <v>971</v>
      </c>
      <c r="F11" t="s">
        <v>955</v>
      </c>
      <c r="G11">
        <v>84.673000000000002</v>
      </c>
      <c r="H11">
        <v>95.191999999999993</v>
      </c>
      <c r="I11" s="85">
        <f>H11-G11</f>
        <v>10.518999999999991</v>
      </c>
      <c r="J11" s="85">
        <f>I11*0.0973</f>
        <v>1.0234986999999991</v>
      </c>
      <c r="K11" s="3">
        <f>J11*20</f>
        <v>20.469973999999983</v>
      </c>
      <c r="L11">
        <v>63.16</v>
      </c>
      <c r="M11">
        <v>1397</v>
      </c>
      <c r="N11">
        <v>3298</v>
      </c>
      <c r="O11">
        <v>163.75</v>
      </c>
      <c r="P11">
        <f>O11-L11</f>
        <v>100.59</v>
      </c>
      <c r="Q11" t="s">
        <v>974</v>
      </c>
      <c r="R11">
        <v>8</v>
      </c>
      <c r="S11">
        <v>2</v>
      </c>
      <c r="X11">
        <f t="shared" si="0"/>
        <v>0.25</v>
      </c>
    </row>
    <row r="12" spans="1:24" s="111" customFormat="1" x14ac:dyDescent="0.55000000000000004">
      <c r="C12" s="111" t="s">
        <v>978</v>
      </c>
      <c r="E12" s="111" t="s">
        <v>971</v>
      </c>
      <c r="F12" s="111" t="s">
        <v>955</v>
      </c>
      <c r="G12" s="111">
        <v>83.271000000000001</v>
      </c>
      <c r="H12" s="111">
        <v>91.024000000000001</v>
      </c>
      <c r="I12" s="111">
        <f>H12-G12</f>
        <v>7.7530000000000001</v>
      </c>
      <c r="J12" s="111">
        <f>I12*0.0973</f>
        <v>0.75436689999999995</v>
      </c>
      <c r="K12" s="113">
        <f>J12*20</f>
        <v>15.087337999999999</v>
      </c>
      <c r="L12" s="111">
        <v>63.16</v>
      </c>
      <c r="M12" s="111">
        <v>1397</v>
      </c>
      <c r="N12" s="111">
        <v>3298</v>
      </c>
      <c r="O12" s="111">
        <v>163.75</v>
      </c>
      <c r="P12" s="111">
        <f>O12-L12</f>
        <v>100.59</v>
      </c>
      <c r="R12" s="112"/>
      <c r="S12" s="112"/>
      <c r="X12"/>
    </row>
    <row r="13" spans="1:24" x14ac:dyDescent="0.55000000000000004">
      <c r="A13">
        <v>4</v>
      </c>
      <c r="C13" t="s">
        <v>975</v>
      </c>
      <c r="E13" t="s">
        <v>971</v>
      </c>
      <c r="F13" t="s">
        <v>955</v>
      </c>
      <c r="G13">
        <v>84.673000000000002</v>
      </c>
      <c r="H13">
        <v>96.417000000000002</v>
      </c>
      <c r="I13" s="85">
        <f>H13-G13</f>
        <v>11.744</v>
      </c>
      <c r="J13" s="85">
        <f>I13*0.0973</f>
        <v>1.1426912</v>
      </c>
      <c r="K13" s="3">
        <f>J13*20</f>
        <v>22.853823999999999</v>
      </c>
      <c r="L13">
        <v>63.16</v>
      </c>
      <c r="M13">
        <v>3445</v>
      </c>
      <c r="N13">
        <v>4885</v>
      </c>
      <c r="O13">
        <v>242.55</v>
      </c>
      <c r="P13">
        <f>O13-L13</f>
        <v>179.39000000000001</v>
      </c>
      <c r="Q13" t="s">
        <v>979</v>
      </c>
      <c r="R13" s="108"/>
      <c r="S13" s="108"/>
    </row>
    <row r="14" spans="1:24" s="111" customFormat="1" x14ac:dyDescent="0.55000000000000004">
      <c r="C14" s="111" t="s">
        <v>976</v>
      </c>
      <c r="E14" s="111" t="s">
        <v>971</v>
      </c>
      <c r="F14" s="111" t="s">
        <v>955</v>
      </c>
      <c r="G14" s="111">
        <v>85.298000000000002</v>
      </c>
      <c r="H14" s="111">
        <v>96.721000000000004</v>
      </c>
      <c r="I14" s="111">
        <f>H14-G14</f>
        <v>11.423000000000002</v>
      </c>
      <c r="J14" s="111">
        <f>I14*0.0973</f>
        <v>1.1114579000000002</v>
      </c>
      <c r="K14" s="113">
        <f>J14*20</f>
        <v>22.229158000000005</v>
      </c>
      <c r="L14" s="111">
        <v>63.16</v>
      </c>
      <c r="M14" s="111">
        <v>3445</v>
      </c>
      <c r="N14" s="111">
        <v>4885</v>
      </c>
      <c r="O14" s="111">
        <v>242.55</v>
      </c>
      <c r="P14" s="111">
        <f>O14-L14</f>
        <v>179.39000000000001</v>
      </c>
      <c r="R14" s="112"/>
      <c r="S14" s="112"/>
      <c r="X14"/>
    </row>
    <row r="15" spans="1:24" x14ac:dyDescent="0.55000000000000004">
      <c r="B15">
        <v>8</v>
      </c>
      <c r="C15" t="s">
        <v>954</v>
      </c>
      <c r="E15" t="s">
        <v>971</v>
      </c>
      <c r="F15" t="s">
        <v>955</v>
      </c>
      <c r="G15" t="s">
        <v>18</v>
      </c>
      <c r="I15" s="85"/>
      <c r="J15" s="85"/>
      <c r="L15">
        <v>70.42</v>
      </c>
      <c r="R15">
        <v>8</v>
      </c>
      <c r="S15">
        <v>0</v>
      </c>
      <c r="T15" t="s">
        <v>980</v>
      </c>
      <c r="X15">
        <f t="shared" si="0"/>
        <v>0</v>
      </c>
    </row>
    <row r="16" spans="1:24" x14ac:dyDescent="0.55000000000000004">
      <c r="B16">
        <v>9</v>
      </c>
      <c r="C16" t="s">
        <v>957</v>
      </c>
      <c r="E16" t="s">
        <v>956</v>
      </c>
      <c r="F16" t="s">
        <v>955</v>
      </c>
      <c r="G16" t="s">
        <v>18</v>
      </c>
      <c r="I16" s="85"/>
      <c r="J16" s="85"/>
      <c r="L16" s="85">
        <v>119.25</v>
      </c>
      <c r="R16">
        <v>8</v>
      </c>
      <c r="S16">
        <v>0</v>
      </c>
      <c r="X16">
        <f t="shared" si="0"/>
        <v>0</v>
      </c>
    </row>
    <row r="17" spans="1:24" x14ac:dyDescent="0.55000000000000004">
      <c r="B17">
        <v>10</v>
      </c>
      <c r="C17" t="s">
        <v>958</v>
      </c>
      <c r="E17" t="s">
        <v>956</v>
      </c>
      <c r="F17" t="s">
        <v>955</v>
      </c>
      <c r="G17" t="s">
        <v>18</v>
      </c>
      <c r="I17" s="85"/>
      <c r="J17" s="85"/>
      <c r="L17" s="85">
        <v>184.74</v>
      </c>
      <c r="R17">
        <v>10</v>
      </c>
      <c r="S17">
        <v>0</v>
      </c>
      <c r="X17">
        <f t="shared" si="0"/>
        <v>0</v>
      </c>
    </row>
    <row r="18" spans="1:24" x14ac:dyDescent="0.55000000000000004">
      <c r="A18">
        <v>5</v>
      </c>
      <c r="B18">
        <v>11</v>
      </c>
      <c r="C18" t="s">
        <v>981</v>
      </c>
      <c r="E18" t="s">
        <v>956</v>
      </c>
      <c r="F18" t="s">
        <v>955</v>
      </c>
      <c r="G18">
        <v>86.965000000000003</v>
      </c>
      <c r="H18">
        <v>98.501000000000005</v>
      </c>
      <c r="I18" s="85">
        <f t="shared" ref="I18:I25" si="1">H18-G18</f>
        <v>11.536000000000001</v>
      </c>
      <c r="J18" s="85">
        <f t="shared" ref="J18:J25" si="2">I18*0.0973</f>
        <v>1.1224528</v>
      </c>
      <c r="K18" s="3">
        <f t="shared" ref="K18:K25" si="3">J18*20</f>
        <v>22.449055999999999</v>
      </c>
      <c r="L18" s="85">
        <v>132.97</v>
      </c>
      <c r="M18">
        <v>3102</v>
      </c>
      <c r="N18">
        <v>5167</v>
      </c>
      <c r="O18">
        <v>264.14</v>
      </c>
      <c r="P18">
        <f t="shared" ref="P18:P25" si="4">O18-L18</f>
        <v>131.16999999999999</v>
      </c>
      <c r="R18">
        <v>4</v>
      </c>
      <c r="S18">
        <v>1</v>
      </c>
      <c r="X18">
        <f t="shared" si="0"/>
        <v>0.25</v>
      </c>
    </row>
    <row r="19" spans="1:24" s="111" customFormat="1" x14ac:dyDescent="0.55000000000000004">
      <c r="C19" s="111" t="s">
        <v>982</v>
      </c>
      <c r="E19" s="111" t="s">
        <v>956</v>
      </c>
      <c r="F19" s="111" t="s">
        <v>955</v>
      </c>
      <c r="G19" s="111">
        <v>87.793000000000006</v>
      </c>
      <c r="H19" s="111">
        <v>96.484999999999999</v>
      </c>
      <c r="I19" s="111">
        <f t="shared" si="1"/>
        <v>8.6919999999999931</v>
      </c>
      <c r="J19" s="111">
        <f t="shared" si="2"/>
        <v>0.84573159999999925</v>
      </c>
      <c r="K19" s="113">
        <f t="shared" si="3"/>
        <v>16.914631999999983</v>
      </c>
      <c r="L19" s="111">
        <v>132.97</v>
      </c>
      <c r="M19" s="111">
        <v>3102</v>
      </c>
      <c r="N19" s="111">
        <v>5167</v>
      </c>
      <c r="O19" s="111">
        <v>264.14</v>
      </c>
      <c r="P19" s="111">
        <f t="shared" si="4"/>
        <v>131.16999999999999</v>
      </c>
      <c r="R19" s="112"/>
      <c r="S19" s="112"/>
      <c r="X19"/>
    </row>
    <row r="20" spans="1:24" x14ac:dyDescent="0.55000000000000004">
      <c r="A20">
        <v>6</v>
      </c>
      <c r="B20">
        <v>12</v>
      </c>
      <c r="C20" t="s">
        <v>959</v>
      </c>
      <c r="E20" t="s">
        <v>956</v>
      </c>
      <c r="F20" t="s">
        <v>955</v>
      </c>
      <c r="G20">
        <v>88.210999999999999</v>
      </c>
      <c r="H20">
        <v>100.065</v>
      </c>
      <c r="I20" s="85">
        <f t="shared" si="1"/>
        <v>11.853999999999999</v>
      </c>
      <c r="J20" s="85">
        <f t="shared" si="2"/>
        <v>1.1533941999999999</v>
      </c>
      <c r="K20" s="3">
        <f t="shared" si="3"/>
        <v>23.067883999999999</v>
      </c>
      <c r="L20" s="85">
        <v>72.849999999999994</v>
      </c>
      <c r="M20">
        <v>2048</v>
      </c>
      <c r="N20">
        <v>3958</v>
      </c>
      <c r="O20">
        <v>189.2</v>
      </c>
      <c r="P20">
        <f t="shared" si="4"/>
        <v>116.35</v>
      </c>
      <c r="R20">
        <v>7</v>
      </c>
      <c r="S20">
        <v>1</v>
      </c>
      <c r="X20">
        <f t="shared" si="0"/>
        <v>0.14285714285714285</v>
      </c>
    </row>
    <row r="21" spans="1:24" x14ac:dyDescent="0.55000000000000004">
      <c r="A21" s="110">
        <v>7</v>
      </c>
      <c r="C21" t="s">
        <v>983</v>
      </c>
      <c r="E21" t="s">
        <v>956</v>
      </c>
      <c r="F21" t="s">
        <v>955</v>
      </c>
      <c r="G21">
        <v>86.504000000000005</v>
      </c>
      <c r="H21">
        <v>97.757999999999996</v>
      </c>
      <c r="I21" s="85">
        <f t="shared" si="1"/>
        <v>11.253999999999991</v>
      </c>
      <c r="J21" s="85">
        <f t="shared" si="2"/>
        <v>1.0950141999999992</v>
      </c>
      <c r="K21" s="3">
        <f t="shared" si="3"/>
        <v>21.900283999999985</v>
      </c>
      <c r="L21" s="85">
        <v>52.07</v>
      </c>
      <c r="M21">
        <v>953</v>
      </c>
      <c r="N21">
        <v>1983</v>
      </c>
      <c r="O21">
        <v>108.36</v>
      </c>
      <c r="P21">
        <f t="shared" si="4"/>
        <v>56.29</v>
      </c>
      <c r="Q21" t="s">
        <v>987</v>
      </c>
      <c r="R21">
        <v>16</v>
      </c>
      <c r="S21">
        <v>5</v>
      </c>
      <c r="X21">
        <f t="shared" si="0"/>
        <v>0.3125</v>
      </c>
    </row>
    <row r="22" spans="1:24" x14ac:dyDescent="0.55000000000000004">
      <c r="A22" s="110">
        <v>8</v>
      </c>
      <c r="C22" t="s">
        <v>984</v>
      </c>
      <c r="E22" t="s">
        <v>956</v>
      </c>
      <c r="F22" t="s">
        <v>955</v>
      </c>
      <c r="G22">
        <v>86.504000000000005</v>
      </c>
      <c r="H22">
        <v>94.703999999999994</v>
      </c>
      <c r="I22" s="85">
        <f t="shared" si="1"/>
        <v>8.1999999999999886</v>
      </c>
      <c r="J22" s="85">
        <f t="shared" si="2"/>
        <v>0.7978599999999989</v>
      </c>
      <c r="K22" s="3">
        <f t="shared" si="3"/>
        <v>15.957199999999979</v>
      </c>
      <c r="L22" s="85">
        <v>52.07</v>
      </c>
      <c r="M22">
        <v>953</v>
      </c>
      <c r="N22">
        <v>2582</v>
      </c>
      <c r="O22">
        <v>141.09</v>
      </c>
      <c r="P22">
        <f t="shared" si="4"/>
        <v>89.02000000000001</v>
      </c>
      <c r="Q22" t="s">
        <v>987</v>
      </c>
      <c r="R22" s="108"/>
      <c r="S22" s="108"/>
    </row>
    <row r="23" spans="1:24" x14ac:dyDescent="0.55000000000000004">
      <c r="A23" s="110">
        <v>9</v>
      </c>
      <c r="C23" t="s">
        <v>985</v>
      </c>
      <c r="E23" t="s">
        <v>956</v>
      </c>
      <c r="F23" t="s">
        <v>955</v>
      </c>
      <c r="G23">
        <v>81.832999999999998</v>
      </c>
      <c r="H23">
        <v>88.638000000000005</v>
      </c>
      <c r="I23" s="85">
        <f t="shared" si="1"/>
        <v>6.8050000000000068</v>
      </c>
      <c r="J23" s="85">
        <f t="shared" si="2"/>
        <v>0.66212650000000062</v>
      </c>
      <c r="K23" s="3">
        <f t="shared" si="3"/>
        <v>13.242530000000013</v>
      </c>
      <c r="L23" s="85">
        <v>52.07</v>
      </c>
      <c r="M23">
        <v>2022</v>
      </c>
      <c r="N23">
        <v>3091</v>
      </c>
      <c r="O23">
        <v>168.9</v>
      </c>
      <c r="P23">
        <f t="shared" si="4"/>
        <v>116.83000000000001</v>
      </c>
      <c r="Q23" t="s">
        <v>986</v>
      </c>
      <c r="R23" s="108"/>
      <c r="S23" s="108"/>
    </row>
    <row r="24" spans="1:24" x14ac:dyDescent="0.55000000000000004">
      <c r="A24" s="110">
        <v>10</v>
      </c>
      <c r="C24" t="s">
        <v>988</v>
      </c>
      <c r="E24" t="s">
        <v>956</v>
      </c>
      <c r="F24" t="s">
        <v>955</v>
      </c>
      <c r="G24">
        <v>81.832999999999998</v>
      </c>
      <c r="H24">
        <v>82.974000000000004</v>
      </c>
      <c r="I24" s="85">
        <f t="shared" si="1"/>
        <v>1.1410000000000053</v>
      </c>
      <c r="J24" s="85">
        <f t="shared" si="2"/>
        <v>0.11101930000000051</v>
      </c>
      <c r="K24" s="3">
        <f t="shared" si="3"/>
        <v>2.2203860000000102</v>
      </c>
      <c r="L24" s="85">
        <v>52.07</v>
      </c>
      <c r="M24">
        <v>2022</v>
      </c>
      <c r="N24">
        <v>3324</v>
      </c>
      <c r="O24">
        <v>181.63</v>
      </c>
      <c r="P24">
        <f t="shared" si="4"/>
        <v>129.56</v>
      </c>
      <c r="Q24" t="s">
        <v>990</v>
      </c>
      <c r="R24" s="108"/>
      <c r="S24" s="108"/>
    </row>
    <row r="25" spans="1:24" x14ac:dyDescent="0.55000000000000004">
      <c r="A25" s="110">
        <v>11</v>
      </c>
      <c r="C25" t="s">
        <v>989</v>
      </c>
      <c r="E25" t="s">
        <v>956</v>
      </c>
      <c r="F25" t="s">
        <v>955</v>
      </c>
      <c r="G25">
        <v>81.832999999999998</v>
      </c>
      <c r="H25">
        <v>85.304000000000002</v>
      </c>
      <c r="I25" s="85">
        <f t="shared" si="1"/>
        <v>3.4710000000000036</v>
      </c>
      <c r="J25" s="85">
        <f t="shared" si="2"/>
        <v>0.33772830000000037</v>
      </c>
      <c r="K25" s="3">
        <f t="shared" si="3"/>
        <v>6.7545660000000076</v>
      </c>
      <c r="L25" s="85">
        <v>52.07</v>
      </c>
      <c r="M25">
        <v>2022</v>
      </c>
      <c r="N25">
        <v>3690</v>
      </c>
      <c r="O25">
        <v>181.63</v>
      </c>
      <c r="P25">
        <f t="shared" si="4"/>
        <v>129.56</v>
      </c>
      <c r="Q25" t="s">
        <v>990</v>
      </c>
      <c r="R25" s="108"/>
      <c r="S25" s="108"/>
    </row>
    <row r="26" spans="1:24" x14ac:dyDescent="0.55000000000000004">
      <c r="B26">
        <v>13</v>
      </c>
      <c r="C26" t="s">
        <v>991</v>
      </c>
      <c r="E26" t="s">
        <v>956</v>
      </c>
      <c r="F26" t="s">
        <v>955</v>
      </c>
      <c r="G26" t="s">
        <v>18</v>
      </c>
      <c r="I26" s="85"/>
      <c r="J26" s="85"/>
      <c r="L26" s="85">
        <v>130.28</v>
      </c>
      <c r="R26">
        <v>4</v>
      </c>
      <c r="S26">
        <v>0</v>
      </c>
      <c r="X26">
        <f t="shared" si="0"/>
        <v>0</v>
      </c>
    </row>
    <row r="27" spans="1:24" x14ac:dyDescent="0.55000000000000004">
      <c r="B27">
        <v>14</v>
      </c>
      <c r="C27" t="s">
        <v>992</v>
      </c>
      <c r="E27" t="s">
        <v>956</v>
      </c>
      <c r="F27" t="s">
        <v>955</v>
      </c>
      <c r="G27" t="s">
        <v>18</v>
      </c>
      <c r="I27" s="85"/>
      <c r="J27" s="85"/>
      <c r="L27" s="85">
        <v>384.53</v>
      </c>
      <c r="R27">
        <v>14</v>
      </c>
      <c r="S27">
        <v>0</v>
      </c>
      <c r="X27">
        <f t="shared" si="0"/>
        <v>0</v>
      </c>
    </row>
    <row r="28" spans="1:24" x14ac:dyDescent="0.55000000000000004">
      <c r="B28">
        <v>15</v>
      </c>
      <c r="C28" t="s">
        <v>960</v>
      </c>
      <c r="E28" t="s">
        <v>956</v>
      </c>
      <c r="F28" t="s">
        <v>955</v>
      </c>
      <c r="G28" t="s">
        <v>18</v>
      </c>
      <c r="I28" s="85"/>
      <c r="J28" s="85"/>
      <c r="L28" s="85">
        <v>8.85</v>
      </c>
      <c r="R28">
        <v>13</v>
      </c>
      <c r="S28">
        <v>0</v>
      </c>
      <c r="X28">
        <f t="shared" si="0"/>
        <v>0</v>
      </c>
    </row>
    <row r="29" spans="1:24" x14ac:dyDescent="0.55000000000000004">
      <c r="A29" s="53">
        <v>12</v>
      </c>
      <c r="B29">
        <v>16</v>
      </c>
      <c r="C29" t="s">
        <v>994</v>
      </c>
      <c r="E29" t="s">
        <v>956</v>
      </c>
      <c r="F29" t="s">
        <v>955</v>
      </c>
      <c r="G29">
        <v>79.903000000000006</v>
      </c>
      <c r="H29">
        <v>84.831999999999994</v>
      </c>
      <c r="I29" s="85">
        <f t="shared" ref="I29:I49" si="5">H29-G29</f>
        <v>4.9289999999999878</v>
      </c>
      <c r="J29" s="85">
        <f t="shared" ref="J29:J52" si="6">I29*0.0973</f>
        <v>0.47959169999999879</v>
      </c>
      <c r="K29" s="3">
        <f t="shared" ref="K29:K52" si="7">J29*20</f>
        <v>9.5918339999999755</v>
      </c>
      <c r="L29" s="85" t="s">
        <v>993</v>
      </c>
      <c r="M29">
        <v>62</v>
      </c>
      <c r="N29">
        <v>1170</v>
      </c>
      <c r="O29">
        <v>56.28</v>
      </c>
      <c r="P29" t="s">
        <v>1062</v>
      </c>
      <c r="R29">
        <v>13</v>
      </c>
      <c r="S29">
        <v>2</v>
      </c>
      <c r="X29">
        <f t="shared" si="0"/>
        <v>0.15384615384615385</v>
      </c>
    </row>
    <row r="30" spans="1:24" x14ac:dyDescent="0.55000000000000004">
      <c r="A30" s="53">
        <v>13</v>
      </c>
      <c r="C30" t="s">
        <v>995</v>
      </c>
      <c r="E30" t="s">
        <v>956</v>
      </c>
      <c r="F30" t="s">
        <v>955</v>
      </c>
      <c r="G30">
        <v>84.549000000000007</v>
      </c>
      <c r="H30">
        <v>95.003</v>
      </c>
      <c r="I30" s="85">
        <f t="shared" si="5"/>
        <v>10.453999999999994</v>
      </c>
      <c r="J30" s="85">
        <f t="shared" si="6"/>
        <v>1.0171741999999993</v>
      </c>
      <c r="K30" s="3">
        <f t="shared" si="7"/>
        <v>20.343483999999986</v>
      </c>
      <c r="L30" s="85" t="s">
        <v>993</v>
      </c>
      <c r="M30">
        <v>1185</v>
      </c>
      <c r="N30">
        <v>1747</v>
      </c>
      <c r="O30">
        <v>84.03</v>
      </c>
      <c r="R30" s="108"/>
      <c r="S30" s="108"/>
    </row>
    <row r="31" spans="1:24" x14ac:dyDescent="0.55000000000000004">
      <c r="A31">
        <v>14</v>
      </c>
      <c r="B31">
        <v>17</v>
      </c>
      <c r="C31" t="s">
        <v>999</v>
      </c>
      <c r="E31" t="s">
        <v>956</v>
      </c>
      <c r="F31" t="s">
        <v>955</v>
      </c>
      <c r="G31">
        <v>89.346000000000004</v>
      </c>
      <c r="H31">
        <v>102.90900000000001</v>
      </c>
      <c r="I31" s="85">
        <f t="shared" si="5"/>
        <v>13.563000000000002</v>
      </c>
      <c r="J31" s="85">
        <f t="shared" si="6"/>
        <v>1.3196799000000001</v>
      </c>
      <c r="K31" s="3">
        <f t="shared" si="7"/>
        <v>26.393598000000004</v>
      </c>
      <c r="L31" s="85">
        <v>8.06</v>
      </c>
      <c r="M31">
        <v>65</v>
      </c>
      <c r="N31">
        <v>703</v>
      </c>
      <c r="O31">
        <v>34.96</v>
      </c>
      <c r="P31">
        <f t="shared" ref="P31:P49" si="8">O31-L31</f>
        <v>26.9</v>
      </c>
      <c r="R31">
        <v>7</v>
      </c>
      <c r="S31">
        <v>4</v>
      </c>
      <c r="T31" t="s">
        <v>997</v>
      </c>
      <c r="X31">
        <f t="shared" si="0"/>
        <v>0.5714285714285714</v>
      </c>
    </row>
    <row r="32" spans="1:24" s="111" customFormat="1" x14ac:dyDescent="0.55000000000000004">
      <c r="C32" s="111" t="s">
        <v>998</v>
      </c>
      <c r="E32" s="111" t="s">
        <v>956</v>
      </c>
      <c r="F32" s="111" t="s">
        <v>955</v>
      </c>
      <c r="G32" s="111">
        <v>80.712999999999994</v>
      </c>
      <c r="H32" s="111">
        <v>88.253</v>
      </c>
      <c r="I32" s="111">
        <f t="shared" si="5"/>
        <v>7.5400000000000063</v>
      </c>
      <c r="J32" s="111">
        <f t="shared" si="6"/>
        <v>0.73364200000000057</v>
      </c>
      <c r="K32" s="113">
        <f t="shared" si="7"/>
        <v>14.672840000000011</v>
      </c>
      <c r="L32" s="111">
        <v>8.06</v>
      </c>
      <c r="M32" s="111">
        <v>65</v>
      </c>
      <c r="N32" s="111">
        <v>703</v>
      </c>
      <c r="O32" s="111">
        <v>34.96</v>
      </c>
      <c r="P32" s="111">
        <f t="shared" si="8"/>
        <v>26.9</v>
      </c>
      <c r="R32" s="112"/>
      <c r="S32" s="112"/>
      <c r="X32"/>
    </row>
    <row r="33" spans="1:24" x14ac:dyDescent="0.55000000000000004">
      <c r="A33">
        <v>15</v>
      </c>
      <c r="C33" t="s">
        <v>996</v>
      </c>
      <c r="E33" t="s">
        <v>956</v>
      </c>
      <c r="F33" t="s">
        <v>955</v>
      </c>
      <c r="G33" s="85">
        <v>80.712999999999994</v>
      </c>
      <c r="H33">
        <v>88.143000000000001</v>
      </c>
      <c r="I33" s="85">
        <f t="shared" si="5"/>
        <v>7.4300000000000068</v>
      </c>
      <c r="J33" s="85">
        <f t="shared" si="6"/>
        <v>0.72293900000000066</v>
      </c>
      <c r="K33" s="3">
        <f t="shared" si="7"/>
        <v>14.458780000000013</v>
      </c>
      <c r="L33" s="85">
        <v>8.06</v>
      </c>
      <c r="M33">
        <v>65</v>
      </c>
      <c r="N33">
        <v>2383</v>
      </c>
      <c r="O33">
        <v>118.5</v>
      </c>
      <c r="P33">
        <f t="shared" si="8"/>
        <v>110.44</v>
      </c>
      <c r="Q33" t="s">
        <v>1001</v>
      </c>
      <c r="R33" s="108"/>
      <c r="S33" s="108"/>
    </row>
    <row r="34" spans="1:24" x14ac:dyDescent="0.55000000000000004">
      <c r="A34">
        <v>16</v>
      </c>
      <c r="C34" t="s">
        <v>1000</v>
      </c>
      <c r="E34" t="s">
        <v>956</v>
      </c>
      <c r="F34" t="s">
        <v>955</v>
      </c>
      <c r="G34" s="85">
        <v>80.712999999999994</v>
      </c>
      <c r="H34">
        <v>85.268000000000001</v>
      </c>
      <c r="I34" s="85">
        <f t="shared" si="5"/>
        <v>4.5550000000000068</v>
      </c>
      <c r="J34" s="85">
        <f t="shared" si="6"/>
        <v>0.44320150000000064</v>
      </c>
      <c r="K34" s="3">
        <f t="shared" si="7"/>
        <v>8.8640300000000121</v>
      </c>
      <c r="L34" s="85">
        <v>8.06</v>
      </c>
      <c r="M34">
        <v>65</v>
      </c>
      <c r="N34">
        <v>3630</v>
      </c>
      <c r="O34">
        <v>180.51</v>
      </c>
      <c r="P34">
        <f t="shared" si="8"/>
        <v>172.45</v>
      </c>
      <c r="Q34" t="s">
        <v>1001</v>
      </c>
      <c r="R34" s="108"/>
      <c r="S34" s="108"/>
    </row>
    <row r="35" spans="1:24" x14ac:dyDescent="0.55000000000000004">
      <c r="A35">
        <v>17</v>
      </c>
      <c r="B35">
        <v>18</v>
      </c>
      <c r="C35" t="s">
        <v>961</v>
      </c>
      <c r="E35" t="s">
        <v>956</v>
      </c>
      <c r="F35" t="s">
        <v>955</v>
      </c>
      <c r="G35" s="85">
        <v>92.015000000000001</v>
      </c>
      <c r="H35">
        <v>106.075</v>
      </c>
      <c r="I35" s="85">
        <f t="shared" si="5"/>
        <v>14.060000000000002</v>
      </c>
      <c r="J35" s="85">
        <f t="shared" si="6"/>
        <v>1.3680380000000001</v>
      </c>
      <c r="K35" s="3">
        <f t="shared" si="7"/>
        <v>27.360760000000003</v>
      </c>
      <c r="L35" s="85">
        <v>18.559999999999999</v>
      </c>
      <c r="M35">
        <v>794</v>
      </c>
      <c r="N35">
        <v>2361</v>
      </c>
      <c r="O35">
        <v>116.56</v>
      </c>
      <c r="P35">
        <f t="shared" si="8"/>
        <v>98</v>
      </c>
      <c r="R35">
        <v>14</v>
      </c>
      <c r="S35">
        <v>1</v>
      </c>
      <c r="T35" t="s">
        <v>1002</v>
      </c>
      <c r="X35">
        <f t="shared" si="0"/>
        <v>7.1428571428571425E-2</v>
      </c>
    </row>
    <row r="36" spans="1:24" x14ac:dyDescent="0.55000000000000004">
      <c r="A36">
        <v>18</v>
      </c>
      <c r="B36">
        <v>19</v>
      </c>
      <c r="C36" t="s">
        <v>962</v>
      </c>
      <c r="E36" t="s">
        <v>956</v>
      </c>
      <c r="F36" t="s">
        <v>955</v>
      </c>
      <c r="G36">
        <v>83.918000000000006</v>
      </c>
      <c r="H36">
        <v>102.673</v>
      </c>
      <c r="I36" s="85">
        <f t="shared" si="5"/>
        <v>18.754999999999995</v>
      </c>
      <c r="J36" s="85">
        <f t="shared" si="6"/>
        <v>1.8248614999999995</v>
      </c>
      <c r="K36" s="3">
        <f t="shared" si="7"/>
        <v>36.497229999999988</v>
      </c>
      <c r="L36" s="85">
        <v>10.84</v>
      </c>
      <c r="M36">
        <v>497</v>
      </c>
      <c r="N36">
        <v>1227</v>
      </c>
      <c r="O36">
        <v>64.239999999999995</v>
      </c>
      <c r="P36">
        <f t="shared" si="8"/>
        <v>53.399999999999991</v>
      </c>
      <c r="R36">
        <v>7</v>
      </c>
      <c r="S36">
        <v>1</v>
      </c>
      <c r="X36">
        <f t="shared" si="0"/>
        <v>0.14285714285714285</v>
      </c>
    </row>
    <row r="37" spans="1:24" x14ac:dyDescent="0.55000000000000004">
      <c r="B37">
        <v>20</v>
      </c>
      <c r="C37" t="s">
        <v>1053</v>
      </c>
      <c r="E37" t="s">
        <v>1054</v>
      </c>
      <c r="F37" t="s">
        <v>955</v>
      </c>
      <c r="G37" t="s">
        <v>18</v>
      </c>
      <c r="I37" s="85"/>
      <c r="J37" s="85"/>
      <c r="L37" s="85">
        <v>60.1</v>
      </c>
      <c r="R37">
        <v>13</v>
      </c>
      <c r="S37">
        <v>0</v>
      </c>
      <c r="X37">
        <f t="shared" si="0"/>
        <v>0</v>
      </c>
    </row>
    <row r="38" spans="1:24" x14ac:dyDescent="0.55000000000000004">
      <c r="A38">
        <v>19</v>
      </c>
      <c r="B38">
        <v>21</v>
      </c>
      <c r="C38" t="s">
        <v>1056</v>
      </c>
      <c r="E38" t="s">
        <v>1054</v>
      </c>
      <c r="F38" t="s">
        <v>955</v>
      </c>
      <c r="G38">
        <v>76.685000000000002</v>
      </c>
      <c r="H38">
        <v>86.691000000000003</v>
      </c>
      <c r="I38" s="85">
        <f t="shared" si="5"/>
        <v>10.006</v>
      </c>
      <c r="J38" s="85">
        <f t="shared" si="6"/>
        <v>0.9735838</v>
      </c>
      <c r="K38" s="3">
        <f t="shared" si="7"/>
        <v>19.471675999999999</v>
      </c>
      <c r="L38" s="85">
        <v>28.25</v>
      </c>
      <c r="M38">
        <v>1449</v>
      </c>
      <c r="N38">
        <v>2599</v>
      </c>
      <c r="O38">
        <v>132.53</v>
      </c>
      <c r="P38">
        <f t="shared" si="8"/>
        <v>104.28</v>
      </c>
      <c r="R38">
        <v>13</v>
      </c>
      <c r="S38">
        <v>1</v>
      </c>
      <c r="U38" t="s">
        <v>1063</v>
      </c>
      <c r="V38" t="s">
        <v>558</v>
      </c>
      <c r="X38">
        <f t="shared" si="0"/>
        <v>7.6923076923076927E-2</v>
      </c>
    </row>
    <row r="39" spans="1:24" s="111" customFormat="1" x14ac:dyDescent="0.55000000000000004">
      <c r="C39" s="111" t="s">
        <v>1057</v>
      </c>
      <c r="E39" s="111" t="s">
        <v>1054</v>
      </c>
      <c r="F39" s="111" t="s">
        <v>955</v>
      </c>
      <c r="G39" s="111">
        <v>85.853999999999999</v>
      </c>
      <c r="H39" s="111">
        <v>94.834999999999994</v>
      </c>
      <c r="I39" s="111">
        <f>H39-G39</f>
        <v>8.9809999999999945</v>
      </c>
      <c r="J39" s="111">
        <f t="shared" si="6"/>
        <v>0.87385129999999944</v>
      </c>
      <c r="K39" s="113">
        <f t="shared" si="7"/>
        <v>17.477025999999988</v>
      </c>
      <c r="L39" s="111">
        <v>28.25</v>
      </c>
      <c r="M39" s="111">
        <v>1449</v>
      </c>
      <c r="N39" s="111">
        <v>2599</v>
      </c>
      <c r="O39" s="111">
        <v>132.53</v>
      </c>
      <c r="P39" s="111">
        <f>O39-L39</f>
        <v>104.28</v>
      </c>
      <c r="R39" s="157"/>
      <c r="S39" s="157"/>
      <c r="U39" s="157"/>
      <c r="V39" s="157"/>
      <c r="X39"/>
    </row>
    <row r="40" spans="1:24" x14ac:dyDescent="0.55000000000000004">
      <c r="A40">
        <v>20</v>
      </c>
      <c r="B40">
        <v>22</v>
      </c>
      <c r="C40" t="s">
        <v>1055</v>
      </c>
      <c r="E40" t="s">
        <v>1054</v>
      </c>
      <c r="F40" t="s">
        <v>955</v>
      </c>
      <c r="G40">
        <v>83.679000000000002</v>
      </c>
      <c r="H40" s="158">
        <v>95.789000000000001</v>
      </c>
      <c r="I40" s="85">
        <f t="shared" si="5"/>
        <v>12.11</v>
      </c>
      <c r="J40" s="85">
        <f t="shared" si="6"/>
        <v>1.1783029999999999</v>
      </c>
      <c r="K40" s="3">
        <f t="shared" si="7"/>
        <v>23.566059999999997</v>
      </c>
      <c r="L40" s="85">
        <v>77.8</v>
      </c>
      <c r="M40">
        <v>1087</v>
      </c>
      <c r="N40">
        <v>4874</v>
      </c>
      <c r="O40">
        <v>242.31</v>
      </c>
      <c r="P40">
        <f t="shared" si="8"/>
        <v>164.51</v>
      </c>
      <c r="R40">
        <v>12</v>
      </c>
      <c r="S40">
        <v>1</v>
      </c>
      <c r="U40" t="s">
        <v>455</v>
      </c>
      <c r="V40" s="15"/>
      <c r="X40">
        <f t="shared" si="0"/>
        <v>8.3333333333333329E-2</v>
      </c>
    </row>
    <row r="41" spans="1:24" x14ac:dyDescent="0.55000000000000004">
      <c r="B41">
        <v>23</v>
      </c>
      <c r="C41" t="s">
        <v>1058</v>
      </c>
      <c r="E41" t="s">
        <v>1054</v>
      </c>
      <c r="F41" t="s">
        <v>955</v>
      </c>
      <c r="G41" t="s">
        <v>1065</v>
      </c>
      <c r="I41" s="85"/>
      <c r="J41" s="85"/>
      <c r="L41" s="85">
        <v>34.89</v>
      </c>
      <c r="R41">
        <v>12</v>
      </c>
      <c r="S41">
        <v>1</v>
      </c>
      <c r="T41" t="s">
        <v>1064</v>
      </c>
      <c r="U41" s="15"/>
      <c r="V41" s="15"/>
      <c r="X41">
        <f t="shared" si="0"/>
        <v>8.3333333333333329E-2</v>
      </c>
    </row>
    <row r="42" spans="1:24" x14ac:dyDescent="0.55000000000000004">
      <c r="A42">
        <v>21</v>
      </c>
      <c r="B42">
        <v>24</v>
      </c>
      <c r="C42" t="s">
        <v>1068</v>
      </c>
      <c r="E42" t="s">
        <v>1054</v>
      </c>
      <c r="F42" t="s">
        <v>955</v>
      </c>
      <c r="G42">
        <v>87.278999999999996</v>
      </c>
      <c r="H42">
        <v>96.048000000000002</v>
      </c>
      <c r="I42" s="85">
        <f t="shared" si="5"/>
        <v>8.7690000000000055</v>
      </c>
      <c r="J42" s="85">
        <f t="shared" si="6"/>
        <v>0.85322370000000047</v>
      </c>
      <c r="K42" s="3">
        <f t="shared" si="7"/>
        <v>17.064474000000011</v>
      </c>
      <c r="L42" s="85">
        <v>22.16</v>
      </c>
      <c r="M42">
        <v>833</v>
      </c>
      <c r="N42">
        <v>2311</v>
      </c>
      <c r="O42">
        <v>109.45</v>
      </c>
      <c r="P42">
        <f t="shared" si="8"/>
        <v>87.29</v>
      </c>
      <c r="Q42" t="s">
        <v>1070</v>
      </c>
      <c r="R42">
        <v>20</v>
      </c>
      <c r="S42">
        <v>3</v>
      </c>
      <c r="U42" t="s">
        <v>1066</v>
      </c>
      <c r="V42" t="s">
        <v>558</v>
      </c>
      <c r="X42">
        <f t="shared" si="0"/>
        <v>0.15</v>
      </c>
    </row>
    <row r="43" spans="1:24" x14ac:dyDescent="0.55000000000000004">
      <c r="A43">
        <v>22</v>
      </c>
      <c r="C43" t="s">
        <v>1069</v>
      </c>
      <c r="E43" t="s">
        <v>1054</v>
      </c>
      <c r="F43" t="s">
        <v>955</v>
      </c>
      <c r="G43">
        <v>87.278999999999996</v>
      </c>
      <c r="H43">
        <v>102.566</v>
      </c>
      <c r="I43" s="85">
        <f>H43-G43</f>
        <v>15.287000000000006</v>
      </c>
      <c r="J43" s="85">
        <f t="shared" si="6"/>
        <v>1.4874251000000005</v>
      </c>
      <c r="K43" s="3">
        <f t="shared" si="7"/>
        <v>29.748502000000009</v>
      </c>
      <c r="L43" s="85">
        <v>22.16</v>
      </c>
      <c r="M43">
        <v>833</v>
      </c>
      <c r="N43">
        <v>3072</v>
      </c>
      <c r="O43">
        <v>145.49</v>
      </c>
      <c r="P43">
        <f>O43-L43</f>
        <v>123.33000000000001</v>
      </c>
      <c r="R43" s="15"/>
      <c r="S43" s="15"/>
      <c r="U43" t="s">
        <v>1067</v>
      </c>
      <c r="V43" t="s">
        <v>455</v>
      </c>
    </row>
    <row r="44" spans="1:24" x14ac:dyDescent="0.55000000000000004">
      <c r="A44">
        <v>23</v>
      </c>
      <c r="C44" t="s">
        <v>1071</v>
      </c>
      <c r="E44" t="s">
        <v>1054</v>
      </c>
      <c r="F44" t="s">
        <v>955</v>
      </c>
      <c r="G44">
        <v>87.278999999999996</v>
      </c>
      <c r="H44">
        <v>94.216999999999999</v>
      </c>
      <c r="I44" s="85">
        <f>H44-G44</f>
        <v>6.9380000000000024</v>
      </c>
      <c r="J44" s="85">
        <f t="shared" si="6"/>
        <v>0.67506740000000021</v>
      </c>
      <c r="K44" s="3">
        <f t="shared" si="7"/>
        <v>13.501348000000004</v>
      </c>
      <c r="L44" s="85">
        <v>22.16</v>
      </c>
      <c r="M44">
        <v>1638</v>
      </c>
      <c r="N44">
        <v>4429</v>
      </c>
      <c r="O44">
        <v>209.75</v>
      </c>
      <c r="P44">
        <f>O44-L44</f>
        <v>187.59</v>
      </c>
      <c r="Q44" t="s">
        <v>1074</v>
      </c>
      <c r="R44" s="15"/>
      <c r="S44" s="15"/>
      <c r="U44" t="s">
        <v>1073</v>
      </c>
      <c r="V44" t="s">
        <v>558</v>
      </c>
    </row>
    <row r="45" spans="1:24" s="111" customFormat="1" x14ac:dyDescent="0.55000000000000004">
      <c r="C45" s="111" t="s">
        <v>1072</v>
      </c>
      <c r="E45" s="111" t="s">
        <v>1054</v>
      </c>
      <c r="F45" s="111" t="s">
        <v>955</v>
      </c>
      <c r="G45" s="111">
        <v>86.167000000000002</v>
      </c>
      <c r="H45" s="111">
        <v>96.025000000000006</v>
      </c>
      <c r="I45" s="111">
        <f>H45-G45</f>
        <v>9.8580000000000041</v>
      </c>
      <c r="J45" s="111">
        <f t="shared" si="6"/>
        <v>0.95918340000000035</v>
      </c>
      <c r="K45" s="113">
        <f t="shared" si="7"/>
        <v>19.183668000000008</v>
      </c>
      <c r="L45" s="111">
        <v>22.16</v>
      </c>
      <c r="M45" s="111">
        <v>1638</v>
      </c>
      <c r="N45" s="111">
        <v>4429</v>
      </c>
      <c r="O45" s="111">
        <v>209.75</v>
      </c>
      <c r="P45" s="111">
        <f>O45-L45</f>
        <v>187.59</v>
      </c>
      <c r="R45" s="157"/>
      <c r="S45" s="157"/>
      <c r="U45" s="157"/>
      <c r="X45"/>
    </row>
    <row r="46" spans="1:24" x14ac:dyDescent="0.55000000000000004">
      <c r="A46">
        <v>24</v>
      </c>
      <c r="B46">
        <v>25</v>
      </c>
      <c r="C46" t="s">
        <v>1075</v>
      </c>
      <c r="E46" t="s">
        <v>1054</v>
      </c>
      <c r="F46" t="s">
        <v>955</v>
      </c>
      <c r="G46">
        <v>85.147000000000006</v>
      </c>
      <c r="H46">
        <v>111.633</v>
      </c>
      <c r="I46" s="85">
        <f t="shared" si="5"/>
        <v>26.48599999999999</v>
      </c>
      <c r="J46" s="85">
        <f t="shared" si="6"/>
        <v>2.5770877999999988</v>
      </c>
      <c r="K46" s="3">
        <f t="shared" si="7"/>
        <v>51.541755999999978</v>
      </c>
      <c r="L46" s="85">
        <v>164.54</v>
      </c>
      <c r="M46">
        <v>3945</v>
      </c>
      <c r="N46">
        <v>5361</v>
      </c>
      <c r="O46">
        <v>259.89999999999998</v>
      </c>
      <c r="P46" s="85">
        <f>O46-L46</f>
        <v>95.359999999999985</v>
      </c>
      <c r="Q46" t="s">
        <v>1077</v>
      </c>
      <c r="R46">
        <v>7</v>
      </c>
      <c r="S46">
        <v>1</v>
      </c>
      <c r="U46" t="s">
        <v>455</v>
      </c>
      <c r="X46">
        <f t="shared" si="0"/>
        <v>0.14285714285714285</v>
      </c>
    </row>
    <row r="47" spans="1:24" s="111" customFormat="1" x14ac:dyDescent="0.55000000000000004">
      <c r="C47" s="111" t="s">
        <v>1076</v>
      </c>
      <c r="E47" s="111" t="s">
        <v>1054</v>
      </c>
      <c r="F47" s="111" t="s">
        <v>955</v>
      </c>
      <c r="G47" s="111">
        <v>88.108999999999995</v>
      </c>
      <c r="H47" s="111">
        <v>99.355999999999995</v>
      </c>
      <c r="I47" s="111">
        <f>H47-G47</f>
        <v>11.247</v>
      </c>
      <c r="J47" s="111">
        <f t="shared" si="6"/>
        <v>1.0943331000000001</v>
      </c>
      <c r="K47" s="113">
        <f t="shared" si="7"/>
        <v>21.886662000000001</v>
      </c>
      <c r="L47" s="111">
        <v>164.54</v>
      </c>
      <c r="M47" s="111">
        <v>3945</v>
      </c>
      <c r="N47" s="111">
        <v>5361</v>
      </c>
      <c r="O47" s="111">
        <v>259.89999999999998</v>
      </c>
      <c r="P47" s="111">
        <f>O47-L47</f>
        <v>95.359999999999985</v>
      </c>
      <c r="R47" s="157"/>
      <c r="S47" s="157"/>
      <c r="U47" s="157"/>
      <c r="X47"/>
    </row>
    <row r="48" spans="1:24" x14ac:dyDescent="0.55000000000000004">
      <c r="B48">
        <v>26</v>
      </c>
      <c r="C48" t="s">
        <v>1059</v>
      </c>
      <c r="E48" t="s">
        <v>1054</v>
      </c>
      <c r="F48" t="s">
        <v>955</v>
      </c>
      <c r="G48" t="s">
        <v>1065</v>
      </c>
      <c r="I48" s="85"/>
      <c r="J48" s="85"/>
      <c r="L48" s="85">
        <v>6.68</v>
      </c>
      <c r="Q48" t="s">
        <v>1082</v>
      </c>
      <c r="R48">
        <v>10</v>
      </c>
      <c r="S48">
        <v>0</v>
      </c>
      <c r="U48" s="15"/>
      <c r="X48">
        <f t="shared" si="0"/>
        <v>0</v>
      </c>
    </row>
    <row r="49" spans="1:28" x14ac:dyDescent="0.55000000000000004">
      <c r="A49">
        <v>25</v>
      </c>
      <c r="B49">
        <v>27</v>
      </c>
      <c r="C49" t="s">
        <v>1078</v>
      </c>
      <c r="E49" t="s">
        <v>1054</v>
      </c>
      <c r="F49" t="s">
        <v>955</v>
      </c>
      <c r="G49" s="7">
        <v>94.147000000000006</v>
      </c>
      <c r="H49" s="111">
        <v>105.96</v>
      </c>
      <c r="I49" s="85">
        <f t="shared" si="5"/>
        <v>11.812999999999988</v>
      </c>
      <c r="J49" s="85">
        <f t="shared" si="6"/>
        <v>1.1494048999999988</v>
      </c>
      <c r="K49" s="3">
        <f t="shared" si="7"/>
        <v>22.988097999999976</v>
      </c>
      <c r="L49" s="85">
        <v>18.22</v>
      </c>
      <c r="M49">
        <v>354</v>
      </c>
      <c r="N49">
        <v>1517</v>
      </c>
      <c r="O49">
        <v>76.989999999999995</v>
      </c>
      <c r="P49">
        <f t="shared" si="8"/>
        <v>58.769999999999996</v>
      </c>
      <c r="R49">
        <v>9</v>
      </c>
      <c r="S49">
        <v>2</v>
      </c>
      <c r="U49" t="s">
        <v>1040</v>
      </c>
      <c r="X49">
        <f t="shared" si="0"/>
        <v>0.22222222222222221</v>
      </c>
    </row>
    <row r="50" spans="1:28" s="111" customFormat="1" x14ac:dyDescent="0.55000000000000004">
      <c r="C50" s="111" t="s">
        <v>1079</v>
      </c>
      <c r="E50" s="111" t="s">
        <v>1054</v>
      </c>
      <c r="F50" s="111" t="s">
        <v>955</v>
      </c>
      <c r="G50" s="111">
        <v>86.808999999999997</v>
      </c>
      <c r="H50" s="111">
        <v>98.608999999999995</v>
      </c>
      <c r="I50" s="111">
        <f>H50-G50</f>
        <v>11.799999999999997</v>
      </c>
      <c r="J50" s="111">
        <f t="shared" si="6"/>
        <v>1.1481399999999997</v>
      </c>
      <c r="K50" s="113">
        <f t="shared" si="7"/>
        <v>22.962799999999994</v>
      </c>
      <c r="L50" s="111">
        <v>18.22</v>
      </c>
      <c r="M50" s="111">
        <v>354</v>
      </c>
      <c r="N50" s="111">
        <v>1517</v>
      </c>
      <c r="O50" s="111">
        <v>76.989999999999995</v>
      </c>
      <c r="P50" s="111">
        <f>O50-L50</f>
        <v>58.769999999999996</v>
      </c>
      <c r="R50" s="157"/>
      <c r="S50" s="157"/>
      <c r="U50" s="157"/>
      <c r="X50"/>
    </row>
    <row r="51" spans="1:28" x14ac:dyDescent="0.55000000000000004">
      <c r="A51">
        <v>26</v>
      </c>
      <c r="C51" t="s">
        <v>1080</v>
      </c>
      <c r="E51" t="s">
        <v>1054</v>
      </c>
      <c r="F51" t="s">
        <v>955</v>
      </c>
      <c r="G51" s="7">
        <v>81.331999999999994</v>
      </c>
      <c r="H51" s="7">
        <v>90.856999999999999</v>
      </c>
      <c r="I51" s="85">
        <f>H51-G51</f>
        <v>9.5250000000000057</v>
      </c>
      <c r="J51" s="85">
        <f t="shared" si="6"/>
        <v>0.92678250000000051</v>
      </c>
      <c r="K51" s="3">
        <f t="shared" si="7"/>
        <v>18.535650000000011</v>
      </c>
      <c r="L51" s="85">
        <v>18.22</v>
      </c>
      <c r="M51">
        <v>354</v>
      </c>
      <c r="N51">
        <v>4873</v>
      </c>
      <c r="O51">
        <v>247.32</v>
      </c>
      <c r="P51">
        <f>O51-L51</f>
        <v>229.1</v>
      </c>
      <c r="R51" s="15"/>
      <c r="S51" s="15"/>
      <c r="U51" t="s">
        <v>455</v>
      </c>
    </row>
    <row r="52" spans="1:28" s="111" customFormat="1" x14ac:dyDescent="0.55000000000000004">
      <c r="C52" s="111" t="s">
        <v>1081</v>
      </c>
      <c r="E52" s="111" t="s">
        <v>1054</v>
      </c>
      <c r="F52" s="111" t="s">
        <v>955</v>
      </c>
      <c r="G52" s="111">
        <v>89.864000000000004</v>
      </c>
      <c r="H52" s="111">
        <v>103.114</v>
      </c>
      <c r="I52" s="111">
        <f>H52-G52</f>
        <v>13.25</v>
      </c>
      <c r="J52" s="111">
        <f t="shared" si="6"/>
        <v>1.2892250000000001</v>
      </c>
      <c r="K52" s="113">
        <f t="shared" si="7"/>
        <v>25.784500000000001</v>
      </c>
      <c r="L52" s="111">
        <v>18.22</v>
      </c>
      <c r="M52" s="111">
        <v>354</v>
      </c>
      <c r="N52" s="111">
        <v>4873</v>
      </c>
      <c r="O52" s="111">
        <v>247.32</v>
      </c>
      <c r="P52" s="111">
        <f>O52-L52</f>
        <v>229.1</v>
      </c>
      <c r="R52" s="157"/>
      <c r="S52" s="157"/>
      <c r="U52" s="157"/>
      <c r="X52"/>
    </row>
    <row r="53" spans="1:28" x14ac:dyDescent="0.55000000000000004">
      <c r="B53">
        <v>28</v>
      </c>
      <c r="C53" t="s">
        <v>1060</v>
      </c>
      <c r="E53" t="s">
        <v>1054</v>
      </c>
      <c r="F53" t="s">
        <v>955</v>
      </c>
      <c r="G53" t="s">
        <v>18</v>
      </c>
      <c r="I53" s="85"/>
      <c r="J53" s="85"/>
      <c r="L53" s="85">
        <v>189.11</v>
      </c>
      <c r="R53">
        <v>10</v>
      </c>
      <c r="S53">
        <v>0</v>
      </c>
      <c r="U53" s="15"/>
      <c r="X53">
        <f t="shared" si="0"/>
        <v>0</v>
      </c>
    </row>
    <row r="54" spans="1:28" x14ac:dyDescent="0.55000000000000004">
      <c r="B54">
        <v>29</v>
      </c>
      <c r="C54" t="s">
        <v>1061</v>
      </c>
      <c r="E54" t="s">
        <v>1054</v>
      </c>
      <c r="F54" t="s">
        <v>955</v>
      </c>
      <c r="G54" t="s">
        <v>18</v>
      </c>
      <c r="I54" s="85"/>
      <c r="J54" s="85"/>
      <c r="L54" s="111">
        <v>110.97</v>
      </c>
      <c r="R54">
        <v>12</v>
      </c>
      <c r="S54">
        <v>0</v>
      </c>
      <c r="U54" s="15"/>
      <c r="X54">
        <f t="shared" si="0"/>
        <v>0</v>
      </c>
    </row>
    <row r="55" spans="1:28" x14ac:dyDescent="0.55000000000000004">
      <c r="J55" t="s">
        <v>166</v>
      </c>
      <c r="K55" s="3">
        <f>(SUM(K5:K6,K11,K13,K18,K20:K25,K29:K31,K33:K36,K38,K40,K42:K44,K46,K49,K51))/(COUNT(K5:K6,K11,K13,K18,K20:K25,K29:K31,K33:K36,K38,K40,K42:K44,K46,K49,K51))</f>
        <v>22.632354230769231</v>
      </c>
    </row>
    <row r="56" spans="1:28" x14ac:dyDescent="0.55000000000000004">
      <c r="J56" t="s">
        <v>434</v>
      </c>
      <c r="K56" s="3">
        <f xml:space="preserve"> STDEV(K5:K6,K11,K13,K18,K20:K25,K29:K31,K33:K36,K38,K40,K42:K44,K46,K49,K51)/SQRT(COUNT(K5:K6,K11,K13,K18,K20:K25,K29:K31,K33:K36,K38,K40,K42:K44,K46,K49,K51))</f>
        <v>2.5715466632090425</v>
      </c>
      <c r="R56">
        <f>SUM(R2:R54)</f>
        <v>312</v>
      </c>
      <c r="S56">
        <f>SUM(S2:S54)</f>
        <v>28</v>
      </c>
      <c r="X56">
        <f>(SUM(X53:X54,X48:X49,X46,X40:X42,X37:X38,X35:X36,X31,X29,X26:X28,X20:X21,X15:X18,X8:X11,X4,X2:X3)/COUNT(X53:X54,X48:X49,X46,X40:X42,X37:X38,X35:X36,X31,X29,X26:X28,X20:X21,X15:X18,X8:X11,X4,X2:X3))*100</f>
        <v>9.2374458330340676</v>
      </c>
      <c r="Y56">
        <f>(STDEV(X53:X54,X48:X49,X46,X40:X42,X37:X38,X35:X36,X31,X29,X26:X28,X20:X21,X15:X18,X8:X11,X4,X2:X3)/SQRT(COUNT(X53:X54,X48:X49,X46,X40:X42,X37:X38,X35:X36,X31,X29,X26:X28,X20:X21,X15:X18,X8:X11,X4,X2:X3)))*100</f>
        <v>2.370121512252096</v>
      </c>
    </row>
    <row r="57" spans="1:28" x14ac:dyDescent="0.55000000000000004">
      <c r="R57">
        <f>(S56/R56)*100</f>
        <v>8.9743589743589745</v>
      </c>
    </row>
    <row r="60" spans="1:28" x14ac:dyDescent="0.55000000000000004">
      <c r="C60" s="85">
        <v>62.573629999999994</v>
      </c>
      <c r="D60" s="85">
        <v>37.024595999999988</v>
      </c>
      <c r="E60" s="85">
        <v>20.469973999999983</v>
      </c>
      <c r="F60" s="85">
        <v>22.853823999999999</v>
      </c>
      <c r="G60" s="85">
        <v>22.449055999999999</v>
      </c>
      <c r="H60" s="85">
        <v>23.067883999999999</v>
      </c>
      <c r="I60" s="85">
        <v>21.900283999999985</v>
      </c>
      <c r="J60" s="85">
        <v>15.957199999999979</v>
      </c>
      <c r="K60" s="85">
        <v>13.242530000000013</v>
      </c>
      <c r="L60" s="85">
        <v>2.2203860000000102</v>
      </c>
      <c r="M60" s="85">
        <v>6.7545660000000076</v>
      </c>
      <c r="N60" s="85">
        <v>9.5918339999999755</v>
      </c>
      <c r="O60" s="85">
        <v>20.343483999999986</v>
      </c>
      <c r="P60" s="85">
        <v>26.393598000000004</v>
      </c>
      <c r="Q60" s="85">
        <v>14.458780000000013</v>
      </c>
      <c r="R60" s="85">
        <v>8.8640300000000121</v>
      </c>
      <c r="S60" s="85">
        <v>27.360760000000003</v>
      </c>
      <c r="T60" s="85">
        <v>36.497229999999988</v>
      </c>
      <c r="U60" s="85">
        <v>19.471675999999999</v>
      </c>
      <c r="V60" s="85">
        <v>23.566059999999997</v>
      </c>
      <c r="W60" s="85">
        <v>17.064474000000011</v>
      </c>
      <c r="X60" s="85">
        <v>29.748502000000009</v>
      </c>
      <c r="Y60" s="85">
        <v>13.501348000000004</v>
      </c>
      <c r="Z60" s="85">
        <v>51.541755999999978</v>
      </c>
      <c r="AA60" s="85">
        <v>22.988097999999976</v>
      </c>
      <c r="AB60" s="85">
        <v>18.535650000000011</v>
      </c>
    </row>
    <row r="61" spans="1:28" x14ac:dyDescent="0.55000000000000004">
      <c r="U61" s="113"/>
      <c r="V61" s="3"/>
    </row>
    <row r="62" spans="1:28" x14ac:dyDescent="0.55000000000000004">
      <c r="U62" s="3"/>
      <c r="V62" s="3"/>
    </row>
    <row r="63" spans="1:28" x14ac:dyDescent="0.55000000000000004">
      <c r="U63" s="3"/>
      <c r="V63" s="3"/>
    </row>
    <row r="64" spans="1:28" x14ac:dyDescent="0.55000000000000004">
      <c r="U64" s="3"/>
      <c r="V64" s="3"/>
    </row>
    <row r="65" spans="21:22" x14ac:dyDescent="0.55000000000000004">
      <c r="U65" s="3"/>
      <c r="V65" s="113"/>
    </row>
    <row r="66" spans="21:22" x14ac:dyDescent="0.55000000000000004">
      <c r="U66" s="3"/>
      <c r="V66" s="3"/>
    </row>
    <row r="67" spans="21:22" x14ac:dyDescent="0.55000000000000004">
      <c r="U67" s="113"/>
      <c r="V67" s="113"/>
    </row>
    <row r="68" spans="21:22" x14ac:dyDescent="0.55000000000000004">
      <c r="U68" s="3"/>
      <c r="V68" s="3"/>
    </row>
    <row r="69" spans="21:22" x14ac:dyDescent="0.55000000000000004">
      <c r="U69" s="113"/>
      <c r="V69" s="3"/>
    </row>
    <row r="70" spans="21:22" x14ac:dyDescent="0.55000000000000004">
      <c r="U70" s="3"/>
      <c r="V70" s="113"/>
    </row>
    <row r="71" spans="21:22" x14ac:dyDescent="0.55000000000000004">
      <c r="U71" s="3"/>
      <c r="V71" s="3"/>
    </row>
    <row r="72" spans="21:22" x14ac:dyDescent="0.55000000000000004">
      <c r="U72" s="113"/>
    </row>
    <row r="73" spans="21:22" x14ac:dyDescent="0.55000000000000004">
      <c r="U73" s="3"/>
    </row>
    <row r="74" spans="21:22" x14ac:dyDescent="0.55000000000000004">
      <c r="U74" s="113"/>
    </row>
  </sheetData>
  <pageMargins left="0.7" right="0.7" top="0.75" bottom="0.75" header="0.3" footer="0.3"/>
  <pageSetup paperSize="9" orientation="portrait" horizontalDpi="4294967293" verticalDpi="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V30"/>
  <sheetViews>
    <sheetView zoomScale="85" zoomScaleNormal="85" workbookViewId="0">
      <selection sqref="A1:U2"/>
    </sheetView>
  </sheetViews>
  <sheetFormatPr defaultRowHeight="14.4" x14ac:dyDescent="0.55000000000000004"/>
  <cols>
    <col min="3" max="3" width="11.26171875" customWidth="1"/>
    <col min="5" max="5" width="10.578125" customWidth="1"/>
  </cols>
  <sheetData>
    <row r="1" spans="1:21" ht="57.6" x14ac:dyDescent="0.55000000000000004">
      <c r="B1" s="3"/>
      <c r="C1" s="2" t="s">
        <v>0</v>
      </c>
      <c r="D1" s="2" t="s">
        <v>1</v>
      </c>
      <c r="E1" s="2" t="s">
        <v>90</v>
      </c>
      <c r="F1" s="2" t="s">
        <v>88</v>
      </c>
      <c r="G1" s="2" t="s">
        <v>1266</v>
      </c>
      <c r="H1" s="2" t="s">
        <v>2</v>
      </c>
      <c r="I1" s="2" t="s">
        <v>3</v>
      </c>
      <c r="J1" s="2" t="s">
        <v>11</v>
      </c>
      <c r="K1" s="2" t="s">
        <v>12</v>
      </c>
      <c r="L1" s="2" t="s">
        <v>1267</v>
      </c>
      <c r="M1" s="2" t="s">
        <v>19</v>
      </c>
      <c r="N1" s="2" t="s">
        <v>10</v>
      </c>
      <c r="O1" s="2" t="s">
        <v>8</v>
      </c>
      <c r="P1" s="2" t="s">
        <v>9</v>
      </c>
      <c r="Q1" s="2" t="s">
        <v>123</v>
      </c>
      <c r="R1" s="2" t="s">
        <v>5</v>
      </c>
      <c r="S1" s="3" t="s">
        <v>355</v>
      </c>
      <c r="T1" s="3" t="s">
        <v>450</v>
      </c>
    </row>
    <row r="2" spans="1:21" x14ac:dyDescent="0.55000000000000004">
      <c r="A2">
        <v>1</v>
      </c>
      <c r="C2" t="s">
        <v>1258</v>
      </c>
      <c r="E2" t="s">
        <v>1265</v>
      </c>
      <c r="F2" t="s">
        <v>89</v>
      </c>
      <c r="G2">
        <v>66.7</v>
      </c>
      <c r="H2" t="s">
        <v>325</v>
      </c>
      <c r="L2" s="3"/>
      <c r="M2">
        <v>5.08</v>
      </c>
      <c r="Q2">
        <f>P2-M2</f>
        <v>-5.08</v>
      </c>
      <c r="R2" t="s">
        <v>1268</v>
      </c>
      <c r="S2">
        <v>11</v>
      </c>
      <c r="T2">
        <v>0</v>
      </c>
      <c r="U2">
        <f>T2/S2</f>
        <v>0</v>
      </c>
    </row>
    <row r="3" spans="1:21" x14ac:dyDescent="0.55000000000000004">
      <c r="A3">
        <v>2</v>
      </c>
      <c r="C3" t="s">
        <v>1259</v>
      </c>
      <c r="E3" t="s">
        <v>1265</v>
      </c>
      <c r="F3" t="s">
        <v>89</v>
      </c>
      <c r="G3">
        <v>66.7</v>
      </c>
      <c r="H3" t="s">
        <v>325</v>
      </c>
      <c r="M3">
        <v>46.46</v>
      </c>
      <c r="S3">
        <v>13</v>
      </c>
      <c r="T3">
        <v>0</v>
      </c>
      <c r="U3">
        <f t="shared" ref="U3:U19" si="0">T3/S3</f>
        <v>0</v>
      </c>
    </row>
    <row r="4" spans="1:21" x14ac:dyDescent="0.55000000000000004">
      <c r="A4">
        <v>3</v>
      </c>
      <c r="C4" t="s">
        <v>1260</v>
      </c>
      <c r="E4" t="s">
        <v>1265</v>
      </c>
      <c r="F4" t="s">
        <v>89</v>
      </c>
      <c r="G4">
        <v>66.7</v>
      </c>
      <c r="H4" t="s">
        <v>325</v>
      </c>
      <c r="M4">
        <v>99.76</v>
      </c>
      <c r="S4">
        <v>9</v>
      </c>
      <c r="T4">
        <v>0</v>
      </c>
      <c r="U4">
        <f t="shared" si="0"/>
        <v>0</v>
      </c>
    </row>
    <row r="5" spans="1:21" x14ac:dyDescent="0.55000000000000004">
      <c r="A5">
        <v>4</v>
      </c>
      <c r="C5" t="s">
        <v>1261</v>
      </c>
      <c r="E5" t="s">
        <v>1265</v>
      </c>
      <c r="F5" t="s">
        <v>89</v>
      </c>
      <c r="G5">
        <v>66.7</v>
      </c>
      <c r="H5" t="s">
        <v>325</v>
      </c>
      <c r="M5">
        <v>93.18</v>
      </c>
      <c r="S5">
        <v>15</v>
      </c>
      <c r="T5">
        <v>0</v>
      </c>
      <c r="U5">
        <f t="shared" si="0"/>
        <v>0</v>
      </c>
    </row>
    <row r="6" spans="1:21" x14ac:dyDescent="0.55000000000000004">
      <c r="A6">
        <v>5</v>
      </c>
      <c r="B6">
        <v>1</v>
      </c>
      <c r="C6" t="s">
        <v>1270</v>
      </c>
      <c r="E6" t="s">
        <v>1265</v>
      </c>
      <c r="F6" t="s">
        <v>89</v>
      </c>
      <c r="G6">
        <v>66.7</v>
      </c>
      <c r="H6">
        <v>82.671000000000006</v>
      </c>
      <c r="I6">
        <v>87.772000000000006</v>
      </c>
      <c r="J6">
        <f>I6-H6</f>
        <v>5.1009999999999991</v>
      </c>
      <c r="K6">
        <f>J6*0.0973</f>
        <v>0.49632729999999992</v>
      </c>
      <c r="L6" s="3">
        <f>K6*20</f>
        <v>9.9265459999999983</v>
      </c>
      <c r="M6">
        <v>39.35</v>
      </c>
      <c r="N6">
        <v>1265</v>
      </c>
      <c r="O6">
        <v>5351</v>
      </c>
      <c r="P6">
        <v>274.18</v>
      </c>
      <c r="Q6">
        <f>P6-M6</f>
        <v>234.83</v>
      </c>
      <c r="R6" t="s">
        <v>1269</v>
      </c>
      <c r="S6">
        <v>12</v>
      </c>
      <c r="T6">
        <v>1</v>
      </c>
      <c r="U6">
        <f t="shared" si="0"/>
        <v>8.3333333333333329E-2</v>
      </c>
    </row>
    <row r="7" spans="1:21" s="107" customFormat="1" x14ac:dyDescent="0.55000000000000004">
      <c r="C7" s="107" t="s">
        <v>1271</v>
      </c>
      <c r="E7" s="107" t="s">
        <v>1265</v>
      </c>
      <c r="F7" s="107" t="s">
        <v>89</v>
      </c>
      <c r="G7" s="107">
        <v>66.7</v>
      </c>
      <c r="H7" s="107">
        <v>87.822999999999993</v>
      </c>
      <c r="I7" s="107">
        <v>90.183999999999997</v>
      </c>
      <c r="J7" s="107">
        <f>I7-H7</f>
        <v>2.3610000000000042</v>
      </c>
      <c r="K7" s="107">
        <f>J7*0.0973</f>
        <v>0.22972530000000041</v>
      </c>
      <c r="L7" s="180">
        <f>K7*20</f>
        <v>4.594506000000008</v>
      </c>
      <c r="M7" s="107">
        <v>39.35</v>
      </c>
      <c r="N7" s="107">
        <v>1265</v>
      </c>
      <c r="O7" s="107">
        <v>5351</v>
      </c>
      <c r="P7" s="107">
        <v>274.18</v>
      </c>
      <c r="Q7" s="107">
        <f>P7-M7</f>
        <v>234.83</v>
      </c>
      <c r="R7" s="107" t="s">
        <v>1269</v>
      </c>
      <c r="S7" s="201"/>
      <c r="T7" s="201"/>
      <c r="U7"/>
    </row>
    <row r="8" spans="1:21" x14ac:dyDescent="0.55000000000000004">
      <c r="A8">
        <v>6</v>
      </c>
      <c r="B8">
        <v>2</v>
      </c>
      <c r="C8" t="s">
        <v>1272</v>
      </c>
      <c r="E8" t="s">
        <v>1265</v>
      </c>
      <c r="F8" t="s">
        <v>89</v>
      </c>
      <c r="G8">
        <v>66.7</v>
      </c>
      <c r="H8">
        <v>78.879000000000005</v>
      </c>
      <c r="I8">
        <v>83.055999999999997</v>
      </c>
      <c r="J8">
        <f>I8-H8</f>
        <v>4.1769999999999925</v>
      </c>
      <c r="K8">
        <f>J8*0.0973</f>
        <v>0.40642209999999929</v>
      </c>
      <c r="L8" s="3">
        <f>K8*20</f>
        <v>8.1284419999999855</v>
      </c>
      <c r="M8">
        <v>16.73</v>
      </c>
      <c r="N8">
        <v>614</v>
      </c>
      <c r="O8">
        <v>1223</v>
      </c>
      <c r="P8">
        <v>60</v>
      </c>
      <c r="Q8">
        <f>P8-M8</f>
        <v>43.269999999999996</v>
      </c>
      <c r="S8">
        <v>16</v>
      </c>
      <c r="T8">
        <v>1</v>
      </c>
      <c r="U8">
        <f t="shared" si="0"/>
        <v>6.25E-2</v>
      </c>
    </row>
    <row r="9" spans="1:21" s="107" customFormat="1" x14ac:dyDescent="0.55000000000000004">
      <c r="C9" s="107" t="s">
        <v>1273</v>
      </c>
      <c r="E9" s="107" t="s">
        <v>1265</v>
      </c>
      <c r="F9" s="107" t="s">
        <v>89</v>
      </c>
      <c r="G9" s="107">
        <v>66.7</v>
      </c>
      <c r="H9" s="107">
        <v>93.35</v>
      </c>
      <c r="I9" s="107">
        <v>84.638999999999996</v>
      </c>
      <c r="J9" s="107">
        <f>I9-H9</f>
        <v>-8.7109999999999985</v>
      </c>
      <c r="K9" s="107">
        <f>J9*0.0973</f>
        <v>-0.84758029999999984</v>
      </c>
      <c r="L9" s="180">
        <f>K9*20</f>
        <v>-16.951605999999998</v>
      </c>
      <c r="M9" s="107">
        <v>16.73</v>
      </c>
      <c r="N9" s="107">
        <v>614</v>
      </c>
      <c r="O9" s="107">
        <v>1223</v>
      </c>
      <c r="P9" s="107">
        <v>60</v>
      </c>
      <c r="Q9" s="107">
        <f>P9-M9</f>
        <v>43.269999999999996</v>
      </c>
      <c r="R9" s="107" t="s">
        <v>1274</v>
      </c>
      <c r="S9" s="201"/>
      <c r="T9" s="201"/>
      <c r="U9"/>
    </row>
    <row r="10" spans="1:21" x14ac:dyDescent="0.55000000000000004">
      <c r="A10">
        <v>7</v>
      </c>
      <c r="C10" t="s">
        <v>1262</v>
      </c>
      <c r="E10" t="s">
        <v>1265</v>
      </c>
      <c r="F10" t="s">
        <v>89</v>
      </c>
      <c r="G10">
        <v>66.7</v>
      </c>
      <c r="H10" t="s">
        <v>325</v>
      </c>
      <c r="L10" s="3"/>
      <c r="M10">
        <v>76</v>
      </c>
      <c r="S10">
        <v>7</v>
      </c>
      <c r="T10">
        <v>0</v>
      </c>
      <c r="U10">
        <f t="shared" si="0"/>
        <v>0</v>
      </c>
    </row>
    <row r="11" spans="1:21" x14ac:dyDescent="0.55000000000000004">
      <c r="A11" s="85">
        <v>8</v>
      </c>
      <c r="C11" t="s">
        <v>1263</v>
      </c>
      <c r="E11" t="s">
        <v>1265</v>
      </c>
      <c r="F11" t="s">
        <v>89</v>
      </c>
      <c r="G11">
        <v>66.7</v>
      </c>
      <c r="J11">
        <f>I11-H11</f>
        <v>0</v>
      </c>
      <c r="K11">
        <f>J11*0.0973</f>
        <v>0</v>
      </c>
      <c r="L11" s="3">
        <f>K11*20</f>
        <v>0</v>
      </c>
      <c r="M11" t="s">
        <v>83</v>
      </c>
      <c r="S11" s="13">
        <v>4</v>
      </c>
      <c r="T11" s="13">
        <v>0</v>
      </c>
      <c r="U11">
        <f t="shared" si="0"/>
        <v>0</v>
      </c>
    </row>
    <row r="12" spans="1:21" x14ac:dyDescent="0.55000000000000004">
      <c r="A12">
        <v>9</v>
      </c>
      <c r="C12" t="s">
        <v>1264</v>
      </c>
      <c r="E12" t="s">
        <v>1265</v>
      </c>
      <c r="F12" t="s">
        <v>89</v>
      </c>
      <c r="G12">
        <v>66.7</v>
      </c>
      <c r="H12" t="s">
        <v>325</v>
      </c>
      <c r="L12" s="3"/>
      <c r="M12">
        <v>183.57</v>
      </c>
      <c r="S12" s="13">
        <v>13</v>
      </c>
      <c r="T12" s="13">
        <v>0</v>
      </c>
      <c r="U12">
        <f t="shared" si="0"/>
        <v>0</v>
      </c>
    </row>
    <row r="13" spans="1:21" x14ac:dyDescent="0.55000000000000004">
      <c r="A13">
        <v>10</v>
      </c>
      <c r="C13" t="s">
        <v>1285</v>
      </c>
      <c r="E13" t="s">
        <v>1284</v>
      </c>
      <c r="F13" t="s">
        <v>89</v>
      </c>
      <c r="G13">
        <v>67.7</v>
      </c>
      <c r="H13" t="s">
        <v>325</v>
      </c>
      <c r="L13" s="3"/>
      <c r="M13">
        <v>18.86</v>
      </c>
      <c r="S13" s="13">
        <v>7</v>
      </c>
      <c r="T13" s="13">
        <v>0</v>
      </c>
      <c r="U13">
        <f t="shared" si="0"/>
        <v>0</v>
      </c>
    </row>
    <row r="14" spans="1:21" x14ac:dyDescent="0.55000000000000004">
      <c r="A14">
        <v>11</v>
      </c>
      <c r="C14" t="s">
        <v>1286</v>
      </c>
      <c r="E14" t="s">
        <v>1284</v>
      </c>
      <c r="F14" t="s">
        <v>89</v>
      </c>
      <c r="G14">
        <v>67.7</v>
      </c>
      <c r="H14" t="s">
        <v>325</v>
      </c>
      <c r="L14" s="3"/>
      <c r="M14">
        <v>155.97999999999999</v>
      </c>
      <c r="S14" s="13">
        <v>10</v>
      </c>
      <c r="T14" s="13">
        <v>0</v>
      </c>
      <c r="U14">
        <f t="shared" si="0"/>
        <v>0</v>
      </c>
    </row>
    <row r="15" spans="1:21" x14ac:dyDescent="0.55000000000000004">
      <c r="A15">
        <v>12</v>
      </c>
      <c r="C15" t="s">
        <v>1275</v>
      </c>
      <c r="E15" t="s">
        <v>1284</v>
      </c>
      <c r="F15" t="s">
        <v>89</v>
      </c>
      <c r="G15">
        <v>68.7</v>
      </c>
      <c r="H15" t="s">
        <v>325</v>
      </c>
      <c r="L15" s="3"/>
      <c r="M15" t="s">
        <v>83</v>
      </c>
      <c r="R15" t="s">
        <v>1287</v>
      </c>
      <c r="S15" s="13">
        <v>5</v>
      </c>
      <c r="T15" s="13">
        <v>0</v>
      </c>
      <c r="U15">
        <f t="shared" si="0"/>
        <v>0</v>
      </c>
    </row>
    <row r="16" spans="1:21" x14ac:dyDescent="0.55000000000000004">
      <c r="A16">
        <v>13</v>
      </c>
      <c r="C16" t="s">
        <v>1276</v>
      </c>
      <c r="E16" t="s">
        <v>1284</v>
      </c>
      <c r="F16" t="s">
        <v>89</v>
      </c>
      <c r="G16">
        <v>69.7</v>
      </c>
      <c r="H16" t="s">
        <v>325</v>
      </c>
      <c r="L16" s="3"/>
      <c r="M16">
        <v>42.47</v>
      </c>
      <c r="S16" s="13">
        <v>8</v>
      </c>
      <c r="T16" s="13">
        <v>0</v>
      </c>
      <c r="U16">
        <f t="shared" si="0"/>
        <v>0</v>
      </c>
    </row>
    <row r="17" spans="1:22" x14ac:dyDescent="0.55000000000000004">
      <c r="A17">
        <v>14</v>
      </c>
      <c r="C17" t="s">
        <v>1277</v>
      </c>
      <c r="E17" t="s">
        <v>1284</v>
      </c>
      <c r="F17" t="s">
        <v>89</v>
      </c>
      <c r="G17">
        <v>70.7</v>
      </c>
      <c r="H17" t="s">
        <v>325</v>
      </c>
      <c r="L17" s="3"/>
      <c r="M17">
        <v>19.64</v>
      </c>
      <c r="S17" s="13">
        <v>11</v>
      </c>
      <c r="T17" s="13">
        <v>0</v>
      </c>
      <c r="U17">
        <f t="shared" si="0"/>
        <v>0</v>
      </c>
    </row>
    <row r="18" spans="1:22" x14ac:dyDescent="0.55000000000000004">
      <c r="A18">
        <v>15</v>
      </c>
      <c r="C18" t="s">
        <v>1278</v>
      </c>
      <c r="E18" t="s">
        <v>1284</v>
      </c>
      <c r="F18" t="s">
        <v>89</v>
      </c>
      <c r="G18">
        <v>72.7</v>
      </c>
      <c r="H18" t="s">
        <v>325</v>
      </c>
      <c r="L18" s="3"/>
      <c r="M18">
        <v>58.93</v>
      </c>
      <c r="S18" s="13">
        <v>4</v>
      </c>
      <c r="T18" s="13">
        <v>0</v>
      </c>
      <c r="U18">
        <f t="shared" si="0"/>
        <v>0</v>
      </c>
      <c r="V18" t="s">
        <v>1516</v>
      </c>
    </row>
    <row r="19" spans="1:22" x14ac:dyDescent="0.55000000000000004">
      <c r="A19">
        <v>16</v>
      </c>
      <c r="B19">
        <v>3</v>
      </c>
      <c r="C19" t="s">
        <v>1517</v>
      </c>
      <c r="E19" t="s">
        <v>1284</v>
      </c>
      <c r="F19" t="s">
        <v>89</v>
      </c>
      <c r="G19">
        <v>73.7</v>
      </c>
      <c r="H19">
        <v>87.515000000000001</v>
      </c>
      <c r="I19">
        <v>91.358999999999995</v>
      </c>
      <c r="J19">
        <f>I19-H19</f>
        <v>3.8439999999999941</v>
      </c>
      <c r="K19">
        <f>J19*0.0973</f>
        <v>0.37402119999999944</v>
      </c>
      <c r="L19" s="3">
        <f>K19*20</f>
        <v>7.4804239999999886</v>
      </c>
      <c r="M19">
        <v>70.19</v>
      </c>
      <c r="N19">
        <v>1227</v>
      </c>
      <c r="O19">
        <v>2261</v>
      </c>
      <c r="P19">
        <v>118.26</v>
      </c>
      <c r="S19" s="13">
        <v>10</v>
      </c>
      <c r="T19" s="13">
        <v>1</v>
      </c>
      <c r="U19">
        <f t="shared" si="0"/>
        <v>0.1</v>
      </c>
    </row>
    <row r="20" spans="1:22" s="111" customFormat="1" x14ac:dyDescent="0.55000000000000004">
      <c r="A20" s="111">
        <v>16</v>
      </c>
      <c r="C20" s="111" t="s">
        <v>1518</v>
      </c>
      <c r="E20" s="111" t="s">
        <v>1284</v>
      </c>
      <c r="F20" s="111" t="s">
        <v>89</v>
      </c>
      <c r="G20" s="111">
        <v>73.7</v>
      </c>
      <c r="H20" s="111">
        <v>88.099000000000004</v>
      </c>
      <c r="I20" s="111">
        <v>85.603999999999999</v>
      </c>
      <c r="J20" s="111">
        <f>I20-H20</f>
        <v>-2.4950000000000045</v>
      </c>
      <c r="K20" s="111">
        <f>J20*0.0973</f>
        <v>-0.24276350000000044</v>
      </c>
      <c r="L20" s="113">
        <f>K20*20</f>
        <v>-4.8552700000000089</v>
      </c>
      <c r="M20" s="111">
        <v>70.19</v>
      </c>
      <c r="N20" s="111">
        <v>1227</v>
      </c>
      <c r="O20" s="111">
        <v>2261</v>
      </c>
      <c r="P20" s="111">
        <v>118.26</v>
      </c>
      <c r="S20" s="227">
        <v>10</v>
      </c>
      <c r="T20" s="227">
        <v>1</v>
      </c>
      <c r="U20" s="111">
        <f>T20/S20</f>
        <v>0.1</v>
      </c>
    </row>
    <row r="21" spans="1:22" x14ac:dyDescent="0.55000000000000004">
      <c r="A21">
        <v>17</v>
      </c>
      <c r="B21">
        <v>4</v>
      </c>
      <c r="C21" t="s">
        <v>1279</v>
      </c>
      <c r="E21" t="s">
        <v>1284</v>
      </c>
      <c r="F21" t="s">
        <v>89</v>
      </c>
      <c r="G21">
        <v>74.7</v>
      </c>
      <c r="H21">
        <v>78.527000000000001</v>
      </c>
      <c r="I21">
        <v>92.813999999999993</v>
      </c>
      <c r="J21">
        <f>I21-H21</f>
        <v>14.286999999999992</v>
      </c>
      <c r="K21">
        <f>J21*0.0973</f>
        <v>1.3901250999999992</v>
      </c>
      <c r="L21" s="3">
        <f>K21*20</f>
        <v>27.802501999999983</v>
      </c>
      <c r="M21" t="s">
        <v>83</v>
      </c>
      <c r="N21">
        <v>201</v>
      </c>
      <c r="O21">
        <v>1711</v>
      </c>
      <c r="P21">
        <v>80.959999999999994</v>
      </c>
      <c r="S21">
        <v>14</v>
      </c>
      <c r="T21">
        <v>1</v>
      </c>
    </row>
    <row r="22" spans="1:22" x14ac:dyDescent="0.55000000000000004">
      <c r="A22">
        <v>18</v>
      </c>
      <c r="C22" t="s">
        <v>1280</v>
      </c>
      <c r="E22" t="s">
        <v>1284</v>
      </c>
      <c r="F22" t="s">
        <v>89</v>
      </c>
      <c r="G22">
        <v>75.7</v>
      </c>
      <c r="H22" t="s">
        <v>325</v>
      </c>
      <c r="M22">
        <v>56.64</v>
      </c>
      <c r="S22">
        <v>17</v>
      </c>
      <c r="T22">
        <v>0</v>
      </c>
    </row>
    <row r="23" spans="1:22" x14ac:dyDescent="0.55000000000000004">
      <c r="A23">
        <v>19</v>
      </c>
      <c r="C23" t="s">
        <v>1281</v>
      </c>
      <c r="E23" t="s">
        <v>1284</v>
      </c>
      <c r="F23" t="s">
        <v>89</v>
      </c>
      <c r="G23">
        <v>76.7</v>
      </c>
      <c r="H23" t="s">
        <v>325</v>
      </c>
      <c r="M23">
        <v>80.319999999999993</v>
      </c>
      <c r="S23">
        <v>10</v>
      </c>
      <c r="T23">
        <v>0</v>
      </c>
    </row>
    <row r="24" spans="1:22" x14ac:dyDescent="0.55000000000000004">
      <c r="A24">
        <v>20</v>
      </c>
      <c r="C24" t="s">
        <v>1281</v>
      </c>
      <c r="E24" t="s">
        <v>1284</v>
      </c>
      <c r="F24" t="s">
        <v>89</v>
      </c>
      <c r="G24">
        <v>76.7</v>
      </c>
      <c r="H24" t="s">
        <v>325</v>
      </c>
      <c r="M24">
        <v>249.28</v>
      </c>
      <c r="S24">
        <v>6</v>
      </c>
      <c r="T24">
        <v>0</v>
      </c>
    </row>
    <row r="25" spans="1:22" x14ac:dyDescent="0.55000000000000004">
      <c r="A25">
        <v>21</v>
      </c>
      <c r="C25" t="s">
        <v>1282</v>
      </c>
      <c r="E25" t="s">
        <v>1284</v>
      </c>
      <c r="F25" t="s">
        <v>89</v>
      </c>
      <c r="G25">
        <v>77.7</v>
      </c>
      <c r="H25" t="s">
        <v>325</v>
      </c>
      <c r="M25">
        <v>73.040000000000006</v>
      </c>
      <c r="S25">
        <v>6</v>
      </c>
      <c r="T25">
        <v>0</v>
      </c>
    </row>
    <row r="26" spans="1:22" x14ac:dyDescent="0.55000000000000004">
      <c r="A26">
        <v>22</v>
      </c>
      <c r="C26" t="s">
        <v>1283</v>
      </c>
      <c r="E26" t="s">
        <v>1284</v>
      </c>
      <c r="F26" t="s">
        <v>89</v>
      </c>
      <c r="G26">
        <v>79.7</v>
      </c>
      <c r="H26" t="s">
        <v>325</v>
      </c>
      <c r="M26">
        <v>62.38</v>
      </c>
      <c r="S26">
        <v>6</v>
      </c>
      <c r="T26">
        <v>0</v>
      </c>
    </row>
    <row r="29" spans="1:22" x14ac:dyDescent="0.55000000000000004">
      <c r="K29" t="s">
        <v>225</v>
      </c>
      <c r="L29" s="3">
        <f>(SUM(L6,L8))/(COUNT(L6,L8))</f>
        <v>9.0274939999999919</v>
      </c>
      <c r="S29">
        <f>SUM(S2:S26)</f>
        <v>224</v>
      </c>
      <c r="T29">
        <f>SUM(T2:T26)</f>
        <v>5</v>
      </c>
      <c r="U29">
        <f>(SUM(U2:U27)/COUNT(U2:U27))*100</f>
        <v>2.034313725490196</v>
      </c>
      <c r="V29">
        <f>(STDEV(U2:U27)/SQRT(COUNT(U2:U27)))*100</f>
        <v>0.93571613572652335</v>
      </c>
    </row>
    <row r="30" spans="1:22" x14ac:dyDescent="0.55000000000000004">
      <c r="K30" t="s">
        <v>226</v>
      </c>
      <c r="L30" s="3">
        <f xml:space="preserve"> STDEV(L6,L8)/SQRT(COUNT(L6,L8))</f>
        <v>0.8990520000000064</v>
      </c>
      <c r="S30">
        <f>(T29/S29)*100</f>
        <v>2.2321428571428572</v>
      </c>
    </row>
  </sheetData>
  <pageMargins left="0.7" right="0.7" top="0.75" bottom="0.75" header="0.3" footer="0.3"/>
  <pageSetup paperSize="9" orientation="portrait" horizontalDpi="4294967293" verticalDpi="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AO73"/>
  <sheetViews>
    <sheetView topLeftCell="K54" zoomScale="115" zoomScaleNormal="115" workbookViewId="0">
      <selection activeCell="U2" sqref="U2"/>
    </sheetView>
  </sheetViews>
  <sheetFormatPr defaultRowHeight="14.4" x14ac:dyDescent="0.55000000000000004"/>
  <cols>
    <col min="3" max="3" width="10.7890625" customWidth="1"/>
    <col min="11" max="11" width="8.83984375" style="3"/>
    <col min="22" max="22" width="11.20703125" customWidth="1"/>
  </cols>
  <sheetData>
    <row r="1" spans="1:21" ht="57.6" x14ac:dyDescent="0.55000000000000004">
      <c r="A1" t="s">
        <v>922</v>
      </c>
      <c r="B1" s="3" t="s">
        <v>973</v>
      </c>
      <c r="C1" s="2" t="s">
        <v>0</v>
      </c>
      <c r="D1" s="2" t="s">
        <v>1</v>
      </c>
      <c r="E1" s="2" t="s">
        <v>90</v>
      </c>
      <c r="F1" s="2" t="s">
        <v>88</v>
      </c>
      <c r="G1" s="2" t="s">
        <v>2</v>
      </c>
      <c r="H1" s="2" t="s">
        <v>3</v>
      </c>
      <c r="I1" s="2" t="s">
        <v>11</v>
      </c>
      <c r="J1" s="2" t="s">
        <v>12</v>
      </c>
      <c r="K1" s="2" t="s">
        <v>1267</v>
      </c>
      <c r="L1" s="2" t="s">
        <v>19</v>
      </c>
      <c r="M1" s="2" t="s">
        <v>10</v>
      </c>
      <c r="N1" s="2" t="s">
        <v>8</v>
      </c>
      <c r="O1" s="2" t="s">
        <v>9</v>
      </c>
      <c r="P1" s="2" t="s">
        <v>123</v>
      </c>
      <c r="Q1" s="2" t="s">
        <v>5</v>
      </c>
      <c r="R1" s="3" t="s">
        <v>355</v>
      </c>
      <c r="S1" s="3" t="s">
        <v>450</v>
      </c>
    </row>
    <row r="2" spans="1:21" x14ac:dyDescent="0.55000000000000004">
      <c r="A2">
        <v>1</v>
      </c>
      <c r="B2">
        <v>1</v>
      </c>
      <c r="C2" t="s">
        <v>1312</v>
      </c>
      <c r="D2" t="s">
        <v>1319</v>
      </c>
      <c r="E2" t="s">
        <v>1317</v>
      </c>
      <c r="F2" t="s">
        <v>1318</v>
      </c>
      <c r="G2">
        <v>79.022999999999996</v>
      </c>
      <c r="H2">
        <v>80.802000000000007</v>
      </c>
      <c r="I2">
        <f>H2-G2</f>
        <v>1.7790000000000106</v>
      </c>
      <c r="J2">
        <f>I2*0.0973</f>
        <v>0.17309670000000102</v>
      </c>
      <c r="K2" s="3">
        <f>J2*20</f>
        <v>3.4619340000000203</v>
      </c>
      <c r="L2">
        <v>27.91</v>
      </c>
      <c r="M2">
        <v>989</v>
      </c>
      <c r="N2">
        <v>2417</v>
      </c>
      <c r="O2">
        <v>116.71</v>
      </c>
      <c r="P2">
        <f>O2-L2</f>
        <v>88.8</v>
      </c>
      <c r="R2">
        <v>14</v>
      </c>
      <c r="S2">
        <v>1</v>
      </c>
      <c r="U2">
        <f>S2/R2</f>
        <v>7.1428571428571425E-2</v>
      </c>
    </row>
    <row r="3" spans="1:21" x14ac:dyDescent="0.55000000000000004">
      <c r="A3">
        <v>2</v>
      </c>
      <c r="B3">
        <v>2</v>
      </c>
      <c r="C3" t="s">
        <v>1326</v>
      </c>
      <c r="D3" t="s">
        <v>1320</v>
      </c>
      <c r="E3" t="s">
        <v>1317</v>
      </c>
      <c r="F3" t="s">
        <v>1318</v>
      </c>
      <c r="G3">
        <v>79.307000000000002</v>
      </c>
      <c r="H3">
        <v>84.899000000000001</v>
      </c>
      <c r="I3">
        <f>H3-G3</f>
        <v>5.5919999999999987</v>
      </c>
      <c r="J3">
        <f>I3*0.0973</f>
        <v>0.54410159999999985</v>
      </c>
      <c r="K3" s="3">
        <f>J3*20</f>
        <v>10.882031999999997</v>
      </c>
      <c r="L3" t="s">
        <v>1189</v>
      </c>
      <c r="M3">
        <v>248</v>
      </c>
      <c r="N3">
        <v>3147</v>
      </c>
      <c r="O3">
        <v>159.84</v>
      </c>
      <c r="R3">
        <v>12</v>
      </c>
      <c r="S3">
        <v>1</v>
      </c>
      <c r="U3">
        <f t="shared" ref="U3:U67" si="0">S3/R3</f>
        <v>8.3333333333333329E-2</v>
      </c>
    </row>
    <row r="4" spans="1:21" s="111" customFormat="1" x14ac:dyDescent="0.55000000000000004">
      <c r="C4" s="111" t="s">
        <v>1327</v>
      </c>
      <c r="D4" s="111" t="s">
        <v>1320</v>
      </c>
      <c r="E4" s="111" t="s">
        <v>1317</v>
      </c>
      <c r="F4" s="111" t="s">
        <v>1318</v>
      </c>
      <c r="G4" s="111">
        <v>79.325999999999993</v>
      </c>
      <c r="H4" s="111">
        <v>85.364999999999995</v>
      </c>
      <c r="I4" s="111">
        <f>H4-G4</f>
        <v>6.0390000000000015</v>
      </c>
      <c r="J4" s="111">
        <f>I4*0.0973</f>
        <v>0.58759470000000014</v>
      </c>
      <c r="K4" s="113">
        <f>J4*20</f>
        <v>11.751894000000004</v>
      </c>
      <c r="L4" s="111" t="s">
        <v>1189</v>
      </c>
      <c r="M4" s="111">
        <v>248</v>
      </c>
      <c r="N4" s="111">
        <v>3147</v>
      </c>
      <c r="O4" s="111">
        <v>159.84</v>
      </c>
      <c r="R4" s="215"/>
      <c r="S4" s="215"/>
      <c r="U4"/>
    </row>
    <row r="5" spans="1:21" x14ac:dyDescent="0.55000000000000004">
      <c r="A5">
        <v>3</v>
      </c>
      <c r="B5">
        <v>3</v>
      </c>
      <c r="C5" t="s">
        <v>1313</v>
      </c>
      <c r="D5" t="s">
        <v>1321</v>
      </c>
      <c r="E5" t="s">
        <v>1317</v>
      </c>
      <c r="F5" t="s">
        <v>1318</v>
      </c>
      <c r="G5">
        <v>80.459999999999994</v>
      </c>
      <c r="H5">
        <v>102.934</v>
      </c>
      <c r="I5">
        <f>H5-G5</f>
        <v>22.474000000000004</v>
      </c>
      <c r="J5">
        <f>I5*0.0973</f>
        <v>2.1867202000000003</v>
      </c>
      <c r="K5" s="3">
        <f>J5*20</f>
        <v>43.734404000000005</v>
      </c>
      <c r="L5">
        <v>111.44</v>
      </c>
      <c r="M5">
        <v>3052</v>
      </c>
      <c r="N5">
        <v>3749</v>
      </c>
      <c r="O5">
        <v>210.26</v>
      </c>
      <c r="P5">
        <f>O5-L5</f>
        <v>98.82</v>
      </c>
      <c r="R5">
        <v>10</v>
      </c>
      <c r="S5">
        <v>1</v>
      </c>
      <c r="U5">
        <f t="shared" si="0"/>
        <v>0.1</v>
      </c>
    </row>
    <row r="6" spans="1:21" x14ac:dyDescent="0.55000000000000004">
      <c r="A6">
        <v>4</v>
      </c>
      <c r="B6">
        <v>4</v>
      </c>
      <c r="C6" t="s">
        <v>1314</v>
      </c>
      <c r="D6" t="s">
        <v>1322</v>
      </c>
      <c r="E6" t="s">
        <v>1317</v>
      </c>
      <c r="F6" t="s">
        <v>1318</v>
      </c>
      <c r="G6">
        <v>79.617999999999995</v>
      </c>
      <c r="H6">
        <v>92.867000000000004</v>
      </c>
      <c r="I6">
        <f>H6-G6</f>
        <v>13.249000000000009</v>
      </c>
      <c r="J6">
        <f>I6*0.0973</f>
        <v>1.289127700000001</v>
      </c>
      <c r="K6" s="3">
        <f>J6*20</f>
        <v>25.782554000000019</v>
      </c>
      <c r="L6">
        <v>4.93</v>
      </c>
      <c r="M6">
        <v>312</v>
      </c>
      <c r="N6">
        <v>1087</v>
      </c>
      <c r="O6">
        <v>54.15</v>
      </c>
      <c r="P6">
        <f>O6-L6</f>
        <v>49.22</v>
      </c>
      <c r="R6">
        <v>6</v>
      </c>
      <c r="S6">
        <v>1</v>
      </c>
      <c r="U6">
        <f t="shared" si="0"/>
        <v>0.16666666666666666</v>
      </c>
    </row>
    <row r="7" spans="1:21" x14ac:dyDescent="0.55000000000000004">
      <c r="A7">
        <v>5</v>
      </c>
      <c r="C7" t="s">
        <v>1315</v>
      </c>
      <c r="D7" t="s">
        <v>1323</v>
      </c>
      <c r="E7" t="s">
        <v>1317</v>
      </c>
      <c r="F7" t="s">
        <v>1318</v>
      </c>
      <c r="G7" t="s">
        <v>325</v>
      </c>
      <c r="L7">
        <v>117.99</v>
      </c>
      <c r="Q7" t="s">
        <v>1328</v>
      </c>
      <c r="R7">
        <v>8</v>
      </c>
      <c r="S7">
        <v>0</v>
      </c>
      <c r="U7">
        <f t="shared" si="0"/>
        <v>0</v>
      </c>
    </row>
    <row r="8" spans="1:21" x14ac:dyDescent="0.55000000000000004">
      <c r="A8">
        <v>6</v>
      </c>
      <c r="B8">
        <v>5</v>
      </c>
      <c r="C8" t="s">
        <v>1329</v>
      </c>
      <c r="D8" t="s">
        <v>1324</v>
      </c>
      <c r="E8" t="s">
        <v>1317</v>
      </c>
      <c r="F8" t="s">
        <v>1318</v>
      </c>
      <c r="G8">
        <v>84.016000000000005</v>
      </c>
      <c r="H8">
        <v>91.177999999999997</v>
      </c>
      <c r="I8">
        <f>H8-G8</f>
        <v>7.1619999999999919</v>
      </c>
      <c r="J8">
        <f>I8*0.0973</f>
        <v>0.69686259999999922</v>
      </c>
      <c r="K8" s="3">
        <f>J8*20</f>
        <v>13.937251999999985</v>
      </c>
      <c r="L8">
        <v>53.84</v>
      </c>
      <c r="M8">
        <v>262</v>
      </c>
      <c r="N8">
        <v>1590</v>
      </c>
      <c r="O8">
        <v>79.569999999999993</v>
      </c>
      <c r="P8">
        <f>O8-L8</f>
        <v>25.72999999999999</v>
      </c>
      <c r="R8">
        <v>11</v>
      </c>
      <c r="S8">
        <v>1</v>
      </c>
      <c r="U8">
        <f t="shared" si="0"/>
        <v>9.0909090909090912E-2</v>
      </c>
    </row>
    <row r="9" spans="1:21" x14ac:dyDescent="0.55000000000000004">
      <c r="A9">
        <v>7</v>
      </c>
      <c r="B9">
        <v>6</v>
      </c>
      <c r="C9" t="s">
        <v>1330</v>
      </c>
      <c r="D9" t="s">
        <v>1324</v>
      </c>
      <c r="E9" t="s">
        <v>1317</v>
      </c>
      <c r="F9" t="s">
        <v>1318</v>
      </c>
      <c r="G9">
        <v>83.715999999999994</v>
      </c>
      <c r="H9">
        <v>85.486999999999995</v>
      </c>
      <c r="I9">
        <f>H9-G9</f>
        <v>1.7710000000000008</v>
      </c>
      <c r="J9">
        <f>I9*0.0973</f>
        <v>0.17231830000000006</v>
      </c>
      <c r="K9" s="3">
        <f>J9*20</f>
        <v>3.4463660000000012</v>
      </c>
      <c r="L9">
        <v>132.41</v>
      </c>
      <c r="M9">
        <v>3860</v>
      </c>
      <c r="N9">
        <v>5047</v>
      </c>
      <c r="O9">
        <v>252.56</v>
      </c>
      <c r="P9">
        <f>O9-L9</f>
        <v>120.15</v>
      </c>
      <c r="R9">
        <v>9</v>
      </c>
      <c r="S9">
        <v>1</v>
      </c>
      <c r="U9">
        <f t="shared" si="0"/>
        <v>0.1111111111111111</v>
      </c>
    </row>
    <row r="10" spans="1:21" x14ac:dyDescent="0.55000000000000004">
      <c r="A10">
        <v>8</v>
      </c>
      <c r="C10" t="s">
        <v>1316</v>
      </c>
      <c r="D10" t="s">
        <v>1325</v>
      </c>
      <c r="E10" t="s">
        <v>1317</v>
      </c>
      <c r="F10" t="s">
        <v>1318</v>
      </c>
      <c r="G10" t="s">
        <v>325</v>
      </c>
      <c r="L10">
        <v>91.37</v>
      </c>
      <c r="R10">
        <v>14</v>
      </c>
      <c r="S10">
        <v>0</v>
      </c>
      <c r="U10">
        <f t="shared" si="0"/>
        <v>0</v>
      </c>
    </row>
    <row r="11" spans="1:21" x14ac:dyDescent="0.55000000000000004">
      <c r="A11">
        <v>9</v>
      </c>
      <c r="B11">
        <v>7</v>
      </c>
      <c r="C11" t="s">
        <v>1339</v>
      </c>
      <c r="E11" t="s">
        <v>1335</v>
      </c>
      <c r="F11" t="s">
        <v>1318</v>
      </c>
      <c r="G11">
        <v>80.882000000000005</v>
      </c>
      <c r="H11">
        <v>102.67100000000001</v>
      </c>
      <c r="I11">
        <f>H11-G11</f>
        <v>21.789000000000001</v>
      </c>
      <c r="J11">
        <f>I11*0.0973</f>
        <v>2.1200697000000002</v>
      </c>
      <c r="K11" s="3">
        <f>J11*20</f>
        <v>42.401394000000003</v>
      </c>
      <c r="L11">
        <v>70.510000000000005</v>
      </c>
      <c r="M11">
        <v>1521</v>
      </c>
      <c r="N11">
        <v>2146</v>
      </c>
      <c r="O11">
        <v>107.54</v>
      </c>
      <c r="P11">
        <f t="shared" ref="P11:P23" si="1">O11-L11</f>
        <v>37.03</v>
      </c>
      <c r="R11" s="15"/>
      <c r="S11" s="15"/>
    </row>
    <row r="12" spans="1:21" x14ac:dyDescent="0.55000000000000004">
      <c r="C12" t="s">
        <v>1336</v>
      </c>
      <c r="E12" t="s">
        <v>1335</v>
      </c>
      <c r="F12" t="s">
        <v>1318</v>
      </c>
      <c r="G12" s="107">
        <v>86.284000000000006</v>
      </c>
      <c r="H12" s="107">
        <v>98.995000000000005</v>
      </c>
      <c r="I12" s="107">
        <f>H12-G12</f>
        <v>12.710999999999999</v>
      </c>
      <c r="J12" s="107">
        <f>I12*0.0973</f>
        <v>1.2367802999999997</v>
      </c>
      <c r="K12" s="180">
        <f>J12*20</f>
        <v>24.735605999999994</v>
      </c>
      <c r="L12">
        <v>70.510000000000005</v>
      </c>
      <c r="M12">
        <v>1521</v>
      </c>
      <c r="N12">
        <v>2146</v>
      </c>
      <c r="O12">
        <v>107.54</v>
      </c>
      <c r="P12">
        <f t="shared" si="1"/>
        <v>37.03</v>
      </c>
      <c r="R12" s="15"/>
      <c r="S12" s="15"/>
    </row>
    <row r="13" spans="1:21" s="85" customFormat="1" x14ac:dyDescent="0.55000000000000004">
      <c r="B13" s="85">
        <v>8</v>
      </c>
      <c r="C13" s="85" t="s">
        <v>1340</v>
      </c>
      <c r="E13" s="85" t="s">
        <v>1335</v>
      </c>
      <c r="F13" s="85" t="s">
        <v>1318</v>
      </c>
      <c r="G13" s="85">
        <v>72.679000000000002</v>
      </c>
      <c r="H13" s="85">
        <v>87.394999999999996</v>
      </c>
      <c r="I13" s="85">
        <f>H13-G13</f>
        <v>14.715999999999994</v>
      </c>
      <c r="J13" s="85">
        <f>I13*0.0973</f>
        <v>1.4318667999999994</v>
      </c>
      <c r="K13" s="3">
        <f>J13*20</f>
        <v>28.637335999999991</v>
      </c>
      <c r="L13" s="85">
        <v>70.510000000000005</v>
      </c>
      <c r="M13" s="85">
        <v>1521</v>
      </c>
      <c r="N13" s="85">
        <v>2892</v>
      </c>
      <c r="O13" s="85">
        <v>144.93</v>
      </c>
      <c r="P13" s="85">
        <f t="shared" si="1"/>
        <v>74.42</v>
      </c>
      <c r="Q13" s="85" t="s">
        <v>1342</v>
      </c>
      <c r="R13" s="216"/>
      <c r="S13" s="216"/>
      <c r="U13"/>
    </row>
    <row r="14" spans="1:21" s="107" customFormat="1" x14ac:dyDescent="0.55000000000000004">
      <c r="C14" s="107" t="s">
        <v>1337</v>
      </c>
      <c r="E14" s="107" t="s">
        <v>1335</v>
      </c>
      <c r="F14" s="107" t="s">
        <v>1318</v>
      </c>
      <c r="G14" s="107">
        <v>80.882000000000005</v>
      </c>
      <c r="H14" s="107">
        <v>113.099</v>
      </c>
      <c r="I14" s="107">
        <f>H14-G14</f>
        <v>32.216999999999999</v>
      </c>
      <c r="J14" s="107">
        <f>I14*0.0973</f>
        <v>3.1347140999999996</v>
      </c>
      <c r="K14" s="180">
        <f>J14*20</f>
        <v>62.694281999999994</v>
      </c>
      <c r="L14" s="107">
        <v>70.510000000000005</v>
      </c>
      <c r="M14" s="107">
        <v>1521</v>
      </c>
      <c r="N14" s="107">
        <v>2892</v>
      </c>
      <c r="O14" s="107">
        <v>144.93</v>
      </c>
      <c r="P14" s="107">
        <f t="shared" si="1"/>
        <v>74.42</v>
      </c>
      <c r="Q14" s="107" t="s">
        <v>1341</v>
      </c>
      <c r="R14" s="217"/>
      <c r="S14" s="217"/>
      <c r="U14"/>
    </row>
    <row r="15" spans="1:21" x14ac:dyDescent="0.55000000000000004">
      <c r="B15">
        <v>9</v>
      </c>
      <c r="C15" t="s">
        <v>1338</v>
      </c>
      <c r="E15" t="s">
        <v>1335</v>
      </c>
      <c r="F15" t="s">
        <v>1318</v>
      </c>
      <c r="G15" s="107">
        <v>80.882000000000005</v>
      </c>
      <c r="H15" s="85">
        <v>93.129000000000005</v>
      </c>
      <c r="I15">
        <f>H15-G15</f>
        <v>12.247</v>
      </c>
      <c r="J15">
        <f>I15*0.0973</f>
        <v>1.1916331</v>
      </c>
      <c r="K15" s="3">
        <f>J15*20</f>
        <v>23.832661999999999</v>
      </c>
      <c r="L15">
        <v>70.510000000000005</v>
      </c>
      <c r="M15">
        <v>1521</v>
      </c>
      <c r="N15">
        <v>5132</v>
      </c>
      <c r="O15">
        <v>257.18</v>
      </c>
      <c r="P15">
        <f t="shared" si="1"/>
        <v>186.67000000000002</v>
      </c>
      <c r="Q15" t="s">
        <v>1343</v>
      </c>
      <c r="R15" s="15"/>
      <c r="S15" s="15"/>
    </row>
    <row r="16" spans="1:21" x14ac:dyDescent="0.55000000000000004">
      <c r="A16" s="85">
        <v>10</v>
      </c>
      <c r="C16" t="s">
        <v>1344</v>
      </c>
      <c r="E16" t="s">
        <v>1335</v>
      </c>
      <c r="F16" t="s">
        <v>1318</v>
      </c>
      <c r="G16" t="s">
        <v>325</v>
      </c>
      <c r="L16">
        <v>76.3</v>
      </c>
      <c r="P16">
        <f t="shared" si="1"/>
        <v>-76.3</v>
      </c>
      <c r="R16">
        <v>7</v>
      </c>
      <c r="S16">
        <v>0</v>
      </c>
      <c r="U16">
        <f t="shared" si="0"/>
        <v>0</v>
      </c>
    </row>
    <row r="17" spans="1:21" x14ac:dyDescent="0.55000000000000004">
      <c r="A17" s="85">
        <v>11</v>
      </c>
      <c r="B17">
        <v>10</v>
      </c>
      <c r="C17" t="s">
        <v>1345</v>
      </c>
      <c r="E17" t="s">
        <v>1335</v>
      </c>
      <c r="F17" t="s">
        <v>1318</v>
      </c>
      <c r="G17" s="85">
        <v>81.289000000000001</v>
      </c>
      <c r="H17" s="85">
        <v>105.855</v>
      </c>
      <c r="I17" s="85">
        <f t="shared" ref="I17:I36" si="2">H17-G17</f>
        <v>24.566000000000003</v>
      </c>
      <c r="J17">
        <f t="shared" ref="J17:J36" si="3">I17*0.0973</f>
        <v>2.3902718000000003</v>
      </c>
      <c r="K17" s="3">
        <f t="shared" ref="K17:K36" si="4">J17*20</f>
        <v>47.805436000000007</v>
      </c>
      <c r="L17">
        <v>138.18</v>
      </c>
      <c r="M17">
        <v>3268</v>
      </c>
      <c r="N17">
        <v>3786</v>
      </c>
      <c r="O17">
        <v>193.76</v>
      </c>
      <c r="P17">
        <f t="shared" si="1"/>
        <v>55.579999999999984</v>
      </c>
      <c r="R17">
        <v>6</v>
      </c>
      <c r="S17">
        <v>3</v>
      </c>
      <c r="U17">
        <f t="shared" si="0"/>
        <v>0.5</v>
      </c>
    </row>
    <row r="18" spans="1:21" x14ac:dyDescent="0.55000000000000004">
      <c r="A18" s="85"/>
      <c r="B18">
        <v>11</v>
      </c>
      <c r="C18" t="s">
        <v>1346</v>
      </c>
      <c r="E18" t="s">
        <v>1335</v>
      </c>
      <c r="F18" t="s">
        <v>1318</v>
      </c>
      <c r="G18" s="85">
        <v>81.289000000000001</v>
      </c>
      <c r="H18" s="85">
        <v>94.450999999999993</v>
      </c>
      <c r="I18" s="85">
        <f t="shared" si="2"/>
        <v>13.161999999999992</v>
      </c>
      <c r="J18">
        <f t="shared" si="3"/>
        <v>1.2806625999999992</v>
      </c>
      <c r="K18" s="3">
        <f t="shared" si="4"/>
        <v>25.613251999999985</v>
      </c>
      <c r="L18">
        <v>138.18</v>
      </c>
      <c r="M18">
        <v>3268</v>
      </c>
      <c r="N18">
        <v>4279</v>
      </c>
      <c r="O18">
        <v>218.99</v>
      </c>
      <c r="P18">
        <f t="shared" si="1"/>
        <v>80.81</v>
      </c>
      <c r="Q18" t="s">
        <v>1347</v>
      </c>
      <c r="R18" s="15"/>
      <c r="S18" s="15"/>
    </row>
    <row r="19" spans="1:21" x14ac:dyDescent="0.55000000000000004">
      <c r="A19" s="85"/>
      <c r="B19">
        <v>12</v>
      </c>
      <c r="C19" t="s">
        <v>1348</v>
      </c>
      <c r="E19" t="s">
        <v>1335</v>
      </c>
      <c r="F19" t="s">
        <v>1318</v>
      </c>
      <c r="G19" s="85">
        <v>81.289000000000001</v>
      </c>
      <c r="H19" s="85">
        <v>82.775999999999996</v>
      </c>
      <c r="I19" s="85">
        <f t="shared" si="2"/>
        <v>1.4869999999999948</v>
      </c>
      <c r="J19">
        <f t="shared" si="3"/>
        <v>0.14468509999999948</v>
      </c>
      <c r="K19" s="3">
        <f t="shared" si="4"/>
        <v>2.8937019999999896</v>
      </c>
      <c r="L19">
        <v>138.18</v>
      </c>
      <c r="M19">
        <v>3268</v>
      </c>
      <c r="N19">
        <v>4651</v>
      </c>
      <c r="O19">
        <v>238.02</v>
      </c>
      <c r="P19">
        <f t="shared" si="1"/>
        <v>99.84</v>
      </c>
      <c r="Q19" t="s">
        <v>1349</v>
      </c>
      <c r="R19" s="15"/>
      <c r="S19" s="15"/>
    </row>
    <row r="20" spans="1:21" x14ac:dyDescent="0.55000000000000004">
      <c r="A20">
        <v>12</v>
      </c>
      <c r="B20">
        <v>13</v>
      </c>
      <c r="C20" t="s">
        <v>1350</v>
      </c>
      <c r="E20" t="s">
        <v>1335</v>
      </c>
      <c r="F20" t="s">
        <v>1318</v>
      </c>
      <c r="G20" s="85">
        <v>79.424000000000007</v>
      </c>
      <c r="H20" s="85">
        <v>92.221999999999994</v>
      </c>
      <c r="I20" s="85">
        <f t="shared" si="2"/>
        <v>12.797999999999988</v>
      </c>
      <c r="J20">
        <f t="shared" si="3"/>
        <v>1.2452453999999988</v>
      </c>
      <c r="K20" s="3">
        <f t="shared" si="4"/>
        <v>24.904907999999978</v>
      </c>
      <c r="L20">
        <v>39.659999999999997</v>
      </c>
      <c r="M20">
        <v>771</v>
      </c>
      <c r="N20">
        <v>2170</v>
      </c>
      <c r="O20">
        <v>106.12</v>
      </c>
      <c r="P20">
        <f t="shared" si="1"/>
        <v>66.460000000000008</v>
      </c>
      <c r="R20">
        <v>11</v>
      </c>
      <c r="S20">
        <v>1</v>
      </c>
      <c r="U20">
        <f t="shared" si="0"/>
        <v>9.0909090909090912E-2</v>
      </c>
    </row>
    <row r="21" spans="1:21" s="107" customFormat="1" x14ac:dyDescent="0.55000000000000004">
      <c r="C21" s="107" t="s">
        <v>1351</v>
      </c>
      <c r="E21" s="107" t="s">
        <v>1335</v>
      </c>
      <c r="F21" s="107" t="s">
        <v>1318</v>
      </c>
      <c r="G21" s="107">
        <v>76.423000000000002</v>
      </c>
      <c r="H21" s="107">
        <v>90.472999999999999</v>
      </c>
      <c r="I21" s="107">
        <f t="shared" si="2"/>
        <v>14.049999999999997</v>
      </c>
      <c r="J21" s="107">
        <f t="shared" si="3"/>
        <v>1.3670649999999998</v>
      </c>
      <c r="K21" s="180">
        <f t="shared" si="4"/>
        <v>27.341299999999997</v>
      </c>
      <c r="L21" s="107">
        <v>39.659999999999997</v>
      </c>
      <c r="M21" s="107">
        <v>771</v>
      </c>
      <c r="N21" s="107">
        <v>2170</v>
      </c>
      <c r="O21" s="107">
        <v>106.12</v>
      </c>
      <c r="P21" s="107">
        <f t="shared" si="1"/>
        <v>66.460000000000008</v>
      </c>
      <c r="R21" s="217"/>
      <c r="S21" s="217"/>
      <c r="U21"/>
    </row>
    <row r="22" spans="1:21" x14ac:dyDescent="0.55000000000000004">
      <c r="A22">
        <v>13</v>
      </c>
      <c r="B22">
        <v>14</v>
      </c>
      <c r="C22" t="s">
        <v>1352</v>
      </c>
      <c r="E22" t="s">
        <v>1335</v>
      </c>
      <c r="F22" t="s">
        <v>1318</v>
      </c>
      <c r="G22" s="85">
        <v>79.94</v>
      </c>
      <c r="H22" s="85">
        <v>99.846999999999994</v>
      </c>
      <c r="I22" s="85">
        <f t="shared" si="2"/>
        <v>19.906999999999996</v>
      </c>
      <c r="J22">
        <f t="shared" si="3"/>
        <v>1.9369510999999997</v>
      </c>
      <c r="K22" s="3">
        <f t="shared" si="4"/>
        <v>38.739021999999991</v>
      </c>
      <c r="L22">
        <v>34.380000000000003</v>
      </c>
      <c r="M22">
        <v>1436</v>
      </c>
      <c r="N22">
        <v>3580</v>
      </c>
      <c r="O22">
        <v>183.41</v>
      </c>
      <c r="P22">
        <f t="shared" si="1"/>
        <v>149.03</v>
      </c>
      <c r="R22">
        <v>12</v>
      </c>
      <c r="S22">
        <v>1</v>
      </c>
      <c r="U22">
        <f t="shared" si="0"/>
        <v>8.3333333333333329E-2</v>
      </c>
    </row>
    <row r="23" spans="1:21" s="107" customFormat="1" x14ac:dyDescent="0.55000000000000004">
      <c r="C23" s="107" t="s">
        <v>1353</v>
      </c>
      <c r="E23" s="107" t="s">
        <v>1335</v>
      </c>
      <c r="F23" s="107" t="s">
        <v>1318</v>
      </c>
      <c r="G23" s="107">
        <v>95.632999999999996</v>
      </c>
      <c r="H23" s="107">
        <v>109.19199999999999</v>
      </c>
      <c r="I23" s="107">
        <f t="shared" si="2"/>
        <v>13.558999999999997</v>
      </c>
      <c r="J23" s="107">
        <f t="shared" si="3"/>
        <v>1.3192906999999998</v>
      </c>
      <c r="K23" s="180">
        <f t="shared" si="4"/>
        <v>26.385813999999996</v>
      </c>
      <c r="L23" s="107">
        <v>34.380000000000003</v>
      </c>
      <c r="M23" s="107">
        <v>1436</v>
      </c>
      <c r="N23" s="107">
        <v>3580</v>
      </c>
      <c r="O23" s="107">
        <v>183.41</v>
      </c>
      <c r="P23" s="107">
        <f t="shared" si="1"/>
        <v>149.03</v>
      </c>
      <c r="R23" s="107">
        <v>12</v>
      </c>
      <c r="S23" s="107">
        <v>1</v>
      </c>
      <c r="U23">
        <f t="shared" si="0"/>
        <v>8.3333333333333329E-2</v>
      </c>
    </row>
    <row r="24" spans="1:21" x14ac:dyDescent="0.55000000000000004">
      <c r="A24">
        <v>14</v>
      </c>
      <c r="B24">
        <v>15</v>
      </c>
      <c r="C24" t="s">
        <v>1357</v>
      </c>
      <c r="E24" t="s">
        <v>1335</v>
      </c>
      <c r="F24" t="s">
        <v>1318</v>
      </c>
      <c r="G24" s="85">
        <v>78.816999999999993</v>
      </c>
      <c r="H24" s="85">
        <v>83.391000000000005</v>
      </c>
      <c r="I24" s="85">
        <f t="shared" si="2"/>
        <v>4.5740000000000123</v>
      </c>
      <c r="J24">
        <f t="shared" si="3"/>
        <v>0.44505020000000117</v>
      </c>
      <c r="K24" s="3">
        <f t="shared" si="4"/>
        <v>8.9010040000000235</v>
      </c>
      <c r="L24">
        <v>53.9</v>
      </c>
      <c r="M24">
        <v>729</v>
      </c>
      <c r="N24">
        <v>2251</v>
      </c>
      <c r="O24">
        <v>112.02</v>
      </c>
      <c r="P24">
        <f t="shared" ref="P24:P36" si="5">O24-L24</f>
        <v>58.12</v>
      </c>
      <c r="R24">
        <v>11</v>
      </c>
      <c r="S24">
        <v>3</v>
      </c>
      <c r="U24">
        <f t="shared" si="0"/>
        <v>0.27272727272727271</v>
      </c>
    </row>
    <row r="25" spans="1:21" s="107" customFormat="1" x14ac:dyDescent="0.55000000000000004">
      <c r="C25" s="107" t="s">
        <v>1358</v>
      </c>
      <c r="E25" s="107" t="s">
        <v>1335</v>
      </c>
      <c r="F25" s="107" t="s">
        <v>1318</v>
      </c>
      <c r="G25" s="107">
        <v>87.363</v>
      </c>
      <c r="H25" s="107">
        <v>88.108999999999995</v>
      </c>
      <c r="I25" s="107">
        <f t="shared" si="2"/>
        <v>0.74599999999999511</v>
      </c>
      <c r="J25" s="107">
        <f t="shared" si="3"/>
        <v>7.258579999999952E-2</v>
      </c>
      <c r="K25" s="180">
        <f t="shared" si="4"/>
        <v>1.4517159999999905</v>
      </c>
      <c r="L25" s="107">
        <v>53.9</v>
      </c>
      <c r="M25" s="107">
        <v>729</v>
      </c>
      <c r="N25" s="107">
        <v>2251</v>
      </c>
      <c r="O25" s="107">
        <v>112.02</v>
      </c>
      <c r="P25" s="107">
        <f t="shared" si="5"/>
        <v>58.12</v>
      </c>
      <c r="Q25" s="107" t="s">
        <v>1355</v>
      </c>
      <c r="R25" s="217"/>
      <c r="S25" s="217"/>
      <c r="U25"/>
    </row>
    <row r="26" spans="1:21" x14ac:dyDescent="0.55000000000000004">
      <c r="B26">
        <v>16</v>
      </c>
      <c r="C26" t="s">
        <v>1354</v>
      </c>
      <c r="E26" t="s">
        <v>1335</v>
      </c>
      <c r="F26" t="s">
        <v>1318</v>
      </c>
      <c r="G26" s="85">
        <v>78.816999999999993</v>
      </c>
      <c r="H26" s="85">
        <v>101.017</v>
      </c>
      <c r="I26" s="85">
        <f t="shared" si="2"/>
        <v>22.200000000000003</v>
      </c>
      <c r="J26">
        <f t="shared" si="3"/>
        <v>2.1600600000000001</v>
      </c>
      <c r="K26" s="3">
        <f t="shared" si="4"/>
        <v>43.2012</v>
      </c>
      <c r="L26">
        <v>53.9</v>
      </c>
      <c r="M26">
        <v>729</v>
      </c>
      <c r="N26">
        <v>3248</v>
      </c>
      <c r="O26">
        <v>161.63999999999999</v>
      </c>
      <c r="P26">
        <f t="shared" si="5"/>
        <v>107.73999999999998</v>
      </c>
      <c r="R26" s="15"/>
      <c r="S26" s="15"/>
    </row>
    <row r="27" spans="1:21" s="107" customFormat="1" x14ac:dyDescent="0.55000000000000004">
      <c r="C27" s="107" t="s">
        <v>1356</v>
      </c>
      <c r="E27" s="107" t="s">
        <v>1335</v>
      </c>
      <c r="F27" s="107" t="s">
        <v>1318</v>
      </c>
      <c r="G27" s="107">
        <v>87.363</v>
      </c>
      <c r="H27" s="107">
        <v>104.878</v>
      </c>
      <c r="I27" s="107">
        <f t="shared" si="2"/>
        <v>17.515000000000001</v>
      </c>
      <c r="J27" s="107">
        <f t="shared" si="3"/>
        <v>1.7042094999999999</v>
      </c>
      <c r="K27" s="180">
        <f t="shared" si="4"/>
        <v>34.08419</v>
      </c>
      <c r="L27" s="107">
        <v>53.9</v>
      </c>
      <c r="M27" s="107">
        <v>729</v>
      </c>
      <c r="N27" s="107">
        <v>3248</v>
      </c>
      <c r="O27" s="107">
        <v>161.63999999999999</v>
      </c>
      <c r="P27" s="107">
        <f t="shared" si="5"/>
        <v>107.73999999999998</v>
      </c>
      <c r="R27" s="217"/>
      <c r="S27" s="217"/>
      <c r="U27"/>
    </row>
    <row r="28" spans="1:21" x14ac:dyDescent="0.55000000000000004">
      <c r="B28">
        <v>17</v>
      </c>
      <c r="C28" t="s">
        <v>1359</v>
      </c>
      <c r="E28" t="s">
        <v>1335</v>
      </c>
      <c r="F28" t="s">
        <v>1318</v>
      </c>
      <c r="G28" s="85">
        <v>82.594999999999999</v>
      </c>
      <c r="H28" s="85">
        <v>98.924000000000007</v>
      </c>
      <c r="I28" s="85">
        <f t="shared" si="2"/>
        <v>16.329000000000008</v>
      </c>
      <c r="J28">
        <f t="shared" si="3"/>
        <v>1.5888117000000006</v>
      </c>
      <c r="K28" s="3">
        <f t="shared" si="4"/>
        <v>31.776234000000013</v>
      </c>
      <c r="L28">
        <v>53.9</v>
      </c>
      <c r="M28">
        <v>1336</v>
      </c>
      <c r="N28">
        <v>4357</v>
      </c>
      <c r="O28">
        <v>216.83</v>
      </c>
      <c r="P28">
        <f t="shared" si="5"/>
        <v>162.93</v>
      </c>
      <c r="R28" s="15"/>
      <c r="S28" s="15"/>
    </row>
    <row r="29" spans="1:21" s="107" customFormat="1" x14ac:dyDescent="0.55000000000000004">
      <c r="C29" s="107" t="s">
        <v>1360</v>
      </c>
      <c r="E29" s="107" t="s">
        <v>1335</v>
      </c>
      <c r="F29" s="107" t="s">
        <v>1318</v>
      </c>
      <c r="G29" s="107">
        <v>78.816999999999993</v>
      </c>
      <c r="H29" s="107">
        <v>96.507000000000005</v>
      </c>
      <c r="I29" s="107">
        <f t="shared" si="2"/>
        <v>17.690000000000012</v>
      </c>
      <c r="J29" s="107">
        <f t="shared" si="3"/>
        <v>1.721237000000001</v>
      </c>
      <c r="K29" s="180">
        <f t="shared" si="4"/>
        <v>34.424740000000021</v>
      </c>
      <c r="L29" s="107">
        <v>53.9</v>
      </c>
      <c r="M29" s="107">
        <v>729</v>
      </c>
      <c r="N29" s="107">
        <v>4357</v>
      </c>
      <c r="O29" s="107">
        <v>216.83</v>
      </c>
      <c r="P29" s="107">
        <f t="shared" si="5"/>
        <v>162.93</v>
      </c>
      <c r="Q29" s="107" t="s">
        <v>1361</v>
      </c>
      <c r="R29" s="217"/>
      <c r="S29" s="217"/>
      <c r="U29"/>
    </row>
    <row r="30" spans="1:21" x14ac:dyDescent="0.55000000000000004">
      <c r="A30">
        <v>15</v>
      </c>
      <c r="B30" s="7">
        <v>18</v>
      </c>
      <c r="C30" t="s">
        <v>1362</v>
      </c>
      <c r="E30" t="s">
        <v>1335</v>
      </c>
      <c r="F30" t="s">
        <v>1318</v>
      </c>
      <c r="G30" s="85">
        <v>84.075999999999993</v>
      </c>
      <c r="H30" s="85">
        <v>98.091999999999999</v>
      </c>
      <c r="I30">
        <f t="shared" si="2"/>
        <v>14.016000000000005</v>
      </c>
      <c r="J30">
        <f t="shared" si="3"/>
        <v>1.3637568000000004</v>
      </c>
      <c r="K30" s="3">
        <f t="shared" si="4"/>
        <v>27.27513600000001</v>
      </c>
      <c r="L30">
        <v>82.5</v>
      </c>
      <c r="M30">
        <v>1786</v>
      </c>
      <c r="N30">
        <v>2832</v>
      </c>
      <c r="O30">
        <v>140.83000000000001</v>
      </c>
      <c r="P30">
        <f t="shared" si="5"/>
        <v>58.330000000000013</v>
      </c>
      <c r="Q30" t="s">
        <v>1366</v>
      </c>
      <c r="R30">
        <v>5</v>
      </c>
      <c r="S30">
        <v>3</v>
      </c>
      <c r="U30">
        <f t="shared" si="0"/>
        <v>0.6</v>
      </c>
    </row>
    <row r="31" spans="1:21" s="107" customFormat="1" x14ac:dyDescent="0.55000000000000004">
      <c r="C31" s="107" t="s">
        <v>1364</v>
      </c>
      <c r="E31" s="107" t="s">
        <v>1335</v>
      </c>
      <c r="F31" s="107" t="s">
        <v>1318</v>
      </c>
      <c r="G31" s="107">
        <v>86.906000000000006</v>
      </c>
      <c r="H31" s="107">
        <v>103.124</v>
      </c>
      <c r="I31" s="107">
        <f t="shared" si="2"/>
        <v>16.217999999999989</v>
      </c>
      <c r="J31" s="107">
        <f t="shared" si="3"/>
        <v>1.578011399999999</v>
      </c>
      <c r="K31" s="180">
        <f t="shared" si="4"/>
        <v>31.560227999999981</v>
      </c>
      <c r="L31" s="107">
        <v>82.5</v>
      </c>
      <c r="M31" s="107">
        <v>1923</v>
      </c>
      <c r="N31" s="107">
        <v>4681</v>
      </c>
      <c r="O31" s="107">
        <v>232.79</v>
      </c>
      <c r="P31" s="107">
        <f t="shared" si="5"/>
        <v>150.29</v>
      </c>
      <c r="Q31" s="107" t="s">
        <v>1367</v>
      </c>
      <c r="R31" s="217"/>
      <c r="S31" s="217"/>
      <c r="U31"/>
    </row>
    <row r="32" spans="1:21" x14ac:dyDescent="0.55000000000000004">
      <c r="B32" s="7">
        <v>19</v>
      </c>
      <c r="C32" s="7" t="s">
        <v>1363</v>
      </c>
      <c r="D32" s="7"/>
      <c r="E32" s="7" t="s">
        <v>1335</v>
      </c>
      <c r="F32" s="7" t="s">
        <v>1318</v>
      </c>
      <c r="G32" s="7">
        <v>85.24</v>
      </c>
      <c r="H32" s="7">
        <v>102.96899999999999</v>
      </c>
      <c r="I32" s="7">
        <f t="shared" si="2"/>
        <v>17.728999999999999</v>
      </c>
      <c r="J32">
        <f t="shared" si="3"/>
        <v>1.7250316999999999</v>
      </c>
      <c r="K32" s="3">
        <f t="shared" si="4"/>
        <v>34.500633999999998</v>
      </c>
      <c r="L32">
        <v>82.5</v>
      </c>
      <c r="M32" s="7">
        <v>1923</v>
      </c>
      <c r="N32">
        <v>4681</v>
      </c>
      <c r="O32">
        <v>232.79</v>
      </c>
      <c r="P32">
        <f t="shared" si="5"/>
        <v>150.29</v>
      </c>
      <c r="R32" s="15"/>
      <c r="S32" s="15"/>
    </row>
    <row r="33" spans="1:21" x14ac:dyDescent="0.55000000000000004">
      <c r="B33" s="7">
        <v>20</v>
      </c>
      <c r="C33" s="7" t="s">
        <v>1365</v>
      </c>
      <c r="D33" s="7"/>
      <c r="E33" s="7" t="s">
        <v>1335</v>
      </c>
      <c r="F33" s="7" t="s">
        <v>1318</v>
      </c>
      <c r="G33" s="7">
        <v>82.384</v>
      </c>
      <c r="H33" s="7">
        <v>93.346999999999994</v>
      </c>
      <c r="I33" s="7">
        <f t="shared" si="2"/>
        <v>10.962999999999994</v>
      </c>
      <c r="J33">
        <f t="shared" si="3"/>
        <v>1.0666998999999995</v>
      </c>
      <c r="K33" s="3">
        <f t="shared" si="4"/>
        <v>21.33399799999999</v>
      </c>
      <c r="L33">
        <v>82.5</v>
      </c>
      <c r="M33" s="7">
        <v>3757</v>
      </c>
      <c r="N33">
        <v>6023</v>
      </c>
      <c r="O33">
        <v>299.52</v>
      </c>
      <c r="P33">
        <f t="shared" si="5"/>
        <v>217.01999999999998</v>
      </c>
      <c r="R33" s="15"/>
      <c r="S33" s="15"/>
    </row>
    <row r="34" spans="1:21" x14ac:dyDescent="0.55000000000000004">
      <c r="A34">
        <v>16</v>
      </c>
      <c r="B34" s="7">
        <v>21</v>
      </c>
      <c r="C34" s="7" t="s">
        <v>1368</v>
      </c>
      <c r="D34" s="7"/>
      <c r="E34" s="7" t="s">
        <v>1335</v>
      </c>
      <c r="F34" s="7" t="s">
        <v>1318</v>
      </c>
      <c r="G34" s="7">
        <v>73.974999999999994</v>
      </c>
      <c r="H34" s="7">
        <v>79.254999999999995</v>
      </c>
      <c r="I34" s="7">
        <f t="shared" si="2"/>
        <v>5.2800000000000011</v>
      </c>
      <c r="J34">
        <f t="shared" si="3"/>
        <v>0.51374400000000009</v>
      </c>
      <c r="K34" s="3">
        <f t="shared" si="4"/>
        <v>10.274880000000001</v>
      </c>
      <c r="L34">
        <v>46.92</v>
      </c>
      <c r="M34" s="7">
        <v>1040</v>
      </c>
      <c r="N34">
        <v>1997</v>
      </c>
      <c r="O34">
        <v>99.9</v>
      </c>
      <c r="P34">
        <f t="shared" si="5"/>
        <v>52.980000000000004</v>
      </c>
      <c r="Q34" t="s">
        <v>1036</v>
      </c>
      <c r="R34">
        <v>9</v>
      </c>
      <c r="S34">
        <v>3</v>
      </c>
      <c r="U34">
        <f t="shared" si="0"/>
        <v>0.33333333333333331</v>
      </c>
    </row>
    <row r="35" spans="1:21" x14ac:dyDescent="0.55000000000000004">
      <c r="B35" s="7">
        <v>22</v>
      </c>
      <c r="C35" s="7" t="s">
        <v>1370</v>
      </c>
      <c r="D35" s="7"/>
      <c r="E35" s="7" t="s">
        <v>1335</v>
      </c>
      <c r="F35" s="7" t="s">
        <v>1318</v>
      </c>
      <c r="G35" s="7">
        <v>73.974999999999994</v>
      </c>
      <c r="H35" s="7">
        <v>77.391000000000005</v>
      </c>
      <c r="I35" s="7">
        <f t="shared" si="2"/>
        <v>3.416000000000011</v>
      </c>
      <c r="J35">
        <f t="shared" si="3"/>
        <v>0.33237680000000108</v>
      </c>
      <c r="K35" s="3">
        <f t="shared" si="4"/>
        <v>6.6475360000000219</v>
      </c>
      <c r="L35">
        <v>46.92</v>
      </c>
      <c r="M35" s="7">
        <v>1040</v>
      </c>
      <c r="N35">
        <v>3884</v>
      </c>
      <c r="O35">
        <v>194.3</v>
      </c>
      <c r="P35">
        <f t="shared" si="5"/>
        <v>147.38</v>
      </c>
      <c r="Q35" t="s">
        <v>1369</v>
      </c>
      <c r="R35" s="15"/>
      <c r="S35" s="15"/>
    </row>
    <row r="36" spans="1:21" x14ac:dyDescent="0.55000000000000004">
      <c r="B36" s="7">
        <v>23</v>
      </c>
      <c r="C36" s="7" t="s">
        <v>1371</v>
      </c>
      <c r="D36" s="7"/>
      <c r="E36" s="7" t="s">
        <v>1335</v>
      </c>
      <c r="F36" s="7" t="s">
        <v>1318</v>
      </c>
      <c r="G36" s="7">
        <v>82.266999999999996</v>
      </c>
      <c r="H36" s="7">
        <v>90.563000000000002</v>
      </c>
      <c r="I36" s="7">
        <f t="shared" si="2"/>
        <v>8.2960000000000065</v>
      </c>
      <c r="J36">
        <f t="shared" si="3"/>
        <v>0.80720080000000061</v>
      </c>
      <c r="K36" s="3">
        <f t="shared" si="4"/>
        <v>16.144016000000011</v>
      </c>
      <c r="L36">
        <v>46.92</v>
      </c>
      <c r="M36" s="7">
        <v>1040</v>
      </c>
      <c r="N36">
        <v>4077</v>
      </c>
      <c r="O36">
        <v>203.96</v>
      </c>
      <c r="P36">
        <f t="shared" si="5"/>
        <v>157.04000000000002</v>
      </c>
      <c r="Q36" t="s">
        <v>1369</v>
      </c>
      <c r="R36" s="15"/>
      <c r="S36" s="15"/>
    </row>
    <row r="37" spans="1:21" x14ac:dyDescent="0.55000000000000004">
      <c r="A37">
        <v>17</v>
      </c>
      <c r="C37" s="7" t="s">
        <v>1331</v>
      </c>
      <c r="D37" s="7"/>
      <c r="E37" s="7" t="s">
        <v>1335</v>
      </c>
      <c r="F37" s="7" t="s">
        <v>1318</v>
      </c>
      <c r="G37" s="7" t="s">
        <v>1373</v>
      </c>
      <c r="H37" s="7"/>
      <c r="I37" s="7"/>
      <c r="R37">
        <v>7</v>
      </c>
      <c r="S37">
        <v>2</v>
      </c>
      <c r="T37" t="s">
        <v>1372</v>
      </c>
      <c r="U37">
        <f t="shared" si="0"/>
        <v>0.2857142857142857</v>
      </c>
    </row>
    <row r="38" spans="1:21" x14ac:dyDescent="0.55000000000000004">
      <c r="A38">
        <v>18</v>
      </c>
      <c r="B38" s="7">
        <v>24</v>
      </c>
      <c r="C38" s="7" t="s">
        <v>1374</v>
      </c>
      <c r="D38" s="7"/>
      <c r="E38" s="7" t="s">
        <v>1335</v>
      </c>
      <c r="F38" s="7" t="s">
        <v>1318</v>
      </c>
      <c r="G38" s="7">
        <v>78.784999999999997</v>
      </c>
      <c r="H38" s="7">
        <v>89.597999999999999</v>
      </c>
      <c r="I38" s="7">
        <f>H38-G38</f>
        <v>10.813000000000002</v>
      </c>
      <c r="J38">
        <f>I38*0.0973</f>
        <v>1.0521049000000002</v>
      </c>
      <c r="K38" s="3">
        <f>J38*20</f>
        <v>21.042098000000003</v>
      </c>
      <c r="L38">
        <v>179.25</v>
      </c>
      <c r="M38" s="7">
        <v>3867</v>
      </c>
      <c r="N38">
        <v>5322</v>
      </c>
      <c r="O38">
        <v>258.25</v>
      </c>
      <c r="P38">
        <f t="shared" ref="P38:P56" si="6">O38-L38</f>
        <v>79</v>
      </c>
      <c r="R38">
        <v>14</v>
      </c>
      <c r="S38">
        <v>4</v>
      </c>
      <c r="U38">
        <f t="shared" si="0"/>
        <v>0.2857142857142857</v>
      </c>
    </row>
    <row r="39" spans="1:21" x14ac:dyDescent="0.55000000000000004">
      <c r="B39" s="7">
        <v>25</v>
      </c>
      <c r="C39" s="7" t="s">
        <v>1375</v>
      </c>
      <c r="D39" s="7"/>
      <c r="E39" s="7" t="s">
        <v>1335</v>
      </c>
      <c r="F39" s="7" t="s">
        <v>1318</v>
      </c>
      <c r="G39" s="7">
        <v>78.784999999999997</v>
      </c>
      <c r="H39" s="7">
        <v>85.325000000000003</v>
      </c>
      <c r="I39" s="7">
        <f>H39-G39</f>
        <v>6.5400000000000063</v>
      </c>
      <c r="J39">
        <f>I39*0.0973</f>
        <v>0.63634200000000063</v>
      </c>
      <c r="K39" s="3">
        <f>J39*20</f>
        <v>12.726840000000013</v>
      </c>
      <c r="L39">
        <v>179.25</v>
      </c>
      <c r="M39" s="7">
        <v>3867</v>
      </c>
      <c r="N39">
        <v>5588</v>
      </c>
      <c r="O39">
        <v>271.16000000000003</v>
      </c>
      <c r="P39">
        <f t="shared" si="6"/>
        <v>91.910000000000025</v>
      </c>
      <c r="R39" s="15"/>
      <c r="S39" s="15"/>
    </row>
    <row r="40" spans="1:21" x14ac:dyDescent="0.55000000000000004">
      <c r="B40" s="7">
        <v>26</v>
      </c>
      <c r="C40" s="7" t="s">
        <v>1376</v>
      </c>
      <c r="D40" s="7"/>
      <c r="E40" s="7" t="s">
        <v>1335</v>
      </c>
      <c r="F40" s="7" t="s">
        <v>1318</v>
      </c>
      <c r="G40" s="7">
        <v>78.784999999999997</v>
      </c>
      <c r="H40" s="7">
        <v>102.72499999999999</v>
      </c>
      <c r="I40" s="7">
        <f>H40-G40</f>
        <v>23.939999999999998</v>
      </c>
      <c r="J40">
        <f>I40*0.0973</f>
        <v>2.3293619999999997</v>
      </c>
      <c r="K40" s="3">
        <f>J40*20</f>
        <v>46.587239999999994</v>
      </c>
      <c r="L40">
        <v>179.25</v>
      </c>
      <c r="M40" s="7">
        <v>3867</v>
      </c>
      <c r="N40">
        <v>5855</v>
      </c>
      <c r="O40">
        <v>284.12</v>
      </c>
      <c r="P40">
        <f t="shared" si="6"/>
        <v>104.87</v>
      </c>
      <c r="R40" s="15"/>
      <c r="S40" s="15"/>
    </row>
    <row r="41" spans="1:21" x14ac:dyDescent="0.55000000000000004">
      <c r="B41" s="7">
        <v>27</v>
      </c>
      <c r="C41" s="7" t="s">
        <v>1377</v>
      </c>
      <c r="D41" s="7"/>
      <c r="E41" s="7" t="s">
        <v>1335</v>
      </c>
      <c r="F41" s="7" t="s">
        <v>1318</v>
      </c>
      <c r="G41" s="7">
        <v>78.784999999999997</v>
      </c>
      <c r="H41" s="7">
        <v>96.325000000000003</v>
      </c>
      <c r="I41" s="7">
        <f>H41-G41</f>
        <v>17.540000000000006</v>
      </c>
      <c r="J41">
        <f>I41*0.0973</f>
        <v>1.7066420000000007</v>
      </c>
      <c r="K41" s="3">
        <f>J41*20</f>
        <v>34.132840000000016</v>
      </c>
      <c r="L41">
        <v>179.25</v>
      </c>
      <c r="M41" s="7">
        <v>3867</v>
      </c>
      <c r="N41">
        <v>6095</v>
      </c>
      <c r="O41">
        <v>295.76</v>
      </c>
      <c r="P41">
        <f t="shared" si="6"/>
        <v>116.50999999999999</v>
      </c>
      <c r="Q41" t="s">
        <v>1378</v>
      </c>
      <c r="R41" s="15"/>
      <c r="S41" s="15"/>
    </row>
    <row r="42" spans="1:21" x14ac:dyDescent="0.55000000000000004">
      <c r="A42">
        <v>19</v>
      </c>
      <c r="C42" s="7" t="s">
        <v>1332</v>
      </c>
      <c r="D42" s="7"/>
      <c r="E42" s="7" t="s">
        <v>1335</v>
      </c>
      <c r="F42" s="7" t="s">
        <v>1318</v>
      </c>
      <c r="G42" s="7" t="s">
        <v>325</v>
      </c>
      <c r="H42" s="7"/>
      <c r="I42" s="7"/>
      <c r="P42">
        <f t="shared" si="6"/>
        <v>0</v>
      </c>
      <c r="R42">
        <v>6</v>
      </c>
      <c r="S42">
        <v>0</v>
      </c>
      <c r="U42">
        <f t="shared" si="0"/>
        <v>0</v>
      </c>
    </row>
    <row r="43" spans="1:21" x14ac:dyDescent="0.55000000000000004">
      <c r="A43">
        <v>20</v>
      </c>
      <c r="B43" s="7">
        <v>28</v>
      </c>
      <c r="C43" s="7" t="s">
        <v>1379</v>
      </c>
      <c r="D43" s="7"/>
      <c r="E43" s="7" t="s">
        <v>1335</v>
      </c>
      <c r="F43" s="7" t="s">
        <v>1318</v>
      </c>
      <c r="G43" s="7">
        <v>83.718999999999994</v>
      </c>
      <c r="H43" s="7">
        <v>91.703999999999994</v>
      </c>
      <c r="I43" s="7">
        <f>H43-G43</f>
        <v>7.9849999999999994</v>
      </c>
      <c r="J43">
        <f>I43*0.0973</f>
        <v>0.77694049999999992</v>
      </c>
      <c r="K43" s="3">
        <f>J43*20</f>
        <v>15.538809999999998</v>
      </c>
      <c r="L43">
        <v>18.850000000000001</v>
      </c>
      <c r="M43" s="7">
        <v>457</v>
      </c>
      <c r="N43">
        <v>1474</v>
      </c>
      <c r="O43">
        <v>73.5</v>
      </c>
      <c r="P43">
        <f t="shared" si="6"/>
        <v>54.65</v>
      </c>
      <c r="R43">
        <v>8</v>
      </c>
      <c r="S43">
        <v>1</v>
      </c>
      <c r="U43">
        <f t="shared" si="0"/>
        <v>0.125</v>
      </c>
    </row>
    <row r="44" spans="1:21" s="107" customFormat="1" x14ac:dyDescent="0.55000000000000004">
      <c r="C44" s="107" t="s">
        <v>1380</v>
      </c>
      <c r="E44" s="107" t="s">
        <v>1335</v>
      </c>
      <c r="F44" s="107" t="s">
        <v>1318</v>
      </c>
      <c r="G44" s="107">
        <v>80.122</v>
      </c>
      <c r="H44" s="107">
        <v>89.957999999999998</v>
      </c>
      <c r="I44" s="107">
        <f>H44-G44</f>
        <v>9.8359999999999985</v>
      </c>
      <c r="J44" s="107">
        <f>I44*0.0973</f>
        <v>0.95704279999999986</v>
      </c>
      <c r="K44" s="180">
        <f>J44*20</f>
        <v>19.140855999999996</v>
      </c>
      <c r="L44" s="107">
        <v>18.850000000000001</v>
      </c>
      <c r="M44" s="107">
        <v>457</v>
      </c>
      <c r="N44" s="107">
        <v>1474</v>
      </c>
      <c r="O44" s="107">
        <v>73.5</v>
      </c>
      <c r="P44" s="107">
        <f t="shared" si="6"/>
        <v>54.65</v>
      </c>
      <c r="R44" s="107">
        <v>8</v>
      </c>
      <c r="S44" s="107">
        <v>1</v>
      </c>
      <c r="U44">
        <f t="shared" si="0"/>
        <v>0.125</v>
      </c>
    </row>
    <row r="45" spans="1:21" x14ac:dyDescent="0.55000000000000004">
      <c r="A45">
        <v>21</v>
      </c>
      <c r="B45" s="7">
        <v>29</v>
      </c>
      <c r="C45" s="7" t="s">
        <v>1333</v>
      </c>
      <c r="D45" s="7"/>
      <c r="E45" s="7" t="s">
        <v>1335</v>
      </c>
      <c r="F45" s="7" t="s">
        <v>1318</v>
      </c>
      <c r="G45" s="7">
        <v>71.831999999999994</v>
      </c>
      <c r="H45" s="7">
        <v>95.100999999999999</v>
      </c>
      <c r="I45" s="7">
        <f>H45-G45</f>
        <v>23.269000000000005</v>
      </c>
      <c r="J45">
        <f>I45*0.0973</f>
        <v>2.2640737000000004</v>
      </c>
      <c r="K45" s="3">
        <f>J45*20</f>
        <v>45.28147400000001</v>
      </c>
      <c r="L45">
        <v>119.75</v>
      </c>
      <c r="M45" s="7">
        <v>3150</v>
      </c>
      <c r="N45">
        <v>5278</v>
      </c>
      <c r="O45">
        <v>269.08</v>
      </c>
      <c r="P45">
        <f t="shared" si="6"/>
        <v>149.32999999999998</v>
      </c>
      <c r="Q45" t="s">
        <v>1381</v>
      </c>
      <c r="U45" t="e">
        <f t="shared" si="0"/>
        <v>#DIV/0!</v>
      </c>
    </row>
    <row r="46" spans="1:21" x14ac:dyDescent="0.55000000000000004">
      <c r="A46">
        <v>22</v>
      </c>
      <c r="C46" s="7" t="s">
        <v>1334</v>
      </c>
      <c r="D46" s="7"/>
      <c r="E46" s="7" t="s">
        <v>1335</v>
      </c>
      <c r="F46" s="7" t="s">
        <v>1318</v>
      </c>
      <c r="G46" s="7" t="s">
        <v>325</v>
      </c>
      <c r="H46" s="7"/>
      <c r="I46" s="7"/>
      <c r="M46" s="7"/>
      <c r="P46">
        <f t="shared" si="6"/>
        <v>0</v>
      </c>
      <c r="R46">
        <v>9</v>
      </c>
      <c r="S46">
        <v>0</v>
      </c>
      <c r="U46">
        <f t="shared" si="0"/>
        <v>0</v>
      </c>
    </row>
    <row r="47" spans="1:21" x14ac:dyDescent="0.55000000000000004">
      <c r="A47">
        <v>23</v>
      </c>
      <c r="B47">
        <v>30</v>
      </c>
      <c r="C47" s="7" t="s">
        <v>1385</v>
      </c>
      <c r="D47" s="7"/>
      <c r="E47" s="7" t="s">
        <v>1335</v>
      </c>
      <c r="F47" s="7" t="s">
        <v>1318</v>
      </c>
      <c r="G47" s="7">
        <v>81.457999999999998</v>
      </c>
      <c r="H47" s="7">
        <v>99.012</v>
      </c>
      <c r="I47" s="7">
        <f t="shared" ref="I47:I53" si="7">H47-G47</f>
        <v>17.554000000000002</v>
      </c>
      <c r="J47">
        <f t="shared" ref="J47:J53" si="8">I47*0.0973</f>
        <v>1.7080042000000002</v>
      </c>
      <c r="K47" s="3">
        <f t="shared" ref="K47:K53" si="9">J47*20</f>
        <v>34.160084000000005</v>
      </c>
      <c r="L47">
        <v>2.44</v>
      </c>
      <c r="M47" s="7">
        <v>1060</v>
      </c>
      <c r="N47">
        <v>2326</v>
      </c>
      <c r="O47">
        <v>108.98</v>
      </c>
      <c r="P47">
        <f t="shared" si="6"/>
        <v>106.54</v>
      </c>
      <c r="R47">
        <v>8</v>
      </c>
      <c r="S47">
        <v>1</v>
      </c>
      <c r="U47">
        <f t="shared" si="0"/>
        <v>0.125</v>
      </c>
    </row>
    <row r="48" spans="1:21" s="107" customFormat="1" x14ac:dyDescent="0.55000000000000004">
      <c r="C48" s="107" t="s">
        <v>1386</v>
      </c>
      <c r="E48" s="107" t="s">
        <v>1335</v>
      </c>
      <c r="F48" s="107" t="s">
        <v>1318</v>
      </c>
      <c r="G48" s="107">
        <v>78.653999999999996</v>
      </c>
      <c r="H48" s="107">
        <v>93.111000000000004</v>
      </c>
      <c r="I48" s="107">
        <f t="shared" si="7"/>
        <v>14.457000000000008</v>
      </c>
      <c r="J48" s="107">
        <f t="shared" si="8"/>
        <v>1.4066661000000007</v>
      </c>
      <c r="K48" s="180">
        <f t="shared" si="9"/>
        <v>28.133322000000014</v>
      </c>
      <c r="L48" s="107">
        <v>2.44</v>
      </c>
      <c r="M48" s="107">
        <v>1060</v>
      </c>
      <c r="N48" s="107">
        <v>2326</v>
      </c>
      <c r="O48" s="107">
        <v>108.98</v>
      </c>
      <c r="P48" s="107">
        <f t="shared" si="6"/>
        <v>106.54</v>
      </c>
      <c r="R48" s="107">
        <v>8</v>
      </c>
      <c r="S48" s="107">
        <v>1</v>
      </c>
      <c r="U48">
        <f t="shared" si="0"/>
        <v>0.125</v>
      </c>
    </row>
    <row r="49" spans="1:21" x14ac:dyDescent="0.55000000000000004">
      <c r="A49">
        <v>24</v>
      </c>
      <c r="B49">
        <v>31</v>
      </c>
      <c r="C49" s="7" t="s">
        <v>1382</v>
      </c>
      <c r="D49" s="7"/>
      <c r="E49" s="7" t="s">
        <v>1335</v>
      </c>
      <c r="F49" s="7" t="s">
        <v>1318</v>
      </c>
      <c r="G49" s="7">
        <v>83.962999999999994</v>
      </c>
      <c r="H49" s="7">
        <v>98.852000000000004</v>
      </c>
      <c r="I49" s="7">
        <f t="shared" si="7"/>
        <v>14.88900000000001</v>
      </c>
      <c r="J49">
        <f t="shared" si="8"/>
        <v>1.448699700000001</v>
      </c>
      <c r="K49" s="3">
        <f t="shared" si="9"/>
        <v>28.973994000000019</v>
      </c>
      <c r="L49">
        <v>119.8</v>
      </c>
      <c r="M49" s="7">
        <v>3137</v>
      </c>
      <c r="N49">
        <v>5787</v>
      </c>
      <c r="O49">
        <v>271.13</v>
      </c>
      <c r="P49">
        <f t="shared" si="6"/>
        <v>151.32999999999998</v>
      </c>
      <c r="Q49" t="s">
        <v>1387</v>
      </c>
      <c r="R49">
        <v>12</v>
      </c>
      <c r="S49">
        <v>3</v>
      </c>
      <c r="U49">
        <f t="shared" si="0"/>
        <v>0.25</v>
      </c>
    </row>
    <row r="50" spans="1:21" x14ac:dyDescent="0.55000000000000004">
      <c r="B50">
        <v>32</v>
      </c>
      <c r="C50" s="7" t="s">
        <v>1383</v>
      </c>
      <c r="D50" s="7"/>
      <c r="E50" s="7" t="s">
        <v>1335</v>
      </c>
      <c r="F50" s="7" t="s">
        <v>1318</v>
      </c>
      <c r="G50" s="7">
        <v>83.962999999999994</v>
      </c>
      <c r="H50" s="7">
        <v>99.628</v>
      </c>
      <c r="I50" s="7">
        <f t="shared" si="7"/>
        <v>15.665000000000006</v>
      </c>
      <c r="J50">
        <f t="shared" si="8"/>
        <v>1.5242045000000006</v>
      </c>
      <c r="K50" s="3">
        <f t="shared" si="9"/>
        <v>30.484090000000013</v>
      </c>
      <c r="L50">
        <v>119.8</v>
      </c>
      <c r="M50" s="7">
        <v>3137</v>
      </c>
      <c r="N50">
        <v>4884</v>
      </c>
      <c r="O50">
        <v>228.82</v>
      </c>
      <c r="P50">
        <f t="shared" si="6"/>
        <v>109.02</v>
      </c>
      <c r="R50" s="15"/>
      <c r="S50" s="15"/>
    </row>
    <row r="51" spans="1:21" x14ac:dyDescent="0.55000000000000004">
      <c r="B51">
        <v>33</v>
      </c>
      <c r="C51" s="7" t="s">
        <v>1384</v>
      </c>
      <c r="D51" s="7"/>
      <c r="E51" s="7" t="s">
        <v>1335</v>
      </c>
      <c r="F51" s="7" t="s">
        <v>1318</v>
      </c>
      <c r="G51" s="7">
        <v>83.962999999999994</v>
      </c>
      <c r="H51" s="7">
        <v>87.614000000000004</v>
      </c>
      <c r="I51" s="7">
        <f t="shared" si="7"/>
        <v>3.6510000000000105</v>
      </c>
      <c r="J51">
        <f t="shared" si="8"/>
        <v>0.35524230000000101</v>
      </c>
      <c r="K51" s="3">
        <f t="shared" si="9"/>
        <v>7.1048460000000198</v>
      </c>
      <c r="L51">
        <v>119.8</v>
      </c>
      <c r="M51" s="7">
        <v>3137</v>
      </c>
      <c r="N51">
        <v>6012</v>
      </c>
      <c r="O51">
        <v>281.67</v>
      </c>
      <c r="P51">
        <f t="shared" si="6"/>
        <v>161.87</v>
      </c>
      <c r="R51" s="15"/>
      <c r="S51" s="15"/>
    </row>
    <row r="52" spans="1:21" x14ac:dyDescent="0.55000000000000004">
      <c r="A52">
        <v>25</v>
      </c>
      <c r="B52">
        <v>34</v>
      </c>
      <c r="C52" t="s">
        <v>1389</v>
      </c>
      <c r="E52" t="s">
        <v>1335</v>
      </c>
      <c r="F52" t="s">
        <v>1318</v>
      </c>
      <c r="G52" s="7">
        <v>79.400000000000006</v>
      </c>
      <c r="H52" s="7">
        <v>88.587999999999994</v>
      </c>
      <c r="I52" s="7">
        <f t="shared" si="7"/>
        <v>9.1879999999999882</v>
      </c>
      <c r="J52">
        <f t="shared" si="8"/>
        <v>0.8939923999999988</v>
      </c>
      <c r="K52" s="3">
        <f t="shared" si="9"/>
        <v>17.879847999999974</v>
      </c>
      <c r="L52">
        <v>49.16</v>
      </c>
      <c r="M52" s="7">
        <v>1218</v>
      </c>
      <c r="N52">
        <v>4531</v>
      </c>
      <c r="O52">
        <v>229.65</v>
      </c>
      <c r="P52">
        <f t="shared" si="6"/>
        <v>180.49</v>
      </c>
      <c r="R52">
        <v>12</v>
      </c>
      <c r="S52">
        <v>1</v>
      </c>
      <c r="U52">
        <f t="shared" si="0"/>
        <v>8.3333333333333329E-2</v>
      </c>
    </row>
    <row r="53" spans="1:21" s="107" customFormat="1" x14ac:dyDescent="0.55000000000000004">
      <c r="C53" s="107" t="s">
        <v>1388</v>
      </c>
      <c r="E53" s="107" t="s">
        <v>1335</v>
      </c>
      <c r="F53" s="107" t="s">
        <v>1318</v>
      </c>
      <c r="G53" s="107">
        <v>84.863</v>
      </c>
      <c r="H53" s="107">
        <v>93.539000000000001</v>
      </c>
      <c r="I53" s="107">
        <f t="shared" si="7"/>
        <v>8.6760000000000019</v>
      </c>
      <c r="J53" s="107">
        <f t="shared" si="8"/>
        <v>0.84417480000000011</v>
      </c>
      <c r="K53" s="180">
        <f t="shared" si="9"/>
        <v>16.883496000000001</v>
      </c>
      <c r="L53" s="107">
        <v>49.16</v>
      </c>
      <c r="M53" s="107">
        <v>1218</v>
      </c>
      <c r="N53" s="107">
        <v>4531</v>
      </c>
      <c r="O53" s="107">
        <v>229.65</v>
      </c>
      <c r="P53" s="107">
        <f t="shared" si="6"/>
        <v>180.49</v>
      </c>
      <c r="R53" s="107">
        <v>12</v>
      </c>
      <c r="S53" s="107">
        <v>1</v>
      </c>
      <c r="U53">
        <f t="shared" si="0"/>
        <v>8.3333333333333329E-2</v>
      </c>
    </row>
    <row r="54" spans="1:21" s="7" customFormat="1" x14ac:dyDescent="0.55000000000000004">
      <c r="A54" s="7">
        <v>26</v>
      </c>
      <c r="C54" s="7" t="s">
        <v>1390</v>
      </c>
      <c r="E54" s="7" t="s">
        <v>1398</v>
      </c>
      <c r="F54" s="7" t="s">
        <v>1318</v>
      </c>
      <c r="G54" s="7" t="s">
        <v>325</v>
      </c>
      <c r="K54" s="19"/>
      <c r="L54" s="7">
        <v>102.86</v>
      </c>
      <c r="P54" s="7">
        <f t="shared" si="6"/>
        <v>-102.86</v>
      </c>
      <c r="Q54" s="7" t="s">
        <v>1399</v>
      </c>
      <c r="R54" s="7">
        <v>13</v>
      </c>
      <c r="S54" s="7">
        <v>1</v>
      </c>
      <c r="U54">
        <f t="shared" si="0"/>
        <v>7.6923076923076927E-2</v>
      </c>
    </row>
    <row r="55" spans="1:21" s="7" customFormat="1" x14ac:dyDescent="0.55000000000000004">
      <c r="A55" s="7">
        <v>27</v>
      </c>
      <c r="B55" s="7">
        <v>35</v>
      </c>
      <c r="C55" s="7" t="s">
        <v>1401</v>
      </c>
      <c r="E55" s="7" t="s">
        <v>1398</v>
      </c>
      <c r="F55" s="7" t="s">
        <v>1318</v>
      </c>
      <c r="G55" s="7">
        <v>82.138999999999996</v>
      </c>
      <c r="H55" s="7">
        <v>91.426000000000002</v>
      </c>
      <c r="I55" s="7">
        <f>H55-G55</f>
        <v>9.2870000000000061</v>
      </c>
      <c r="J55" s="7">
        <f>I55*0.0973</f>
        <v>0.90362510000000063</v>
      </c>
      <c r="K55" s="19">
        <f>J55*20</f>
        <v>18.072502000000014</v>
      </c>
      <c r="L55" s="7">
        <v>1.2</v>
      </c>
      <c r="M55" s="7">
        <v>35</v>
      </c>
      <c r="N55" s="7">
        <v>1408</v>
      </c>
      <c r="O55" s="7">
        <v>73.599999999999994</v>
      </c>
      <c r="P55" s="7">
        <f t="shared" si="6"/>
        <v>72.399999999999991</v>
      </c>
      <c r="R55" s="7">
        <v>9</v>
      </c>
      <c r="S55" s="7">
        <v>1</v>
      </c>
      <c r="U55">
        <f t="shared" si="0"/>
        <v>0.1111111111111111</v>
      </c>
    </row>
    <row r="56" spans="1:21" s="107" customFormat="1" x14ac:dyDescent="0.55000000000000004">
      <c r="C56" s="107" t="s">
        <v>1400</v>
      </c>
      <c r="E56" s="107" t="s">
        <v>1398</v>
      </c>
      <c r="F56" s="107" t="s">
        <v>1318</v>
      </c>
      <c r="G56" s="107">
        <v>87.468000000000004</v>
      </c>
      <c r="H56" s="107">
        <v>100.098</v>
      </c>
      <c r="I56" s="107">
        <f>H56-G56</f>
        <v>12.629999999999995</v>
      </c>
      <c r="J56" s="107">
        <f>I56*0.0973</f>
        <v>1.2288989999999995</v>
      </c>
      <c r="K56" s="180">
        <f>J56*20</f>
        <v>24.57797999999999</v>
      </c>
      <c r="L56" s="107">
        <v>1.2</v>
      </c>
      <c r="M56" s="107">
        <v>35</v>
      </c>
      <c r="N56" s="107">
        <v>1408</v>
      </c>
      <c r="O56" s="107">
        <v>73.599999999999994</v>
      </c>
      <c r="P56" s="107">
        <f t="shared" si="6"/>
        <v>72.399999999999991</v>
      </c>
      <c r="R56" s="217"/>
      <c r="S56" s="217"/>
      <c r="U56"/>
    </row>
    <row r="57" spans="1:21" s="7" customFormat="1" x14ac:dyDescent="0.55000000000000004">
      <c r="A57" s="7">
        <v>28</v>
      </c>
      <c r="C57" s="7" t="s">
        <v>1391</v>
      </c>
      <c r="E57" s="7" t="s">
        <v>1398</v>
      </c>
      <c r="F57" s="7" t="s">
        <v>1318</v>
      </c>
      <c r="G57" s="7" t="s">
        <v>1402</v>
      </c>
      <c r="K57" s="19"/>
      <c r="L57" s="7" t="s">
        <v>83</v>
      </c>
      <c r="R57" s="7">
        <v>14</v>
      </c>
      <c r="S57" s="7">
        <v>0</v>
      </c>
      <c r="U57">
        <f t="shared" si="0"/>
        <v>0</v>
      </c>
    </row>
    <row r="58" spans="1:21" s="7" customFormat="1" x14ac:dyDescent="0.55000000000000004">
      <c r="A58" s="7">
        <v>29</v>
      </c>
      <c r="B58" s="7">
        <v>36</v>
      </c>
      <c r="C58" s="7" t="s">
        <v>1392</v>
      </c>
      <c r="E58" s="7" t="s">
        <v>1398</v>
      </c>
      <c r="F58" s="7" t="s">
        <v>1318</v>
      </c>
      <c r="G58" s="7">
        <v>88.397999999999996</v>
      </c>
      <c r="H58" s="7">
        <v>88.819000000000003</v>
      </c>
      <c r="I58" s="7">
        <f>H58-G58</f>
        <v>0.42100000000000648</v>
      </c>
      <c r="J58" s="7">
        <f>I58*0.0973</f>
        <v>4.0963300000000633E-2</v>
      </c>
      <c r="K58" s="19">
        <f>J58*20</f>
        <v>0.81926600000001271</v>
      </c>
      <c r="L58" s="7" t="s">
        <v>83</v>
      </c>
      <c r="M58" s="7">
        <v>732</v>
      </c>
      <c r="N58" s="7">
        <v>3004</v>
      </c>
      <c r="O58" s="7">
        <v>154.38</v>
      </c>
      <c r="R58" s="7">
        <v>12</v>
      </c>
      <c r="S58" s="7">
        <v>1</v>
      </c>
      <c r="U58">
        <f t="shared" si="0"/>
        <v>8.3333333333333329E-2</v>
      </c>
    </row>
    <row r="59" spans="1:21" s="107" customFormat="1" x14ac:dyDescent="0.55000000000000004">
      <c r="C59" s="107" t="s">
        <v>1392</v>
      </c>
      <c r="E59" s="107" t="s">
        <v>1398</v>
      </c>
      <c r="F59" s="107" t="s">
        <v>1318</v>
      </c>
      <c r="G59" s="107">
        <v>81.760000000000005</v>
      </c>
      <c r="H59" s="107">
        <v>87.394999999999996</v>
      </c>
      <c r="I59" s="107">
        <f>H59-G59</f>
        <v>5.6349999999999909</v>
      </c>
      <c r="J59" s="107">
        <f>I59*0.0973</f>
        <v>0.54828549999999909</v>
      </c>
      <c r="K59" s="180">
        <f>J59*20</f>
        <v>10.965709999999982</v>
      </c>
      <c r="L59" s="107" t="s">
        <v>83</v>
      </c>
      <c r="M59" s="107">
        <v>1531</v>
      </c>
      <c r="N59" s="107">
        <v>3004</v>
      </c>
      <c r="O59" s="107">
        <v>154.38</v>
      </c>
      <c r="R59" s="217"/>
      <c r="S59" s="217"/>
      <c r="U59"/>
    </row>
    <row r="60" spans="1:21" s="7" customFormat="1" x14ac:dyDescent="0.55000000000000004">
      <c r="C60" s="7" t="s">
        <v>1404</v>
      </c>
      <c r="E60" s="7" t="s">
        <v>1398</v>
      </c>
      <c r="F60" s="7" t="s">
        <v>1318</v>
      </c>
      <c r="G60" s="7" t="s">
        <v>1402</v>
      </c>
      <c r="K60" s="19"/>
      <c r="L60" s="7">
        <v>62.85</v>
      </c>
      <c r="R60" s="7">
        <v>14</v>
      </c>
      <c r="S60" s="7">
        <v>0</v>
      </c>
      <c r="U60">
        <f t="shared" si="0"/>
        <v>0</v>
      </c>
    </row>
    <row r="61" spans="1:21" s="7" customFormat="1" x14ac:dyDescent="0.55000000000000004">
      <c r="C61" s="7" t="s">
        <v>1403</v>
      </c>
      <c r="E61" s="7" t="s">
        <v>1398</v>
      </c>
      <c r="F61" s="7" t="s">
        <v>1318</v>
      </c>
      <c r="G61" s="7" t="s">
        <v>1402</v>
      </c>
      <c r="K61" s="19"/>
      <c r="L61" s="7">
        <v>234.22</v>
      </c>
      <c r="R61" s="7">
        <v>4</v>
      </c>
      <c r="S61" s="7">
        <v>0</v>
      </c>
      <c r="U61">
        <f t="shared" si="0"/>
        <v>0</v>
      </c>
    </row>
    <row r="62" spans="1:21" s="7" customFormat="1" x14ac:dyDescent="0.55000000000000004">
      <c r="C62" s="7" t="s">
        <v>1393</v>
      </c>
      <c r="E62" s="7" t="s">
        <v>1398</v>
      </c>
      <c r="F62" s="7" t="s">
        <v>1318</v>
      </c>
      <c r="G62" s="7" t="s">
        <v>1402</v>
      </c>
      <c r="K62" s="19"/>
      <c r="L62" s="7" t="s">
        <v>83</v>
      </c>
      <c r="R62" s="7">
        <v>11</v>
      </c>
      <c r="S62" s="7">
        <v>0</v>
      </c>
      <c r="U62">
        <f t="shared" si="0"/>
        <v>0</v>
      </c>
    </row>
    <row r="63" spans="1:21" s="7" customFormat="1" x14ac:dyDescent="0.55000000000000004">
      <c r="B63" s="7">
        <v>37</v>
      </c>
      <c r="C63" s="7" t="s">
        <v>1394</v>
      </c>
      <c r="E63" s="7" t="s">
        <v>1398</v>
      </c>
      <c r="F63" s="7" t="s">
        <v>1318</v>
      </c>
      <c r="G63" s="7">
        <v>79.653999999999996</v>
      </c>
      <c r="H63" s="7">
        <v>91.168000000000006</v>
      </c>
      <c r="I63" s="7">
        <f>H63-G63</f>
        <v>11.51400000000001</v>
      </c>
      <c r="J63" s="7">
        <f>I63*0.0973</f>
        <v>1.120312200000001</v>
      </c>
      <c r="K63" s="19">
        <f>J63*20</f>
        <v>22.406244000000019</v>
      </c>
      <c r="L63" s="7">
        <v>19.59</v>
      </c>
      <c r="P63" s="7">
        <f>O63-L63</f>
        <v>-19.59</v>
      </c>
      <c r="R63" s="7">
        <v>4</v>
      </c>
      <c r="S63" s="7">
        <v>0</v>
      </c>
      <c r="U63">
        <f t="shared" si="0"/>
        <v>0</v>
      </c>
    </row>
    <row r="64" spans="1:21" s="107" customFormat="1" x14ac:dyDescent="0.55000000000000004">
      <c r="C64" s="107" t="s">
        <v>1394</v>
      </c>
      <c r="E64" s="107" t="s">
        <v>1398</v>
      </c>
      <c r="F64" s="107" t="s">
        <v>1318</v>
      </c>
      <c r="G64" s="107">
        <v>84.834999999999994</v>
      </c>
      <c r="H64" s="107">
        <v>95.442999999999998</v>
      </c>
      <c r="I64" s="107">
        <f>H64-G64</f>
        <v>10.608000000000004</v>
      </c>
      <c r="J64" s="107">
        <f>I64*0.0973</f>
        <v>1.0321584000000004</v>
      </c>
      <c r="K64" s="180">
        <f>J64*20</f>
        <v>20.643168000000006</v>
      </c>
      <c r="L64" s="107">
        <v>84.48</v>
      </c>
      <c r="M64" s="107">
        <v>1146</v>
      </c>
      <c r="N64" s="107">
        <v>5586</v>
      </c>
      <c r="O64" s="107">
        <v>278.39999999999998</v>
      </c>
      <c r="P64" s="107">
        <f>O64-L64</f>
        <v>193.91999999999996</v>
      </c>
      <c r="U64"/>
    </row>
    <row r="65" spans="2:41" s="7" customFormat="1" x14ac:dyDescent="0.55000000000000004">
      <c r="C65" s="7" t="s">
        <v>1395</v>
      </c>
      <c r="E65" s="7" t="s">
        <v>1398</v>
      </c>
      <c r="F65" s="7" t="s">
        <v>1318</v>
      </c>
      <c r="G65" s="7" t="s">
        <v>1402</v>
      </c>
      <c r="K65" s="19"/>
      <c r="L65" s="7">
        <v>222.15</v>
      </c>
      <c r="R65" s="7">
        <v>11</v>
      </c>
      <c r="S65" s="7">
        <v>0</v>
      </c>
      <c r="U65">
        <f t="shared" si="0"/>
        <v>0</v>
      </c>
    </row>
    <row r="66" spans="2:41" s="7" customFormat="1" x14ac:dyDescent="0.55000000000000004">
      <c r="C66" s="7" t="s">
        <v>1396</v>
      </c>
      <c r="E66" s="7" t="s">
        <v>1398</v>
      </c>
      <c r="F66" s="7" t="s">
        <v>1318</v>
      </c>
      <c r="G66" s="7" t="s">
        <v>1402</v>
      </c>
      <c r="K66" s="19"/>
      <c r="L66" s="7">
        <v>55.95</v>
      </c>
      <c r="R66" s="7">
        <v>8</v>
      </c>
      <c r="S66" s="7">
        <v>0</v>
      </c>
      <c r="U66">
        <f>S66/R66</f>
        <v>0</v>
      </c>
    </row>
    <row r="67" spans="2:41" s="7" customFormat="1" x14ac:dyDescent="0.55000000000000004">
      <c r="B67" s="7">
        <v>38</v>
      </c>
      <c r="C67" s="7" t="s">
        <v>1397</v>
      </c>
      <c r="E67" s="7" t="s">
        <v>1398</v>
      </c>
      <c r="F67" s="7" t="s">
        <v>1318</v>
      </c>
      <c r="G67" s="7">
        <v>79.159000000000006</v>
      </c>
      <c r="H67" s="7">
        <v>88.084999999999994</v>
      </c>
      <c r="I67" s="7">
        <f>H67-G67</f>
        <v>8.9259999999999877</v>
      </c>
      <c r="J67" s="7">
        <f>I67*0.0973</f>
        <v>0.86849979999999882</v>
      </c>
      <c r="K67" s="19">
        <f>J67*20</f>
        <v>17.369995999999976</v>
      </c>
      <c r="L67" s="7">
        <v>0.95</v>
      </c>
      <c r="M67" s="7">
        <v>1</v>
      </c>
      <c r="N67" s="7">
        <v>1721</v>
      </c>
      <c r="O67" s="7">
        <v>86.4</v>
      </c>
      <c r="P67" s="7">
        <f>O67-L67</f>
        <v>85.45</v>
      </c>
      <c r="R67" s="7">
        <v>15</v>
      </c>
      <c r="S67" s="7">
        <v>1</v>
      </c>
      <c r="U67">
        <f t="shared" si="0"/>
        <v>6.6666666666666666E-2</v>
      </c>
    </row>
    <row r="68" spans="2:41" x14ac:dyDescent="0.55000000000000004">
      <c r="C68" s="107"/>
      <c r="E68" s="107"/>
      <c r="J68" t="s">
        <v>225</v>
      </c>
      <c r="K68" s="3">
        <f>(SUM(K2:K3,K5:K6,K8:K9,K11,K13,K15,K17:K20,K22,K24,K26,K28,K32:K36,K30,K38:K41,K43,K45,K47,K49:K52,K55,K58,K63,K67))/(COUNT(K2:K3,K5:K6,K8:K9,K11,K13,K15,K17:K20,K22,K24,K26,K28,K32:K36,K30,K38:K41,K43,K45,K47,K49:K52,K55,K58,K63,K67))</f>
        <v>23.387028000000001</v>
      </c>
      <c r="R68">
        <f>SUM(R2:R67)</f>
        <v>376</v>
      </c>
      <c r="S68">
        <f>SUM(S2:S67)</f>
        <v>40</v>
      </c>
    </row>
    <row r="69" spans="2:41" x14ac:dyDescent="0.55000000000000004">
      <c r="C69" s="107"/>
      <c r="E69" s="107"/>
      <c r="J69" t="s">
        <v>226</v>
      </c>
      <c r="K69" s="3">
        <f xml:space="preserve"> STDEV(K2:K3,K5:K6,K8:K9,K11,K13,K15,K17:K20,K22,K24,K26,K28,K32:K36,K30,K38:K41,K43,K45,K47,K49:K52,K55,K58,K63,K67)/SQRT(COUNT(K2:K3,K5:K6,K8:K9,K11,K13,K15,K17:K20,K22,K24,K26,K28,K32:K36,K30,K38:K41,K43,K45,K47,K49:K52,K55,K58,K63,K67))</f>
        <v>2.2008730694597336</v>
      </c>
      <c r="R69">
        <f>(S68/R68)*100</f>
        <v>10.638297872340425</v>
      </c>
      <c r="U69">
        <f>(SUM(U2:U3,U5:U10,U16:U17,U20,U22:U24,U30,U34,U37:U38,U42:U44,U46:U49,U52:U55,U57:U58,U60:U63,U65:U67)/COUNT(U2:U3,U5:U10,U16:U17,U20,U22:U24,U30,U34,U37:U38,U42:U44,U46:U49,U52:U55,U57:U58,U60:U63,U65:U67))*100</f>
        <v>11.613722534775164</v>
      </c>
      <c r="V69">
        <f>(STDEV(U2:U3,U5:U10,U16:U17,U20,U22:U24,U30,U34,U37:U38,U42:U44,U46:U49,U52:U55,U57:U58,U60:U63,U65:U67)/SQRT(COUNT(U2:U3,U5:U10,U16:U17,U20,U22:U24,U30,U34,U37:U38,U42:U44,U46:U49,U52:U55,U57:U58,U60:U63,U65:U67)))*100</f>
        <v>2.2429698316556177</v>
      </c>
    </row>
    <row r="70" spans="2:41" x14ac:dyDescent="0.55000000000000004">
      <c r="E70" s="107"/>
    </row>
    <row r="71" spans="2:41" x14ac:dyDescent="0.55000000000000004">
      <c r="C71">
        <v>3.4619340000000203</v>
      </c>
      <c r="D71">
        <v>10.882031999999997</v>
      </c>
      <c r="E71">
        <v>43.734404000000005</v>
      </c>
      <c r="F71">
        <v>25.782554000000019</v>
      </c>
      <c r="G71">
        <v>13.937251999999985</v>
      </c>
      <c r="H71">
        <v>3.4463660000000012</v>
      </c>
      <c r="I71">
        <v>42.401394000000003</v>
      </c>
      <c r="J71">
        <v>28.637335999999991</v>
      </c>
      <c r="K71">
        <v>23.832661999999999</v>
      </c>
      <c r="L71">
        <v>47.805436000000007</v>
      </c>
      <c r="M71">
        <v>25.613251999999985</v>
      </c>
      <c r="N71">
        <v>2.8937019999999896</v>
      </c>
      <c r="O71">
        <v>24.904907999999978</v>
      </c>
      <c r="P71">
        <v>38.739021999999991</v>
      </c>
      <c r="Q71">
        <v>8.9010040000000235</v>
      </c>
      <c r="R71">
        <v>43.2012</v>
      </c>
      <c r="S71">
        <v>31.776234000000013</v>
      </c>
      <c r="T71">
        <v>27.27513600000001</v>
      </c>
      <c r="U71">
        <v>34.500633999999998</v>
      </c>
      <c r="V71">
        <v>21.33399799999999</v>
      </c>
      <c r="W71">
        <v>10.274880000000001</v>
      </c>
      <c r="X71">
        <v>6.6475360000000219</v>
      </c>
      <c r="Y71">
        <v>16.144016000000011</v>
      </c>
      <c r="Z71">
        <v>21.042098000000003</v>
      </c>
      <c r="AA71">
        <v>12.726840000000013</v>
      </c>
      <c r="AB71">
        <v>46.587239999999994</v>
      </c>
      <c r="AC71">
        <v>34.132840000000016</v>
      </c>
      <c r="AD71">
        <v>15.538809999999998</v>
      </c>
      <c r="AE71">
        <v>45.28147400000001</v>
      </c>
      <c r="AF71">
        <v>34.160084000000005</v>
      </c>
      <c r="AG71">
        <v>28.973994000000019</v>
      </c>
      <c r="AH71">
        <v>30.484090000000013</v>
      </c>
      <c r="AI71">
        <v>7.1048460000000198</v>
      </c>
      <c r="AJ71">
        <v>17.879847999999974</v>
      </c>
      <c r="AK71">
        <v>18.072502000000014</v>
      </c>
      <c r="AL71">
        <v>0.81926600000001271</v>
      </c>
      <c r="AM71">
        <v>22.406244000000019</v>
      </c>
      <c r="AN71">
        <v>17.369995999999976</v>
      </c>
    </row>
    <row r="73" spans="2:41" x14ac:dyDescent="0.55000000000000004">
      <c r="AO73">
        <f>(SUM(C71:AN71))/(COUNT(C71:AN71))</f>
        <v>23.387028000000001</v>
      </c>
    </row>
  </sheetData>
  <pageMargins left="0.7" right="0.7" top="0.75" bottom="0.75" header="0.3" footer="0.3"/>
  <pageSetup paperSize="9"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E137"/>
  <sheetViews>
    <sheetView topLeftCell="A46" zoomScale="85" zoomScaleNormal="85" workbookViewId="0">
      <selection activeCell="C70" sqref="C70"/>
    </sheetView>
  </sheetViews>
  <sheetFormatPr defaultRowHeight="14.4" x14ac:dyDescent="0.55000000000000004"/>
  <cols>
    <col min="1" max="1" width="3.20703125" customWidth="1"/>
    <col min="2" max="2" width="2.89453125" customWidth="1"/>
    <col min="3" max="3" width="12.41796875" customWidth="1"/>
    <col min="5" max="5" width="10.47265625" customWidth="1"/>
    <col min="11" max="11" width="8.83984375" style="3"/>
    <col min="18" max="18" width="9.9453125" customWidth="1"/>
  </cols>
  <sheetData>
    <row r="1" spans="1:29" ht="14.7" thickBot="1" x14ac:dyDescent="0.6">
      <c r="A1" t="s">
        <v>1006</v>
      </c>
    </row>
    <row r="2" spans="1:29" ht="86.4" x14ac:dyDescent="0.55000000000000004">
      <c r="A2" s="114" t="s">
        <v>923</v>
      </c>
      <c r="B2" s="114" t="s">
        <v>922</v>
      </c>
      <c r="C2" s="115" t="s">
        <v>0</v>
      </c>
      <c r="D2" s="115" t="s">
        <v>1</v>
      </c>
      <c r="E2" s="115" t="s">
        <v>90</v>
      </c>
      <c r="F2" s="115" t="s">
        <v>88</v>
      </c>
      <c r="G2" s="115" t="s">
        <v>2</v>
      </c>
      <c r="H2" s="115" t="s">
        <v>3</v>
      </c>
      <c r="I2" s="115" t="s">
        <v>11</v>
      </c>
      <c r="J2" s="115" t="s">
        <v>12</v>
      </c>
      <c r="K2" s="115" t="s">
        <v>4</v>
      </c>
      <c r="L2" s="115" t="s">
        <v>19</v>
      </c>
      <c r="M2" s="115" t="s">
        <v>10</v>
      </c>
      <c r="N2" s="115" t="s">
        <v>8</v>
      </c>
      <c r="O2" s="115" t="s">
        <v>9</v>
      </c>
      <c r="P2" s="115" t="s">
        <v>123</v>
      </c>
      <c r="Q2" s="117" t="s">
        <v>5</v>
      </c>
      <c r="R2" s="119" t="s">
        <v>396</v>
      </c>
      <c r="S2" s="120" t="s">
        <v>397</v>
      </c>
      <c r="T2" s="170" t="s">
        <v>871</v>
      </c>
      <c r="U2" s="118" t="s">
        <v>1016</v>
      </c>
      <c r="V2" s="168" t="s">
        <v>1009</v>
      </c>
      <c r="W2" s="168" t="s">
        <v>1257</v>
      </c>
      <c r="X2" s="168" t="s">
        <v>1093</v>
      </c>
    </row>
    <row r="3" spans="1:29" x14ac:dyDescent="0.55000000000000004">
      <c r="A3" s="164">
        <v>1</v>
      </c>
      <c r="B3" s="153">
        <v>1</v>
      </c>
      <c r="C3" s="114" t="s">
        <v>1013</v>
      </c>
      <c r="D3" s="114"/>
      <c r="E3" s="114" t="s">
        <v>1008</v>
      </c>
      <c r="F3" s="114" t="s">
        <v>384</v>
      </c>
      <c r="G3" s="114">
        <v>89.397000000000006</v>
      </c>
      <c r="H3" s="114">
        <v>95.22</v>
      </c>
      <c r="I3" s="114">
        <f>H3-G3</f>
        <v>5.8229999999999933</v>
      </c>
      <c r="J3" s="114">
        <f>I3*0.0973</f>
        <v>0.5665778999999993</v>
      </c>
      <c r="K3" s="139">
        <f>J3*20</f>
        <v>11.331557999999987</v>
      </c>
      <c r="L3" s="114">
        <v>26.74</v>
      </c>
      <c r="M3" s="114">
        <v>598</v>
      </c>
      <c r="N3" s="114">
        <v>1737</v>
      </c>
      <c r="O3" s="114">
        <v>86.5</v>
      </c>
      <c r="P3" s="114">
        <f>O3-L3</f>
        <v>59.760000000000005</v>
      </c>
      <c r="Q3" s="114"/>
      <c r="R3" s="114">
        <v>12</v>
      </c>
      <c r="S3" s="114">
        <v>2</v>
      </c>
      <c r="T3" s="114">
        <f>S3/R3</f>
        <v>0.16666666666666666</v>
      </c>
      <c r="U3" s="114"/>
      <c r="V3" s="114" t="s">
        <v>1010</v>
      </c>
      <c r="W3" s="133"/>
      <c r="X3" s="114"/>
      <c r="AA3" s="51" t="s">
        <v>1195</v>
      </c>
      <c r="AC3" s="53" t="s">
        <v>1196</v>
      </c>
    </row>
    <row r="4" spans="1:29" s="111" customFormat="1" x14ac:dyDescent="0.55000000000000004">
      <c r="A4" s="165"/>
      <c r="B4" s="166"/>
      <c r="C4" s="124" t="s">
        <v>1012</v>
      </c>
      <c r="D4" s="124"/>
      <c r="E4" s="124" t="s">
        <v>1008</v>
      </c>
      <c r="F4" s="124" t="s">
        <v>384</v>
      </c>
      <c r="G4" s="124">
        <v>85.876999999999995</v>
      </c>
      <c r="H4" s="124">
        <v>86.35</v>
      </c>
      <c r="I4" s="124">
        <f t="shared" ref="I4:I62" si="0">H4-G4</f>
        <v>0.47299999999999898</v>
      </c>
      <c r="J4" s="124">
        <f t="shared" ref="J4:J65" si="1">I4*0.0973</f>
        <v>4.6022899999999901E-2</v>
      </c>
      <c r="K4" s="144">
        <f t="shared" ref="K4:K65" si="2">J4*20</f>
        <v>0.920457999999998</v>
      </c>
      <c r="L4" s="124">
        <v>26.74</v>
      </c>
      <c r="M4" s="124">
        <v>253</v>
      </c>
      <c r="N4" s="124">
        <v>1737</v>
      </c>
      <c r="O4" s="124">
        <v>86.5</v>
      </c>
      <c r="P4" s="124">
        <f>O4-L4</f>
        <v>59.760000000000005</v>
      </c>
      <c r="Q4" s="124"/>
      <c r="R4" s="125"/>
      <c r="S4" s="125"/>
      <c r="T4" s="114"/>
      <c r="U4" s="124"/>
      <c r="V4" s="124" t="s">
        <v>1010</v>
      </c>
      <c r="W4" s="138"/>
      <c r="X4" s="124"/>
      <c r="AA4" s="51">
        <v>3.8102679999999967</v>
      </c>
      <c r="AC4" s="53">
        <v>20.180019999999978</v>
      </c>
    </row>
    <row r="5" spans="1:29" s="53" customFormat="1" x14ac:dyDescent="0.55000000000000004">
      <c r="A5" s="129">
        <v>2</v>
      </c>
      <c r="B5" s="129"/>
      <c r="C5" s="129" t="s">
        <v>1011</v>
      </c>
      <c r="D5" s="129"/>
      <c r="E5" s="129" t="s">
        <v>1008</v>
      </c>
      <c r="F5" s="129" t="s">
        <v>384</v>
      </c>
      <c r="G5" s="129">
        <v>89.397000000000006</v>
      </c>
      <c r="H5" s="129">
        <v>99.766999999999996</v>
      </c>
      <c r="I5" s="129">
        <f t="shared" si="0"/>
        <v>10.36999999999999</v>
      </c>
      <c r="J5" s="129">
        <f t="shared" si="1"/>
        <v>1.0090009999999989</v>
      </c>
      <c r="K5" s="186">
        <f t="shared" si="2"/>
        <v>20.180019999999978</v>
      </c>
      <c r="L5" s="129">
        <v>26.74</v>
      </c>
      <c r="M5" s="129">
        <v>253</v>
      </c>
      <c r="N5" s="129">
        <v>2460</v>
      </c>
      <c r="O5" s="129">
        <v>122.51</v>
      </c>
      <c r="P5" s="129">
        <f>O5-L5</f>
        <v>95.77000000000001</v>
      </c>
      <c r="Q5" s="129" t="s">
        <v>1014</v>
      </c>
      <c r="R5" s="187"/>
      <c r="S5" s="187"/>
      <c r="T5" s="129"/>
      <c r="U5" s="129"/>
      <c r="V5" s="129" t="s">
        <v>1015</v>
      </c>
      <c r="W5" s="129" t="s">
        <v>558</v>
      </c>
      <c r="X5" s="129"/>
      <c r="AA5" s="51">
        <v>45.653159999999986</v>
      </c>
      <c r="AC5" s="53">
        <v>21.476056000000003</v>
      </c>
    </row>
    <row r="6" spans="1:29" x14ac:dyDescent="0.55000000000000004">
      <c r="A6" s="114"/>
      <c r="B6" s="114">
        <v>2</v>
      </c>
      <c r="C6" s="114" t="s">
        <v>1007</v>
      </c>
      <c r="D6" s="114"/>
      <c r="E6" s="114" t="s">
        <v>1008</v>
      </c>
      <c r="F6" s="114" t="s">
        <v>384</v>
      </c>
      <c r="G6" s="114" t="s">
        <v>1018</v>
      </c>
      <c r="H6" s="114"/>
      <c r="I6" s="114"/>
      <c r="J6" s="114"/>
      <c r="K6" s="139"/>
      <c r="L6" s="114">
        <v>96.35</v>
      </c>
      <c r="M6" s="114"/>
      <c r="N6" s="114"/>
      <c r="O6" s="114"/>
      <c r="P6" s="114"/>
      <c r="Q6" s="114"/>
      <c r="R6" s="114">
        <v>8</v>
      </c>
      <c r="S6" s="114">
        <v>1</v>
      </c>
      <c r="T6" s="114">
        <f t="shared" ref="T6:T54" si="3">S6/R6</f>
        <v>0.125</v>
      </c>
      <c r="U6" s="114" t="s">
        <v>1017</v>
      </c>
      <c r="V6" s="133"/>
      <c r="W6" s="133"/>
      <c r="X6" s="114"/>
      <c r="AA6" s="51">
        <v>32.558525999999986</v>
      </c>
      <c r="AC6" s="53">
        <v>24.883502000000011</v>
      </c>
    </row>
    <row r="7" spans="1:29" x14ac:dyDescent="0.55000000000000004">
      <c r="A7" s="114">
        <v>3</v>
      </c>
      <c r="B7" s="114">
        <v>3</v>
      </c>
      <c r="C7" s="121" t="s">
        <v>13</v>
      </c>
      <c r="D7" s="121" t="s">
        <v>6</v>
      </c>
      <c r="E7" s="121" t="s">
        <v>60</v>
      </c>
      <c r="F7" s="121" t="s">
        <v>89</v>
      </c>
      <c r="G7" s="114">
        <v>85.724999999999994</v>
      </c>
      <c r="H7" s="114">
        <v>115.30500000000001</v>
      </c>
      <c r="I7" s="114">
        <f t="shared" si="0"/>
        <v>29.580000000000013</v>
      </c>
      <c r="J7" s="114">
        <f t="shared" si="1"/>
        <v>2.8781340000000011</v>
      </c>
      <c r="K7" s="139">
        <f t="shared" si="2"/>
        <v>57.562680000000022</v>
      </c>
      <c r="L7" s="114" t="s">
        <v>83</v>
      </c>
      <c r="M7" s="114">
        <v>263</v>
      </c>
      <c r="N7" s="114">
        <v>639</v>
      </c>
      <c r="O7" s="114">
        <v>30.96</v>
      </c>
      <c r="P7" s="114"/>
      <c r="Q7" s="114"/>
      <c r="R7" s="114">
        <v>2</v>
      </c>
      <c r="S7" s="114">
        <v>1</v>
      </c>
      <c r="T7" s="114">
        <f t="shared" si="3"/>
        <v>0.5</v>
      </c>
      <c r="U7" s="114"/>
      <c r="V7" s="114" t="s">
        <v>1091</v>
      </c>
      <c r="W7" s="133"/>
      <c r="X7" s="114" t="s">
        <v>558</v>
      </c>
      <c r="AA7" s="51">
        <v>49.944089999999981</v>
      </c>
      <c r="AC7" s="53">
        <v>19.444432000000006</v>
      </c>
    </row>
    <row r="8" spans="1:29" x14ac:dyDescent="0.55000000000000004">
      <c r="A8" s="114"/>
      <c r="B8" s="114">
        <v>4</v>
      </c>
      <c r="C8" s="121" t="s">
        <v>14</v>
      </c>
      <c r="D8" s="121" t="s">
        <v>17</v>
      </c>
      <c r="E8" s="121" t="s">
        <v>60</v>
      </c>
      <c r="F8" s="121" t="s">
        <v>89</v>
      </c>
      <c r="G8" s="114" t="s">
        <v>1018</v>
      </c>
      <c r="L8" s="114" t="s">
        <v>1090</v>
      </c>
      <c r="M8" s="114"/>
      <c r="N8" s="114"/>
      <c r="O8" s="114"/>
      <c r="P8" s="114"/>
      <c r="Q8" s="114"/>
      <c r="R8" s="114">
        <v>7</v>
      </c>
      <c r="S8" s="114">
        <v>0</v>
      </c>
      <c r="T8" s="114">
        <f t="shared" si="3"/>
        <v>0</v>
      </c>
      <c r="U8" s="114"/>
      <c r="V8" s="133"/>
      <c r="W8" s="133"/>
      <c r="X8" s="114"/>
      <c r="AA8" s="51">
        <v>10.594024000000005</v>
      </c>
      <c r="AC8" s="53">
        <v>9.4011259999999783</v>
      </c>
    </row>
    <row r="9" spans="1:29" x14ac:dyDescent="0.55000000000000004">
      <c r="A9" s="114">
        <v>4</v>
      </c>
      <c r="B9" s="114">
        <v>5</v>
      </c>
      <c r="C9" s="121" t="s">
        <v>15</v>
      </c>
      <c r="D9" s="121" t="s">
        <v>20</v>
      </c>
      <c r="E9" s="121" t="s">
        <v>60</v>
      </c>
      <c r="F9" s="121" t="s">
        <v>89</v>
      </c>
      <c r="G9" s="114">
        <v>85.63</v>
      </c>
      <c r="H9" s="114">
        <v>86.682000000000002</v>
      </c>
      <c r="I9" s="114">
        <f>H9-G9</f>
        <v>1.0520000000000067</v>
      </c>
      <c r="J9" s="114">
        <f>I9*0.0973</f>
        <v>0.10235960000000065</v>
      </c>
      <c r="K9" s="139">
        <f>J9*20</f>
        <v>2.0471920000000128</v>
      </c>
      <c r="L9" s="114">
        <v>6.07</v>
      </c>
      <c r="M9" s="114">
        <v>340</v>
      </c>
      <c r="N9" s="114">
        <v>831</v>
      </c>
      <c r="O9" s="114">
        <v>41.04</v>
      </c>
      <c r="P9" s="114">
        <f>O9-L9</f>
        <v>34.97</v>
      </c>
      <c r="Q9" s="114" t="s">
        <v>1092</v>
      </c>
      <c r="R9" s="114">
        <v>5</v>
      </c>
      <c r="S9" s="114">
        <v>1</v>
      </c>
      <c r="T9" s="114">
        <f t="shared" si="3"/>
        <v>0.2</v>
      </c>
      <c r="U9" s="114"/>
      <c r="V9" s="114" t="s">
        <v>1010</v>
      </c>
      <c r="W9" s="133"/>
      <c r="X9" s="114" t="s">
        <v>558</v>
      </c>
      <c r="AA9" s="51">
        <v>16.453429999999997</v>
      </c>
      <c r="AC9" s="53">
        <v>17.101447999999991</v>
      </c>
    </row>
    <row r="10" spans="1:29" x14ac:dyDescent="0.55000000000000004">
      <c r="A10" s="114">
        <v>5</v>
      </c>
      <c r="B10" s="114">
        <v>6</v>
      </c>
      <c r="C10" s="121" t="s">
        <v>16</v>
      </c>
      <c r="D10" s="121" t="s">
        <v>29</v>
      </c>
      <c r="E10" s="121" t="s">
        <v>60</v>
      </c>
      <c r="F10" s="121" t="s">
        <v>89</v>
      </c>
      <c r="G10" s="114">
        <v>82.238</v>
      </c>
      <c r="H10" s="114">
        <v>106.574</v>
      </c>
      <c r="I10" s="114">
        <f t="shared" si="0"/>
        <v>24.335999999999999</v>
      </c>
      <c r="J10" s="114">
        <f t="shared" si="1"/>
        <v>2.3678927999999999</v>
      </c>
      <c r="K10" s="139">
        <f t="shared" si="2"/>
        <v>47.357855999999998</v>
      </c>
      <c r="L10" s="114" t="s">
        <v>83</v>
      </c>
      <c r="M10" s="114">
        <v>142</v>
      </c>
      <c r="N10" s="114">
        <v>674</v>
      </c>
      <c r="O10" s="114">
        <v>33.979999999999997</v>
      </c>
      <c r="P10" s="114"/>
      <c r="Q10" s="114"/>
      <c r="R10" s="114">
        <v>1</v>
      </c>
      <c r="S10" s="114">
        <v>1</v>
      </c>
      <c r="T10" s="114">
        <f t="shared" si="3"/>
        <v>1</v>
      </c>
      <c r="U10" s="114"/>
      <c r="V10" s="114" t="s">
        <v>1010</v>
      </c>
      <c r="W10" s="133"/>
      <c r="X10" s="114" t="s">
        <v>1094</v>
      </c>
      <c r="AA10">
        <f>((SUM(AA4:AA9))/(COUNT(AA4:AA9)))</f>
        <v>26.502249666666657</v>
      </c>
      <c r="AC10" s="53">
        <v>27.193404000000005</v>
      </c>
    </row>
    <row r="11" spans="1:29" x14ac:dyDescent="0.55000000000000004">
      <c r="A11" s="114"/>
      <c r="B11" s="114"/>
      <c r="C11" s="121" t="s">
        <v>21</v>
      </c>
      <c r="D11" s="121" t="s">
        <v>30</v>
      </c>
      <c r="E11" s="121" t="s">
        <v>60</v>
      </c>
      <c r="F11" s="121" t="s">
        <v>89</v>
      </c>
      <c r="G11" s="114" t="s">
        <v>726</v>
      </c>
      <c r="H11" s="114"/>
      <c r="I11" s="114"/>
      <c r="J11" s="114"/>
      <c r="K11" s="139"/>
      <c r="L11" s="114" t="s">
        <v>1095</v>
      </c>
      <c r="M11" s="114"/>
      <c r="N11" s="114"/>
      <c r="O11" s="114"/>
      <c r="P11" s="114"/>
      <c r="Q11" s="114" t="s">
        <v>1096</v>
      </c>
      <c r="R11" s="133"/>
      <c r="S11" s="133"/>
      <c r="T11" s="114"/>
      <c r="U11" s="114"/>
      <c r="V11" s="133"/>
      <c r="W11" s="133"/>
      <c r="X11" s="114"/>
      <c r="AC11" s="53">
        <v>32.827074000000003</v>
      </c>
    </row>
    <row r="12" spans="1:29" s="53" customFormat="1" x14ac:dyDescent="0.55000000000000004">
      <c r="A12" s="129">
        <v>6</v>
      </c>
      <c r="B12" s="129">
        <v>7</v>
      </c>
      <c r="C12" s="129" t="s">
        <v>24</v>
      </c>
      <c r="D12" s="129" t="s">
        <v>31</v>
      </c>
      <c r="E12" s="129" t="s">
        <v>60</v>
      </c>
      <c r="F12" s="129" t="s">
        <v>89</v>
      </c>
      <c r="G12" s="129">
        <v>84.510999999999996</v>
      </c>
      <c r="H12" s="129">
        <v>95.546999999999997</v>
      </c>
      <c r="I12" s="129">
        <f t="shared" si="0"/>
        <v>11.036000000000001</v>
      </c>
      <c r="J12" s="129">
        <f t="shared" si="1"/>
        <v>1.0738028000000002</v>
      </c>
      <c r="K12" s="186">
        <f t="shared" si="2"/>
        <v>21.476056000000003</v>
      </c>
      <c r="L12" s="129" t="s">
        <v>83</v>
      </c>
      <c r="M12" s="129">
        <v>134</v>
      </c>
      <c r="N12" s="129">
        <v>361</v>
      </c>
      <c r="O12" s="129">
        <v>17.68</v>
      </c>
      <c r="P12" s="129"/>
      <c r="Q12" s="129"/>
      <c r="R12" s="129"/>
      <c r="S12" s="129"/>
      <c r="T12" s="129"/>
      <c r="U12" s="129"/>
      <c r="V12" s="129" t="s">
        <v>454</v>
      </c>
      <c r="W12" s="129" t="s">
        <v>558</v>
      </c>
      <c r="X12" s="129" t="s">
        <v>1091</v>
      </c>
      <c r="AC12" s="53">
        <v>20.084665999999999</v>
      </c>
    </row>
    <row r="13" spans="1:29" x14ac:dyDescent="0.55000000000000004">
      <c r="A13" s="114"/>
      <c r="B13" s="114">
        <v>8</v>
      </c>
      <c r="C13" s="121" t="s">
        <v>25</v>
      </c>
      <c r="D13" s="121" t="s">
        <v>32</v>
      </c>
      <c r="E13" s="121" t="s">
        <v>60</v>
      </c>
      <c r="F13" s="121" t="s">
        <v>89</v>
      </c>
      <c r="G13" s="114" t="s">
        <v>1018</v>
      </c>
      <c r="H13" s="114"/>
      <c r="I13" s="114"/>
      <c r="J13" s="114"/>
      <c r="K13" s="139"/>
      <c r="L13" s="114" t="s">
        <v>83</v>
      </c>
      <c r="M13" s="114"/>
      <c r="N13" s="114"/>
      <c r="O13" s="114"/>
      <c r="P13" s="114"/>
      <c r="Q13" s="114"/>
      <c r="R13" s="114">
        <v>5</v>
      </c>
      <c r="S13" s="114">
        <v>0</v>
      </c>
      <c r="T13" s="114">
        <f t="shared" si="3"/>
        <v>0</v>
      </c>
      <c r="U13" s="114"/>
      <c r="V13" s="133"/>
      <c r="W13" s="133"/>
      <c r="X13" s="114"/>
      <c r="AC13" s="53">
        <v>17.920714000000007</v>
      </c>
    </row>
    <row r="14" spans="1:29" s="51" customFormat="1" x14ac:dyDescent="0.55000000000000004">
      <c r="A14" s="132">
        <v>7</v>
      </c>
      <c r="B14" s="132">
        <v>9</v>
      </c>
      <c r="C14" s="132" t="s">
        <v>27</v>
      </c>
      <c r="D14" s="132" t="s">
        <v>33</v>
      </c>
      <c r="E14" s="132" t="s">
        <v>60</v>
      </c>
      <c r="F14" s="132" t="s">
        <v>89</v>
      </c>
      <c r="G14" s="132">
        <v>80.191000000000003</v>
      </c>
      <c r="H14" s="132">
        <v>82.149000000000001</v>
      </c>
      <c r="I14" s="132">
        <f t="shared" si="0"/>
        <v>1.9579999999999984</v>
      </c>
      <c r="J14" s="132">
        <f t="shared" si="1"/>
        <v>0.19051339999999983</v>
      </c>
      <c r="K14" s="189">
        <f t="shared" si="2"/>
        <v>3.8102679999999967</v>
      </c>
      <c r="L14" s="132">
        <v>24.15</v>
      </c>
      <c r="M14" s="132">
        <v>597</v>
      </c>
      <c r="N14" s="132">
        <v>1136</v>
      </c>
      <c r="O14" s="132">
        <v>54.98</v>
      </c>
      <c r="P14" s="132">
        <f>O14-L14</f>
        <v>30.83</v>
      </c>
      <c r="Q14" s="132"/>
      <c r="R14" s="132">
        <v>2</v>
      </c>
      <c r="S14" s="132">
        <v>1</v>
      </c>
      <c r="T14" s="132">
        <f t="shared" si="3"/>
        <v>0.5</v>
      </c>
      <c r="U14" s="132"/>
      <c r="V14" s="132" t="s">
        <v>558</v>
      </c>
      <c r="W14" s="132" t="s">
        <v>455</v>
      </c>
      <c r="X14" s="132"/>
      <c r="AC14" s="53">
        <v>20.693763999999998</v>
      </c>
    </row>
    <row r="15" spans="1:29" x14ac:dyDescent="0.55000000000000004">
      <c r="A15" s="114"/>
      <c r="B15" s="114"/>
      <c r="C15" s="121" t="s">
        <v>28</v>
      </c>
      <c r="D15" s="121" t="s">
        <v>34</v>
      </c>
      <c r="E15" s="121" t="s">
        <v>60</v>
      </c>
      <c r="F15" s="121" t="s">
        <v>89</v>
      </c>
      <c r="G15" s="114" t="s">
        <v>726</v>
      </c>
      <c r="H15" s="114"/>
      <c r="I15" s="114"/>
      <c r="J15" s="114"/>
      <c r="K15" s="139"/>
      <c r="L15" s="114" t="s">
        <v>1095</v>
      </c>
      <c r="M15" s="114"/>
      <c r="N15" s="114"/>
      <c r="O15" s="114"/>
      <c r="P15" s="114"/>
      <c r="Q15" s="114"/>
      <c r="R15" s="131"/>
      <c r="S15" s="131"/>
      <c r="T15" s="114"/>
      <c r="U15" s="114"/>
      <c r="V15" s="133"/>
      <c r="W15" s="133"/>
      <c r="X15" s="114"/>
      <c r="AC15">
        <f>((SUM(AC4:AC14))/(COUNT(AC4:AC14)))</f>
        <v>21.018745999999997</v>
      </c>
    </row>
    <row r="16" spans="1:29" x14ac:dyDescent="0.55000000000000004">
      <c r="A16" s="114">
        <v>8</v>
      </c>
      <c r="B16" s="114">
        <v>10</v>
      </c>
      <c r="C16" s="122" t="s">
        <v>37</v>
      </c>
      <c r="D16" s="122" t="s">
        <v>35</v>
      </c>
      <c r="E16" s="122" t="s">
        <v>60</v>
      </c>
      <c r="F16" s="122" t="s">
        <v>89</v>
      </c>
      <c r="G16" s="114">
        <v>77.911000000000001</v>
      </c>
      <c r="H16" s="114">
        <v>84.137</v>
      </c>
      <c r="I16" s="114">
        <f t="shared" si="0"/>
        <v>6.2259999999999991</v>
      </c>
      <c r="J16" s="114">
        <f t="shared" si="1"/>
        <v>0.60578979999999993</v>
      </c>
      <c r="K16" s="139">
        <f t="shared" si="2"/>
        <v>12.115796</v>
      </c>
      <c r="L16" s="114">
        <v>66.77</v>
      </c>
      <c r="M16" s="114">
        <v>1231</v>
      </c>
      <c r="N16" s="114">
        <v>2051</v>
      </c>
      <c r="O16" s="114">
        <v>100.63</v>
      </c>
      <c r="P16" s="114">
        <f>O16-L16</f>
        <v>33.86</v>
      </c>
      <c r="Q16" s="114"/>
      <c r="R16" s="114">
        <v>5</v>
      </c>
      <c r="S16" s="114">
        <v>1</v>
      </c>
      <c r="T16" s="114">
        <f t="shared" si="3"/>
        <v>0.2</v>
      </c>
      <c r="U16" s="114"/>
      <c r="V16" s="114" t="s">
        <v>454</v>
      </c>
      <c r="W16" s="114" t="s">
        <v>558</v>
      </c>
      <c r="X16" s="114"/>
    </row>
    <row r="17" spans="1:24" x14ac:dyDescent="0.55000000000000004">
      <c r="A17" s="114"/>
      <c r="B17" s="114">
        <v>11</v>
      </c>
      <c r="C17" s="121" t="s">
        <v>43</v>
      </c>
      <c r="D17" s="121" t="s">
        <v>42</v>
      </c>
      <c r="E17" s="121" t="s">
        <v>60</v>
      </c>
      <c r="F17" s="121" t="s">
        <v>89</v>
      </c>
      <c r="G17" s="114" t="s">
        <v>1098</v>
      </c>
      <c r="H17" s="114"/>
      <c r="I17" s="114"/>
      <c r="J17" s="114"/>
      <c r="K17" s="139"/>
      <c r="L17" s="114" t="s">
        <v>83</v>
      </c>
      <c r="M17" s="114"/>
      <c r="N17" s="114"/>
      <c r="O17" s="114"/>
      <c r="P17" s="114"/>
      <c r="Q17" s="114"/>
      <c r="R17" s="114">
        <v>6</v>
      </c>
      <c r="S17" s="114">
        <v>1</v>
      </c>
      <c r="T17" s="114">
        <f t="shared" si="3"/>
        <v>0.16666666666666666</v>
      </c>
      <c r="U17" s="114" t="s">
        <v>1097</v>
      </c>
      <c r="V17" s="114"/>
      <c r="W17" s="114"/>
      <c r="X17" s="114"/>
    </row>
    <row r="18" spans="1:24" s="53" customFormat="1" x14ac:dyDescent="0.55000000000000004">
      <c r="A18" s="129">
        <v>9</v>
      </c>
      <c r="B18" s="129">
        <v>12</v>
      </c>
      <c r="C18" s="129" t="s">
        <v>39</v>
      </c>
      <c r="D18" s="129" t="s">
        <v>49</v>
      </c>
      <c r="E18" s="129" t="s">
        <v>60</v>
      </c>
      <c r="F18" s="129" t="s">
        <v>89</v>
      </c>
      <c r="G18" s="129">
        <v>80.885999999999996</v>
      </c>
      <c r="H18" s="129">
        <v>93.673000000000002</v>
      </c>
      <c r="I18" s="129">
        <f t="shared" si="0"/>
        <v>12.787000000000006</v>
      </c>
      <c r="J18" s="129">
        <f t="shared" si="1"/>
        <v>1.2441751000000005</v>
      </c>
      <c r="K18" s="186">
        <f t="shared" si="2"/>
        <v>24.883502000000011</v>
      </c>
      <c r="L18" s="129">
        <v>41.91</v>
      </c>
      <c r="M18" s="129">
        <v>995</v>
      </c>
      <c r="N18" s="129">
        <v>1506</v>
      </c>
      <c r="O18" s="129">
        <v>74.430000000000007</v>
      </c>
      <c r="P18" s="129">
        <f>O18-L18</f>
        <v>32.52000000000001</v>
      </c>
      <c r="Q18" s="129"/>
      <c r="R18" s="129">
        <v>4</v>
      </c>
      <c r="S18" s="129">
        <v>1</v>
      </c>
      <c r="T18" s="129">
        <f t="shared" si="3"/>
        <v>0.25</v>
      </c>
      <c r="U18" s="129"/>
      <c r="V18" s="129" t="s">
        <v>454</v>
      </c>
      <c r="W18" s="129" t="s">
        <v>558</v>
      </c>
      <c r="X18" s="129"/>
    </row>
    <row r="19" spans="1:24" x14ac:dyDescent="0.55000000000000004">
      <c r="A19" s="114"/>
      <c r="B19" s="114"/>
      <c r="C19" s="121" t="s">
        <v>56</v>
      </c>
      <c r="D19" s="121" t="s">
        <v>58</v>
      </c>
      <c r="E19" s="121" t="s">
        <v>61</v>
      </c>
      <c r="F19" s="121" t="s">
        <v>89</v>
      </c>
      <c r="G19" s="114" t="s">
        <v>726</v>
      </c>
      <c r="H19" s="114"/>
      <c r="I19" s="114"/>
      <c r="J19" s="114"/>
      <c r="K19" s="139"/>
      <c r="L19" s="114" t="s">
        <v>1095</v>
      </c>
      <c r="M19" s="114"/>
      <c r="N19" s="114"/>
      <c r="O19" s="114"/>
      <c r="P19" s="114"/>
      <c r="Q19" s="114"/>
      <c r="R19" s="133"/>
      <c r="S19" s="133"/>
      <c r="T19" s="114"/>
      <c r="U19" s="114"/>
      <c r="V19" s="133"/>
      <c r="W19" s="133"/>
      <c r="X19" s="114"/>
    </row>
    <row r="20" spans="1:24" x14ac:dyDescent="0.55000000000000004">
      <c r="A20" s="114"/>
      <c r="B20" s="114"/>
      <c r="C20" s="122" t="s">
        <v>62</v>
      </c>
      <c r="D20" s="122" t="s">
        <v>68</v>
      </c>
      <c r="E20" s="122" t="s">
        <v>76</v>
      </c>
      <c r="F20" s="122" t="s">
        <v>89</v>
      </c>
      <c r="G20" s="114" t="s">
        <v>1099</v>
      </c>
      <c r="H20" s="114"/>
      <c r="I20" s="114"/>
      <c r="J20" s="114"/>
      <c r="K20" s="139"/>
      <c r="L20" s="114">
        <v>80.72</v>
      </c>
      <c r="M20" s="114">
        <v>1858</v>
      </c>
      <c r="N20" s="114">
        <v>2450</v>
      </c>
      <c r="O20" s="114">
        <v>121.1</v>
      </c>
      <c r="P20" s="114">
        <f>O20-L20</f>
        <v>40.379999999999995</v>
      </c>
      <c r="Q20" s="114" t="s">
        <v>1099</v>
      </c>
      <c r="R20" s="114">
        <v>7</v>
      </c>
      <c r="S20" s="114">
        <v>1</v>
      </c>
      <c r="T20" s="114">
        <f t="shared" si="3"/>
        <v>0.14285714285714285</v>
      </c>
      <c r="U20" s="114"/>
      <c r="V20" s="114" t="s">
        <v>1040</v>
      </c>
      <c r="W20" s="133"/>
      <c r="X20" s="114"/>
    </row>
    <row r="21" spans="1:24" x14ac:dyDescent="0.55000000000000004">
      <c r="A21" s="114"/>
      <c r="B21" s="114">
        <v>13</v>
      </c>
      <c r="C21" s="121" t="s">
        <v>64</v>
      </c>
      <c r="D21" s="121" t="s">
        <v>70</v>
      </c>
      <c r="E21" s="121" t="s">
        <v>76</v>
      </c>
      <c r="F21" s="121" t="s">
        <v>89</v>
      </c>
      <c r="G21" s="114" t="s">
        <v>1018</v>
      </c>
      <c r="H21" s="114"/>
      <c r="I21" s="114"/>
      <c r="J21" s="114"/>
      <c r="K21" s="139"/>
      <c r="L21" s="163">
        <v>38.18</v>
      </c>
      <c r="Q21" s="114"/>
      <c r="R21" s="114">
        <v>5</v>
      </c>
      <c r="S21" s="114">
        <v>1</v>
      </c>
      <c r="T21" s="114">
        <f t="shared" si="3"/>
        <v>0.2</v>
      </c>
      <c r="U21" s="114" t="s">
        <v>1100</v>
      </c>
      <c r="V21" s="114"/>
      <c r="W21" s="114"/>
      <c r="X21" s="114"/>
    </row>
    <row r="22" spans="1:24" x14ac:dyDescent="0.55000000000000004">
      <c r="A22" s="114">
        <v>10</v>
      </c>
      <c r="B22" s="114">
        <v>14</v>
      </c>
      <c r="C22" s="121" t="s">
        <v>85</v>
      </c>
      <c r="D22" s="121" t="s">
        <v>72</v>
      </c>
      <c r="E22" s="121" t="s">
        <v>76</v>
      </c>
      <c r="F22" s="121" t="s">
        <v>89</v>
      </c>
      <c r="G22" s="114">
        <v>76.075999999999993</v>
      </c>
      <c r="H22" s="114">
        <v>103.108</v>
      </c>
      <c r="I22" s="114">
        <f t="shared" si="0"/>
        <v>27.032000000000011</v>
      </c>
      <c r="J22" s="114">
        <f t="shared" si="1"/>
        <v>2.6302136000000012</v>
      </c>
      <c r="K22" s="139">
        <f t="shared" si="2"/>
        <v>52.604272000000023</v>
      </c>
      <c r="L22" s="114">
        <v>119.95</v>
      </c>
      <c r="M22" s="114">
        <v>1655</v>
      </c>
      <c r="N22" s="153">
        <v>3372</v>
      </c>
      <c r="O22" s="114">
        <v>165.64</v>
      </c>
      <c r="P22" s="114">
        <f>O22-L22</f>
        <v>45.689999999999984</v>
      </c>
      <c r="Q22" s="114" t="s">
        <v>1101</v>
      </c>
      <c r="R22" s="114">
        <v>10</v>
      </c>
      <c r="S22" s="114">
        <v>4</v>
      </c>
      <c r="T22" s="114">
        <f t="shared" si="3"/>
        <v>0.4</v>
      </c>
      <c r="U22" s="114"/>
      <c r="V22" s="114" t="s">
        <v>1040</v>
      </c>
      <c r="W22" s="133"/>
      <c r="X22" s="114"/>
    </row>
    <row r="23" spans="1:24" s="51" customFormat="1" x14ac:dyDescent="0.55000000000000004">
      <c r="A23" s="132">
        <v>11</v>
      </c>
      <c r="B23" s="132"/>
      <c r="C23" s="132" t="s">
        <v>78</v>
      </c>
      <c r="D23" s="132" t="s">
        <v>72</v>
      </c>
      <c r="E23" s="132" t="s">
        <v>76</v>
      </c>
      <c r="F23" s="132" t="s">
        <v>89</v>
      </c>
      <c r="G23" s="132">
        <v>82.775000000000006</v>
      </c>
      <c r="H23" s="132">
        <v>106.235</v>
      </c>
      <c r="I23" s="132">
        <f t="shared" si="0"/>
        <v>23.459999999999994</v>
      </c>
      <c r="J23" s="132">
        <f t="shared" si="1"/>
        <v>2.2826579999999992</v>
      </c>
      <c r="K23" s="189">
        <f>J23*20</f>
        <v>45.653159999999986</v>
      </c>
      <c r="L23" s="132">
        <v>119.95</v>
      </c>
      <c r="M23" s="132">
        <v>1483</v>
      </c>
      <c r="N23" s="193">
        <v>4197</v>
      </c>
      <c r="O23" s="132">
        <v>206.16</v>
      </c>
      <c r="P23" s="132">
        <f t="shared" ref="P23:P51" si="4">O23-L23</f>
        <v>86.21</v>
      </c>
      <c r="Q23" s="132"/>
      <c r="R23" s="190"/>
      <c r="S23" s="190"/>
      <c r="T23" s="132"/>
      <c r="U23" s="132"/>
      <c r="V23" s="132" t="s">
        <v>454</v>
      </c>
      <c r="W23" s="132" t="s">
        <v>455</v>
      </c>
      <c r="X23" s="132"/>
    </row>
    <row r="24" spans="1:24" s="53" customFormat="1" x14ac:dyDescent="0.55000000000000004">
      <c r="A24" s="129">
        <v>12</v>
      </c>
      <c r="B24" s="129"/>
      <c r="C24" s="129" t="s">
        <v>79</v>
      </c>
      <c r="D24" s="129" t="s">
        <v>72</v>
      </c>
      <c r="E24" s="129" t="s">
        <v>76</v>
      </c>
      <c r="F24" s="129" t="s">
        <v>89</v>
      </c>
      <c r="G24" s="129">
        <v>76.075999999999993</v>
      </c>
      <c r="H24" s="129">
        <v>86.067999999999998</v>
      </c>
      <c r="I24" s="129">
        <f t="shared" si="0"/>
        <v>9.9920000000000044</v>
      </c>
      <c r="J24" s="129">
        <f t="shared" si="1"/>
        <v>0.97222160000000035</v>
      </c>
      <c r="K24" s="186">
        <f t="shared" si="2"/>
        <v>19.444432000000006</v>
      </c>
      <c r="L24" s="129">
        <v>119.95</v>
      </c>
      <c r="M24" s="129">
        <v>1655</v>
      </c>
      <c r="N24" s="191">
        <v>4390</v>
      </c>
      <c r="O24" s="129">
        <v>215.64</v>
      </c>
      <c r="P24" s="129">
        <f t="shared" si="4"/>
        <v>95.689999999999984</v>
      </c>
      <c r="Q24" s="129"/>
      <c r="R24" s="188"/>
      <c r="S24" s="188"/>
      <c r="T24" s="129"/>
      <c r="U24" s="129"/>
      <c r="V24" s="129" t="s">
        <v>454</v>
      </c>
      <c r="W24" s="129" t="s">
        <v>558</v>
      </c>
      <c r="X24" s="129"/>
    </row>
    <row r="25" spans="1:24" s="53" customFormat="1" x14ac:dyDescent="0.55000000000000004">
      <c r="A25" s="129">
        <v>13</v>
      </c>
      <c r="B25" s="129"/>
      <c r="C25" s="129" t="s">
        <v>86</v>
      </c>
      <c r="D25" s="129" t="s">
        <v>72</v>
      </c>
      <c r="E25" s="129" t="s">
        <v>76</v>
      </c>
      <c r="F25" s="129" t="s">
        <v>89</v>
      </c>
      <c r="G25" s="129">
        <v>82.775000000000006</v>
      </c>
      <c r="H25" s="129">
        <v>87.605999999999995</v>
      </c>
      <c r="I25" s="129">
        <f t="shared" si="0"/>
        <v>4.8309999999999889</v>
      </c>
      <c r="J25" s="129">
        <f t="shared" si="1"/>
        <v>0.47005629999999893</v>
      </c>
      <c r="K25" s="186">
        <f t="shared" si="2"/>
        <v>9.4011259999999783</v>
      </c>
      <c r="L25" s="129">
        <v>119.95</v>
      </c>
      <c r="M25" s="129">
        <v>1483</v>
      </c>
      <c r="N25" s="191">
        <v>4509</v>
      </c>
      <c r="O25" s="129">
        <v>221.49</v>
      </c>
      <c r="P25" s="129">
        <f t="shared" si="4"/>
        <v>101.54</v>
      </c>
      <c r="Q25" s="129" t="s">
        <v>1102</v>
      </c>
      <c r="R25" s="192"/>
      <c r="S25" s="192"/>
      <c r="T25" s="129"/>
      <c r="U25" s="129"/>
      <c r="V25" s="129" t="s">
        <v>558</v>
      </c>
      <c r="W25" s="129" t="s">
        <v>558</v>
      </c>
      <c r="X25" s="129"/>
    </row>
    <row r="26" spans="1:24" x14ac:dyDescent="0.55000000000000004">
      <c r="A26" s="114">
        <v>14</v>
      </c>
      <c r="B26" s="114">
        <v>15</v>
      </c>
      <c r="C26" s="121" t="s">
        <v>82</v>
      </c>
      <c r="D26" s="121" t="s">
        <v>73</v>
      </c>
      <c r="E26" s="121" t="s">
        <v>76</v>
      </c>
      <c r="F26" s="121" t="s">
        <v>89</v>
      </c>
      <c r="G26" s="114">
        <v>82.799000000000007</v>
      </c>
      <c r="H26" s="114">
        <v>108.191</v>
      </c>
      <c r="I26" s="114">
        <f t="shared" si="0"/>
        <v>25.391999999999996</v>
      </c>
      <c r="J26" s="114">
        <f t="shared" si="1"/>
        <v>2.4706415999999995</v>
      </c>
      <c r="K26" s="139">
        <f t="shared" si="2"/>
        <v>49.412831999999995</v>
      </c>
      <c r="L26" s="114" t="s">
        <v>83</v>
      </c>
      <c r="M26" s="114">
        <v>173</v>
      </c>
      <c r="N26" s="153">
        <v>553</v>
      </c>
      <c r="O26" s="114">
        <v>28.01</v>
      </c>
      <c r="P26" s="114"/>
      <c r="Q26" s="114"/>
      <c r="R26" s="114">
        <v>9</v>
      </c>
      <c r="S26" s="114">
        <v>5</v>
      </c>
      <c r="T26" s="114">
        <f t="shared" si="3"/>
        <v>0.55555555555555558</v>
      </c>
      <c r="U26" s="114" t="s">
        <v>1104</v>
      </c>
      <c r="V26" s="114" t="s">
        <v>1091</v>
      </c>
      <c r="W26" s="133"/>
      <c r="X26" s="114"/>
    </row>
    <row r="27" spans="1:24" x14ac:dyDescent="0.55000000000000004">
      <c r="A27" s="114">
        <v>15</v>
      </c>
      <c r="B27" s="114"/>
      <c r="C27" s="121" t="s">
        <v>81</v>
      </c>
      <c r="D27" s="121" t="s">
        <v>73</v>
      </c>
      <c r="E27" s="121" t="s">
        <v>76</v>
      </c>
      <c r="F27" s="121" t="s">
        <v>89</v>
      </c>
      <c r="G27" s="114">
        <v>76.177000000000007</v>
      </c>
      <c r="H27" s="114">
        <v>93.981999999999999</v>
      </c>
      <c r="I27" s="114">
        <f t="shared" si="0"/>
        <v>17.804999999999993</v>
      </c>
      <c r="J27" s="114">
        <f t="shared" si="1"/>
        <v>1.7324264999999992</v>
      </c>
      <c r="K27" s="139">
        <f t="shared" si="2"/>
        <v>34.648529999999987</v>
      </c>
      <c r="L27" s="114" t="s">
        <v>83</v>
      </c>
      <c r="M27" s="114">
        <v>847</v>
      </c>
      <c r="N27" s="114">
        <v>1386</v>
      </c>
      <c r="O27" s="114">
        <v>70.7</v>
      </c>
      <c r="P27" s="114"/>
      <c r="Q27" s="114" t="s">
        <v>1103</v>
      </c>
      <c r="R27" s="133"/>
      <c r="S27" s="133"/>
      <c r="T27" s="114"/>
      <c r="U27" s="114"/>
      <c r="V27" s="114" t="s">
        <v>1010</v>
      </c>
      <c r="W27" s="133"/>
      <c r="X27" s="114"/>
    </row>
    <row r="28" spans="1:24" s="53" customFormat="1" ht="18.3" customHeight="1" x14ac:dyDescent="0.55000000000000004">
      <c r="A28" s="129">
        <v>16</v>
      </c>
      <c r="B28" s="129"/>
      <c r="C28" s="129" t="s">
        <v>80</v>
      </c>
      <c r="D28" s="129" t="s">
        <v>73</v>
      </c>
      <c r="E28" s="129" t="s">
        <v>76</v>
      </c>
      <c r="F28" s="129" t="s">
        <v>89</v>
      </c>
      <c r="G28" s="129">
        <v>82.799000000000007</v>
      </c>
      <c r="H28" s="129">
        <v>91.587000000000003</v>
      </c>
      <c r="I28" s="129">
        <f t="shared" si="0"/>
        <v>8.7879999999999967</v>
      </c>
      <c r="J28" s="129">
        <f t="shared" si="1"/>
        <v>0.85507239999999962</v>
      </c>
      <c r="K28" s="186">
        <f t="shared" si="2"/>
        <v>17.101447999999991</v>
      </c>
      <c r="L28" s="129" t="s">
        <v>83</v>
      </c>
      <c r="M28" s="129">
        <v>173</v>
      </c>
      <c r="N28" s="129">
        <v>2504</v>
      </c>
      <c r="O28" s="129">
        <v>126.82</v>
      </c>
      <c r="P28" s="129"/>
      <c r="Q28" s="129"/>
      <c r="R28" s="188"/>
      <c r="S28" s="188"/>
      <c r="T28" s="129"/>
      <c r="U28" s="129"/>
      <c r="V28" s="129" t="s">
        <v>558</v>
      </c>
      <c r="W28" s="129" t="s">
        <v>558</v>
      </c>
      <c r="X28" s="129"/>
    </row>
    <row r="29" spans="1:24" x14ac:dyDescent="0.55000000000000004">
      <c r="A29" s="114">
        <v>17</v>
      </c>
      <c r="B29" s="114">
        <v>16</v>
      </c>
      <c r="C29" s="121" t="s">
        <v>66</v>
      </c>
      <c r="D29" s="121" t="s">
        <v>74</v>
      </c>
      <c r="E29" s="121" t="s">
        <v>76</v>
      </c>
      <c r="F29" s="121" t="s">
        <v>89</v>
      </c>
      <c r="G29" s="114">
        <v>84.188000000000002</v>
      </c>
      <c r="H29" s="114">
        <v>105.587</v>
      </c>
      <c r="I29" s="114">
        <f t="shared" si="0"/>
        <v>21.399000000000001</v>
      </c>
      <c r="J29" s="114">
        <f t="shared" si="1"/>
        <v>2.0821227000000002</v>
      </c>
      <c r="K29" s="139">
        <f t="shared" si="2"/>
        <v>41.642454000000001</v>
      </c>
      <c r="L29" s="114">
        <v>18.739999999999998</v>
      </c>
      <c r="M29" s="114">
        <v>622</v>
      </c>
      <c r="N29" s="114">
        <v>3801</v>
      </c>
      <c r="O29" s="114">
        <v>188.47</v>
      </c>
      <c r="P29" s="114">
        <f t="shared" si="4"/>
        <v>169.73</v>
      </c>
      <c r="Q29" s="114"/>
      <c r="R29" s="114">
        <v>8</v>
      </c>
      <c r="S29" s="114">
        <v>1</v>
      </c>
      <c r="T29" s="114">
        <f t="shared" si="3"/>
        <v>0.125</v>
      </c>
      <c r="U29" s="114"/>
      <c r="V29" s="114" t="s">
        <v>455</v>
      </c>
      <c r="W29" s="133"/>
      <c r="X29" s="114"/>
    </row>
    <row r="30" spans="1:24" x14ac:dyDescent="0.55000000000000004">
      <c r="A30" s="164">
        <v>18</v>
      </c>
      <c r="B30" s="114">
        <v>17</v>
      </c>
      <c r="C30" s="121" t="s">
        <v>1105</v>
      </c>
      <c r="D30" s="121" t="s">
        <v>99</v>
      </c>
      <c r="E30" s="121" t="s">
        <v>92</v>
      </c>
      <c r="F30" s="121" t="s">
        <v>89</v>
      </c>
      <c r="G30" s="114">
        <v>87.638999999999996</v>
      </c>
      <c r="H30" s="114">
        <v>110.17400000000001</v>
      </c>
      <c r="I30" s="114">
        <f t="shared" si="0"/>
        <v>22.535000000000011</v>
      </c>
      <c r="J30" s="114">
        <f t="shared" si="1"/>
        <v>2.1926555000000012</v>
      </c>
      <c r="K30" s="139">
        <f t="shared" si="2"/>
        <v>43.853110000000022</v>
      </c>
      <c r="L30" s="114">
        <v>25.84</v>
      </c>
      <c r="M30" s="114">
        <v>2164</v>
      </c>
      <c r="N30" s="114">
        <v>3508</v>
      </c>
      <c r="O30" s="114">
        <v>178.78</v>
      </c>
      <c r="P30" s="114">
        <f t="shared" si="4"/>
        <v>152.94</v>
      </c>
      <c r="Q30" s="114"/>
      <c r="R30" s="114">
        <v>4</v>
      </c>
      <c r="S30" s="114">
        <v>2</v>
      </c>
      <c r="T30" s="114">
        <f t="shared" si="3"/>
        <v>0.5</v>
      </c>
      <c r="U30" s="114"/>
      <c r="V30" s="114" t="s">
        <v>1091</v>
      </c>
      <c r="W30" s="133"/>
      <c r="X30" s="114"/>
    </row>
    <row r="31" spans="1:24" s="111" customFormat="1" x14ac:dyDescent="0.55000000000000004">
      <c r="A31" s="165"/>
      <c r="B31" s="124"/>
      <c r="C31" s="124" t="s">
        <v>1106</v>
      </c>
      <c r="D31" s="124" t="s">
        <v>99</v>
      </c>
      <c r="E31" s="124" t="s">
        <v>92</v>
      </c>
      <c r="F31" s="124" t="s">
        <v>89</v>
      </c>
      <c r="G31" s="124">
        <v>82.042000000000002</v>
      </c>
      <c r="H31" s="124">
        <v>98.254000000000005</v>
      </c>
      <c r="I31" s="124">
        <f t="shared" si="0"/>
        <v>16.212000000000003</v>
      </c>
      <c r="J31" s="124">
        <f t="shared" si="1"/>
        <v>1.5774276000000003</v>
      </c>
      <c r="K31" s="144">
        <f t="shared" si="2"/>
        <v>31.548552000000004</v>
      </c>
      <c r="L31" s="124">
        <v>25.84</v>
      </c>
      <c r="M31" s="124">
        <v>2164</v>
      </c>
      <c r="N31" s="124">
        <v>3508</v>
      </c>
      <c r="O31" s="124">
        <v>178.78</v>
      </c>
      <c r="P31" s="124">
        <f t="shared" si="4"/>
        <v>152.94</v>
      </c>
      <c r="Q31" s="124"/>
      <c r="R31" s="138"/>
      <c r="S31" s="138"/>
      <c r="T31" s="114"/>
      <c r="U31" s="124"/>
      <c r="V31" s="138"/>
      <c r="W31" s="138"/>
      <c r="X31" s="124"/>
    </row>
    <row r="32" spans="1:24" s="53" customFormat="1" x14ac:dyDescent="0.55000000000000004">
      <c r="A32" s="129">
        <v>19</v>
      </c>
      <c r="B32" s="129"/>
      <c r="C32" s="129" t="s">
        <v>114</v>
      </c>
      <c r="D32" s="129" t="s">
        <v>99</v>
      </c>
      <c r="E32" s="129" t="s">
        <v>92</v>
      </c>
      <c r="F32" s="129" t="s">
        <v>89</v>
      </c>
      <c r="G32" s="129">
        <v>87.638999999999996</v>
      </c>
      <c r="H32" s="129">
        <v>101.613</v>
      </c>
      <c r="I32" s="129">
        <f t="shared" si="0"/>
        <v>13.974000000000004</v>
      </c>
      <c r="J32" s="129">
        <f t="shared" si="1"/>
        <v>1.3596702000000003</v>
      </c>
      <c r="K32" s="186">
        <f t="shared" si="2"/>
        <v>27.193404000000005</v>
      </c>
      <c r="L32" s="129">
        <v>25.84</v>
      </c>
      <c r="M32" s="129">
        <v>2164</v>
      </c>
      <c r="N32" s="129">
        <v>4271</v>
      </c>
      <c r="O32" s="129">
        <v>217.67</v>
      </c>
      <c r="P32" s="129">
        <f t="shared" si="4"/>
        <v>191.82999999999998</v>
      </c>
      <c r="Q32" s="129"/>
      <c r="R32" s="188"/>
      <c r="S32" s="188"/>
      <c r="T32" s="129"/>
      <c r="U32" s="129"/>
      <c r="V32" s="129" t="s">
        <v>558</v>
      </c>
      <c r="W32" s="129" t="s">
        <v>558</v>
      </c>
      <c r="X32" s="129"/>
    </row>
    <row r="33" spans="1:24" x14ac:dyDescent="0.55000000000000004">
      <c r="A33" s="114"/>
      <c r="B33" s="114"/>
      <c r="C33" s="121" t="s">
        <v>1109</v>
      </c>
      <c r="D33" s="121" t="s">
        <v>100</v>
      </c>
      <c r="E33" s="121" t="s">
        <v>92</v>
      </c>
      <c r="F33" s="121" t="s">
        <v>89</v>
      </c>
      <c r="G33" s="167" t="s">
        <v>1108</v>
      </c>
      <c r="M33" s="114"/>
      <c r="N33" s="114"/>
      <c r="O33" s="114"/>
      <c r="P33" s="114"/>
      <c r="R33" s="133"/>
      <c r="S33" s="133"/>
      <c r="T33" s="114"/>
      <c r="U33" s="114"/>
      <c r="V33" s="133"/>
      <c r="W33" s="133"/>
      <c r="X33" s="114"/>
    </row>
    <row r="34" spans="1:24" x14ac:dyDescent="0.55000000000000004">
      <c r="A34" s="114"/>
      <c r="B34" s="114"/>
      <c r="C34" s="121" t="s">
        <v>93</v>
      </c>
      <c r="D34" s="121" t="s">
        <v>101</v>
      </c>
      <c r="E34" s="121" t="s">
        <v>92</v>
      </c>
      <c r="F34" s="121" t="s">
        <v>89</v>
      </c>
      <c r="G34" s="114" t="s">
        <v>726</v>
      </c>
      <c r="H34" s="114"/>
      <c r="I34" s="114"/>
      <c r="J34" s="114"/>
      <c r="K34" s="139"/>
      <c r="L34" s="114" t="s">
        <v>1095</v>
      </c>
      <c r="M34" s="114"/>
      <c r="N34" s="114"/>
      <c r="O34" s="114"/>
      <c r="P34" s="114"/>
      <c r="Q34" s="114" t="s">
        <v>1107</v>
      </c>
      <c r="R34" s="133"/>
      <c r="S34" s="133"/>
      <c r="T34" s="114"/>
      <c r="U34" s="114"/>
      <c r="V34" s="133"/>
      <c r="W34" s="133"/>
      <c r="X34" s="114"/>
    </row>
    <row r="35" spans="1:24" x14ac:dyDescent="0.55000000000000004">
      <c r="A35" s="114"/>
      <c r="B35" s="114">
        <v>18</v>
      </c>
      <c r="C35" s="121" t="s">
        <v>95</v>
      </c>
      <c r="D35" s="121" t="s">
        <v>101</v>
      </c>
      <c r="E35" s="121" t="s">
        <v>92</v>
      </c>
      <c r="F35" s="121" t="s">
        <v>89</v>
      </c>
      <c r="G35" s="114" t="s">
        <v>325</v>
      </c>
      <c r="H35" s="114"/>
      <c r="I35" s="114"/>
      <c r="J35" s="114"/>
      <c r="K35" s="139"/>
      <c r="L35" s="114">
        <v>70.69</v>
      </c>
      <c r="M35" s="114"/>
      <c r="N35" s="114"/>
      <c r="O35" s="114"/>
      <c r="P35" s="114"/>
      <c r="Q35" s="114"/>
      <c r="R35" s="114">
        <v>4</v>
      </c>
      <c r="S35" s="114">
        <v>0</v>
      </c>
      <c r="T35" s="114">
        <f t="shared" si="3"/>
        <v>0</v>
      </c>
      <c r="U35" s="114"/>
      <c r="V35" s="133"/>
      <c r="W35" s="133"/>
      <c r="X35" s="114"/>
    </row>
    <row r="36" spans="1:24" x14ac:dyDescent="0.55000000000000004">
      <c r="A36" s="114"/>
      <c r="B36" s="114">
        <v>19</v>
      </c>
      <c r="C36" s="121" t="s">
        <v>96</v>
      </c>
      <c r="D36" s="121" t="s">
        <v>101</v>
      </c>
      <c r="E36" s="121" t="s">
        <v>92</v>
      </c>
      <c r="F36" s="121" t="s">
        <v>89</v>
      </c>
      <c r="G36" s="114" t="s">
        <v>325</v>
      </c>
      <c r="H36" s="114"/>
      <c r="I36" s="114"/>
      <c r="J36" s="114"/>
      <c r="K36" s="139"/>
      <c r="L36" s="114">
        <v>71.94</v>
      </c>
      <c r="M36" s="114"/>
      <c r="N36" s="114"/>
      <c r="O36" s="114"/>
      <c r="P36" s="114"/>
      <c r="Q36" s="114"/>
      <c r="R36" s="114">
        <v>3</v>
      </c>
      <c r="S36" s="114">
        <v>0</v>
      </c>
      <c r="T36" s="114">
        <f t="shared" si="3"/>
        <v>0</v>
      </c>
      <c r="U36" s="114"/>
      <c r="V36" s="133"/>
      <c r="W36" s="133"/>
      <c r="X36" s="114"/>
    </row>
    <row r="37" spans="1:24" x14ac:dyDescent="0.55000000000000004">
      <c r="A37" s="114"/>
      <c r="B37" s="114"/>
      <c r="C37" s="121" t="s">
        <v>119</v>
      </c>
      <c r="D37" s="121" t="s">
        <v>295</v>
      </c>
      <c r="E37" s="121" t="s">
        <v>120</v>
      </c>
      <c r="F37" s="121" t="s">
        <v>89</v>
      </c>
      <c r="G37" s="114" t="s">
        <v>726</v>
      </c>
      <c r="H37" s="114"/>
      <c r="I37" s="114"/>
      <c r="J37" s="114"/>
      <c r="K37" s="139"/>
      <c r="L37" s="114" t="s">
        <v>1095</v>
      </c>
      <c r="P37" s="114"/>
      <c r="R37" s="15"/>
      <c r="S37" s="15"/>
      <c r="T37" s="114"/>
      <c r="U37" s="114"/>
      <c r="V37" s="133"/>
      <c r="W37" s="133"/>
      <c r="X37" s="114"/>
    </row>
    <row r="38" spans="1:24" x14ac:dyDescent="0.55000000000000004">
      <c r="A38" s="114"/>
      <c r="B38" s="114">
        <v>20</v>
      </c>
      <c r="C38" s="121" t="s">
        <v>1111</v>
      </c>
      <c r="D38" s="121" t="s">
        <v>296</v>
      </c>
      <c r="E38" s="121" t="s">
        <v>120</v>
      </c>
      <c r="F38" s="121" t="s">
        <v>89</v>
      </c>
      <c r="G38" s="114" t="s">
        <v>1018</v>
      </c>
      <c r="H38" s="114"/>
      <c r="I38" s="114"/>
      <c r="J38" s="114"/>
      <c r="K38" s="139"/>
      <c r="L38" s="114" t="s">
        <v>83</v>
      </c>
      <c r="M38" s="114"/>
      <c r="N38" s="114"/>
      <c r="O38" s="114"/>
      <c r="P38" s="114"/>
      <c r="Q38" s="114"/>
      <c r="R38" s="114">
        <v>4</v>
      </c>
      <c r="S38" s="114">
        <v>2</v>
      </c>
      <c r="T38" s="114">
        <f t="shared" si="3"/>
        <v>0.5</v>
      </c>
      <c r="U38" s="114" t="s">
        <v>1110</v>
      </c>
      <c r="V38" s="133"/>
      <c r="W38" s="133"/>
      <c r="X38" s="114"/>
    </row>
    <row r="39" spans="1:24" s="6" customFormat="1" x14ac:dyDescent="0.55000000000000004">
      <c r="A39" s="123"/>
      <c r="B39" s="123">
        <v>21</v>
      </c>
      <c r="C39" s="123" t="s">
        <v>1112</v>
      </c>
      <c r="D39" s="123" t="s">
        <v>296</v>
      </c>
      <c r="E39" s="123" t="s">
        <v>120</v>
      </c>
      <c r="F39" s="123" t="s">
        <v>89</v>
      </c>
      <c r="G39" s="123">
        <v>89.744</v>
      </c>
      <c r="H39" s="123">
        <v>88.015000000000001</v>
      </c>
      <c r="I39" s="123">
        <f t="shared" si="0"/>
        <v>-1.7289999999999992</v>
      </c>
      <c r="J39" s="123">
        <f t="shared" si="1"/>
        <v>-0.16823169999999993</v>
      </c>
      <c r="K39" s="142">
        <f t="shared" si="2"/>
        <v>-3.3646339999999988</v>
      </c>
      <c r="L39" s="123">
        <v>163.84</v>
      </c>
      <c r="M39" s="123">
        <v>2054</v>
      </c>
      <c r="N39" s="123">
        <v>4347</v>
      </c>
      <c r="O39" s="123">
        <v>208.62</v>
      </c>
      <c r="P39" s="114">
        <f t="shared" si="4"/>
        <v>44.78</v>
      </c>
      <c r="Q39" s="123" t="s">
        <v>1113</v>
      </c>
      <c r="R39" s="123">
        <v>4</v>
      </c>
      <c r="S39" s="123">
        <v>1</v>
      </c>
      <c r="T39" s="114">
        <f t="shared" si="3"/>
        <v>0.25</v>
      </c>
      <c r="U39" s="123"/>
      <c r="V39" s="136"/>
      <c r="W39" s="136"/>
      <c r="X39" s="123"/>
    </row>
    <row r="40" spans="1:24" s="51" customFormat="1" x14ac:dyDescent="0.55000000000000004">
      <c r="A40" s="132">
        <v>20</v>
      </c>
      <c r="B40" s="132">
        <v>22</v>
      </c>
      <c r="C40" s="132" t="s">
        <v>299</v>
      </c>
      <c r="D40" s="132" t="s">
        <v>297</v>
      </c>
      <c r="E40" s="132" t="s">
        <v>120</v>
      </c>
      <c r="F40" s="132" t="s">
        <v>89</v>
      </c>
      <c r="G40" s="132">
        <v>80.39</v>
      </c>
      <c r="H40" s="132">
        <v>97.120999999999995</v>
      </c>
      <c r="I40" s="132">
        <f t="shared" si="0"/>
        <v>16.730999999999995</v>
      </c>
      <c r="J40" s="132">
        <f t="shared" si="1"/>
        <v>1.6279262999999995</v>
      </c>
      <c r="K40" s="189">
        <f t="shared" si="2"/>
        <v>32.558525999999986</v>
      </c>
      <c r="L40" s="132">
        <v>188.7</v>
      </c>
      <c r="M40" s="132">
        <v>3640</v>
      </c>
      <c r="N40" s="132">
        <v>4683</v>
      </c>
      <c r="O40" s="132">
        <v>231.15</v>
      </c>
      <c r="P40" s="132">
        <f t="shared" si="4"/>
        <v>42.450000000000017</v>
      </c>
      <c r="Q40" s="132"/>
      <c r="R40" s="132">
        <v>10</v>
      </c>
      <c r="S40" s="132">
        <v>3</v>
      </c>
      <c r="T40" s="132">
        <f t="shared" si="3"/>
        <v>0.3</v>
      </c>
      <c r="U40" s="132" t="s">
        <v>1114</v>
      </c>
      <c r="V40" s="132" t="s">
        <v>454</v>
      </c>
      <c r="W40" s="132" t="s">
        <v>455</v>
      </c>
      <c r="X40" s="132"/>
    </row>
    <row r="41" spans="1:24" x14ac:dyDescent="0.55000000000000004">
      <c r="A41" s="114">
        <v>21</v>
      </c>
      <c r="B41" s="114"/>
      <c r="C41" s="121" t="s">
        <v>300</v>
      </c>
      <c r="D41" s="121" t="s">
        <v>297</v>
      </c>
      <c r="E41" s="121" t="s">
        <v>120</v>
      </c>
      <c r="F41" s="121" t="s">
        <v>89</v>
      </c>
      <c r="G41" s="114">
        <v>95.15</v>
      </c>
      <c r="H41" s="114">
        <v>118.663</v>
      </c>
      <c r="I41" s="114">
        <f t="shared" si="0"/>
        <v>23.512999999999991</v>
      </c>
      <c r="J41" s="114">
        <f t="shared" si="1"/>
        <v>2.287814899999999</v>
      </c>
      <c r="K41" s="139">
        <f t="shared" si="2"/>
        <v>45.75629799999998</v>
      </c>
      <c r="L41" s="114">
        <v>188.7</v>
      </c>
      <c r="M41" s="114">
        <v>4295</v>
      </c>
      <c r="N41" s="114">
        <v>4817</v>
      </c>
      <c r="O41" s="114">
        <v>237.76</v>
      </c>
      <c r="P41" s="114">
        <f t="shared" si="4"/>
        <v>49.06</v>
      </c>
      <c r="Q41" s="114"/>
      <c r="R41" s="133"/>
      <c r="S41" s="133"/>
      <c r="T41" s="114"/>
      <c r="U41" s="114"/>
      <c r="V41" s="114" t="s">
        <v>455</v>
      </c>
      <c r="W41" s="133"/>
      <c r="X41" s="114"/>
    </row>
    <row r="42" spans="1:24" s="53" customFormat="1" x14ac:dyDescent="0.55000000000000004">
      <c r="A42" s="129">
        <v>22</v>
      </c>
      <c r="B42" s="129">
        <v>23</v>
      </c>
      <c r="C42" s="191" t="s">
        <v>443</v>
      </c>
      <c r="D42" s="191" t="s">
        <v>298</v>
      </c>
      <c r="E42" s="191" t="s">
        <v>120</v>
      </c>
      <c r="F42" s="191" t="s">
        <v>89</v>
      </c>
      <c r="G42" s="194">
        <v>82.748000000000005</v>
      </c>
      <c r="H42" s="129">
        <v>99.617000000000004</v>
      </c>
      <c r="I42" s="129">
        <f>H42-G42</f>
        <v>16.869</v>
      </c>
      <c r="J42" s="129">
        <f t="shared" si="1"/>
        <v>1.6413537</v>
      </c>
      <c r="K42" s="186">
        <f t="shared" si="2"/>
        <v>32.827074000000003</v>
      </c>
      <c r="L42" s="129">
        <v>90.12</v>
      </c>
      <c r="M42" s="129">
        <v>1957</v>
      </c>
      <c r="N42" s="129">
        <v>2642</v>
      </c>
      <c r="O42" s="129">
        <v>130.32</v>
      </c>
      <c r="P42" s="129">
        <f t="shared" si="4"/>
        <v>40.199999999999989</v>
      </c>
      <c r="Q42" s="129" t="s">
        <v>1115</v>
      </c>
      <c r="R42" s="129">
        <v>11</v>
      </c>
      <c r="S42" s="129">
        <v>4</v>
      </c>
      <c r="T42" s="129">
        <f t="shared" si="3"/>
        <v>0.36363636363636365</v>
      </c>
      <c r="U42" s="129"/>
      <c r="V42" s="129" t="s">
        <v>454</v>
      </c>
      <c r="W42" s="129" t="s">
        <v>558</v>
      </c>
      <c r="X42" s="129"/>
    </row>
    <row r="43" spans="1:24" s="51" customFormat="1" x14ac:dyDescent="0.55000000000000004">
      <c r="A43" s="132">
        <v>23</v>
      </c>
      <c r="B43" s="132"/>
      <c r="C43" s="193" t="s">
        <v>443</v>
      </c>
      <c r="D43" s="193" t="s">
        <v>298</v>
      </c>
      <c r="E43" s="193" t="s">
        <v>120</v>
      </c>
      <c r="F43" s="193" t="s">
        <v>89</v>
      </c>
      <c r="G43" s="132">
        <v>87.599000000000004</v>
      </c>
      <c r="H43" s="132">
        <v>113.264</v>
      </c>
      <c r="I43" s="132">
        <f>H43-G43</f>
        <v>25.664999999999992</v>
      </c>
      <c r="J43" s="132">
        <f t="shared" si="1"/>
        <v>2.4972044999999992</v>
      </c>
      <c r="K43" s="189">
        <f t="shared" si="2"/>
        <v>49.944089999999981</v>
      </c>
      <c r="L43" s="132">
        <v>90.12</v>
      </c>
      <c r="M43" s="132">
        <v>2022</v>
      </c>
      <c r="N43" s="132">
        <v>2806</v>
      </c>
      <c r="O43" s="132">
        <v>138.41</v>
      </c>
      <c r="P43" s="132">
        <f t="shared" si="4"/>
        <v>48.289999999999992</v>
      </c>
      <c r="Q43" s="132"/>
      <c r="R43" s="190"/>
      <c r="S43" s="190"/>
      <c r="T43" s="132"/>
      <c r="U43" s="132"/>
      <c r="V43" s="132" t="s">
        <v>558</v>
      </c>
      <c r="W43" s="132" t="s">
        <v>455</v>
      </c>
      <c r="X43" s="132"/>
    </row>
    <row r="44" spans="1:24" s="53" customFormat="1" x14ac:dyDescent="0.55000000000000004">
      <c r="A44" s="129">
        <v>24</v>
      </c>
      <c r="B44" s="129"/>
      <c r="C44" s="191" t="s">
        <v>444</v>
      </c>
      <c r="D44" s="191" t="s">
        <v>298</v>
      </c>
      <c r="E44" s="191" t="s">
        <v>120</v>
      </c>
      <c r="F44" s="191" t="s">
        <v>89</v>
      </c>
      <c r="G44" s="129">
        <v>87.177999999999997</v>
      </c>
      <c r="H44" s="129">
        <v>104.255</v>
      </c>
      <c r="I44" s="129">
        <f t="shared" si="0"/>
        <v>17.076999999999998</v>
      </c>
      <c r="J44" s="129">
        <f t="shared" si="1"/>
        <v>1.6615920999999998</v>
      </c>
      <c r="K44" s="186">
        <f t="shared" si="2"/>
        <v>33.231841999999993</v>
      </c>
      <c r="L44" s="129">
        <v>90.12</v>
      </c>
      <c r="M44" s="129">
        <v>3272</v>
      </c>
      <c r="N44" s="129">
        <v>3987</v>
      </c>
      <c r="O44" s="129">
        <v>196.66</v>
      </c>
      <c r="P44" s="129">
        <f t="shared" si="4"/>
        <v>106.53999999999999</v>
      </c>
      <c r="Q44" s="129" t="s">
        <v>1115</v>
      </c>
      <c r="R44" s="188"/>
      <c r="S44" s="188"/>
      <c r="T44" s="129"/>
      <c r="U44" s="129"/>
      <c r="V44" s="129" t="s">
        <v>454</v>
      </c>
      <c r="W44" s="129" t="s">
        <v>558</v>
      </c>
      <c r="X44" s="129"/>
    </row>
    <row r="45" spans="1:24" s="51" customFormat="1" x14ac:dyDescent="0.55000000000000004">
      <c r="A45" s="132">
        <v>25</v>
      </c>
      <c r="B45" s="132"/>
      <c r="C45" s="193" t="s">
        <v>445</v>
      </c>
      <c r="D45" s="193" t="s">
        <v>298</v>
      </c>
      <c r="E45" s="193" t="s">
        <v>120</v>
      </c>
      <c r="F45" s="193" t="s">
        <v>89</v>
      </c>
      <c r="G45" s="132">
        <v>87.177999999999997</v>
      </c>
      <c r="H45" s="132">
        <v>92.622</v>
      </c>
      <c r="I45" s="132">
        <f t="shared" si="0"/>
        <v>5.4440000000000026</v>
      </c>
      <c r="J45" s="132">
        <f t="shared" si="1"/>
        <v>0.52970120000000021</v>
      </c>
      <c r="K45" s="189">
        <f t="shared" si="2"/>
        <v>10.594024000000005</v>
      </c>
      <c r="L45" s="132">
        <v>90.12</v>
      </c>
      <c r="M45" s="132">
        <v>3272</v>
      </c>
      <c r="N45" s="132">
        <v>5554</v>
      </c>
      <c r="O45" s="132">
        <v>273.95</v>
      </c>
      <c r="P45" s="132">
        <f t="shared" si="4"/>
        <v>183.82999999999998</v>
      </c>
      <c r="Q45" s="132" t="s">
        <v>1116</v>
      </c>
      <c r="R45" s="190"/>
      <c r="S45" s="190"/>
      <c r="T45" s="132"/>
      <c r="U45" s="132"/>
      <c r="V45" s="132" t="s">
        <v>454</v>
      </c>
      <c r="W45" s="132" t="s">
        <v>455</v>
      </c>
      <c r="X45" s="132"/>
    </row>
    <row r="46" spans="1:24" s="53" customFormat="1" x14ac:dyDescent="0.55000000000000004">
      <c r="A46" s="129">
        <v>26</v>
      </c>
      <c r="B46" s="129">
        <v>24</v>
      </c>
      <c r="C46" s="129" t="s">
        <v>306</v>
      </c>
      <c r="D46" s="129" t="s">
        <v>305</v>
      </c>
      <c r="E46" s="129" t="s">
        <v>304</v>
      </c>
      <c r="F46" s="129" t="s">
        <v>89</v>
      </c>
      <c r="G46" s="129">
        <v>83.942999999999998</v>
      </c>
      <c r="H46" s="129">
        <v>94.263999999999996</v>
      </c>
      <c r="I46" s="129">
        <f t="shared" si="0"/>
        <v>10.320999999999998</v>
      </c>
      <c r="J46" s="129">
        <f t="shared" si="1"/>
        <v>1.0042332999999999</v>
      </c>
      <c r="K46" s="186">
        <f t="shared" si="2"/>
        <v>20.084665999999999</v>
      </c>
      <c r="L46" s="129" t="s">
        <v>83</v>
      </c>
      <c r="M46" s="129">
        <v>235</v>
      </c>
      <c r="N46" s="129">
        <v>3239</v>
      </c>
      <c r="O46" s="129">
        <v>161.77000000000001</v>
      </c>
      <c r="P46" s="132"/>
      <c r="Q46" s="129" t="s">
        <v>1117</v>
      </c>
      <c r="R46" s="129">
        <v>9</v>
      </c>
      <c r="S46" s="129">
        <v>1</v>
      </c>
      <c r="T46" s="129">
        <f t="shared" si="3"/>
        <v>0.1111111111111111</v>
      </c>
      <c r="U46" s="129"/>
      <c r="V46" s="129" t="s">
        <v>454</v>
      </c>
      <c r="W46" s="129" t="s">
        <v>558</v>
      </c>
      <c r="X46" s="129"/>
    </row>
    <row r="47" spans="1:24" s="53" customFormat="1" x14ac:dyDescent="0.55000000000000004">
      <c r="A47" s="195">
        <v>27</v>
      </c>
      <c r="B47" s="195"/>
      <c r="C47" s="195" t="s">
        <v>307</v>
      </c>
      <c r="D47" s="195" t="s">
        <v>305</v>
      </c>
      <c r="E47" s="195" t="s">
        <v>304</v>
      </c>
      <c r="F47" s="195" t="s">
        <v>89</v>
      </c>
      <c r="G47" s="195">
        <v>84.046999999999997</v>
      </c>
      <c r="H47" s="195">
        <v>93.256</v>
      </c>
      <c r="I47" s="195">
        <f t="shared" si="0"/>
        <v>9.2090000000000032</v>
      </c>
      <c r="J47" s="195">
        <f t="shared" si="1"/>
        <v>0.89603570000000032</v>
      </c>
      <c r="K47" s="196">
        <f t="shared" si="2"/>
        <v>17.920714000000007</v>
      </c>
      <c r="L47" s="195" t="s">
        <v>83</v>
      </c>
      <c r="M47" s="195">
        <v>3575</v>
      </c>
      <c r="N47" s="195">
        <v>3935</v>
      </c>
      <c r="O47" s="195">
        <v>196.53</v>
      </c>
      <c r="P47" s="132"/>
      <c r="Q47" s="195"/>
      <c r="R47" s="197"/>
      <c r="S47" s="197"/>
      <c r="T47" s="129"/>
      <c r="U47" s="195"/>
      <c r="V47" s="129" t="s">
        <v>454</v>
      </c>
      <c r="W47" s="129" t="s">
        <v>558</v>
      </c>
      <c r="X47" s="129"/>
    </row>
    <row r="48" spans="1:24" x14ac:dyDescent="0.55000000000000004">
      <c r="A48" s="114"/>
      <c r="B48" s="114">
        <v>25</v>
      </c>
      <c r="C48" s="121" t="s">
        <v>1118</v>
      </c>
      <c r="D48" s="122" t="s">
        <v>1120</v>
      </c>
      <c r="E48" s="122" t="s">
        <v>1119</v>
      </c>
      <c r="F48" s="121" t="s">
        <v>89</v>
      </c>
      <c r="G48" s="122" t="s">
        <v>325</v>
      </c>
      <c r="H48" s="114"/>
      <c r="I48" s="114"/>
      <c r="J48" s="114"/>
      <c r="K48" s="139"/>
      <c r="L48" s="153">
        <v>108.72</v>
      </c>
      <c r="M48" s="114"/>
      <c r="N48" s="114"/>
      <c r="O48" s="114"/>
      <c r="P48" s="132"/>
      <c r="Q48" s="114"/>
      <c r="R48" s="114">
        <v>5</v>
      </c>
      <c r="S48" s="114">
        <v>0</v>
      </c>
      <c r="T48" s="114">
        <f t="shared" si="3"/>
        <v>0</v>
      </c>
      <c r="U48" s="114"/>
      <c r="V48" s="133"/>
      <c r="W48" s="133"/>
      <c r="X48" s="114"/>
    </row>
    <row r="49" spans="1:24" x14ac:dyDescent="0.55000000000000004">
      <c r="A49" s="114"/>
      <c r="B49" s="114">
        <v>26</v>
      </c>
      <c r="C49" s="121" t="s">
        <v>1121</v>
      </c>
      <c r="D49" s="122" t="s">
        <v>1124</v>
      </c>
      <c r="E49" s="122" t="s">
        <v>1119</v>
      </c>
      <c r="F49" s="121" t="s">
        <v>89</v>
      </c>
      <c r="G49" s="122" t="s">
        <v>325</v>
      </c>
      <c r="H49" s="114"/>
      <c r="I49" s="114"/>
      <c r="J49" s="114"/>
      <c r="K49" s="139"/>
      <c r="L49" s="153">
        <v>44.03</v>
      </c>
      <c r="M49" s="114"/>
      <c r="N49" s="114"/>
      <c r="O49" s="114"/>
      <c r="P49" s="132"/>
      <c r="Q49" s="114"/>
      <c r="R49" s="114">
        <v>5</v>
      </c>
      <c r="S49" s="114">
        <v>0</v>
      </c>
      <c r="T49" s="114">
        <f t="shared" si="3"/>
        <v>0</v>
      </c>
      <c r="U49" s="114"/>
      <c r="V49" s="133"/>
      <c r="W49" s="133"/>
      <c r="X49" s="114"/>
    </row>
    <row r="50" spans="1:24" s="51" customFormat="1" x14ac:dyDescent="0.55000000000000004">
      <c r="A50" s="132">
        <v>28</v>
      </c>
      <c r="B50" s="132"/>
      <c r="C50" s="132" t="s">
        <v>1122</v>
      </c>
      <c r="D50" s="193" t="s">
        <v>1124</v>
      </c>
      <c r="E50" s="193" t="s">
        <v>1119</v>
      </c>
      <c r="F50" s="132" t="s">
        <v>89</v>
      </c>
      <c r="G50" s="193">
        <v>75.816000000000003</v>
      </c>
      <c r="H50" s="193">
        <v>84.271000000000001</v>
      </c>
      <c r="I50" s="132">
        <f t="shared" si="0"/>
        <v>8.4549999999999983</v>
      </c>
      <c r="J50" s="132">
        <f t="shared" si="1"/>
        <v>0.82267149999999978</v>
      </c>
      <c r="K50" s="189">
        <f t="shared" si="2"/>
        <v>16.453429999999997</v>
      </c>
      <c r="L50" s="193">
        <v>77.19</v>
      </c>
      <c r="M50" s="193">
        <v>1707</v>
      </c>
      <c r="N50" s="193">
        <v>3152</v>
      </c>
      <c r="O50" s="193">
        <v>160.25</v>
      </c>
      <c r="P50" s="121">
        <f t="shared" si="4"/>
        <v>83.06</v>
      </c>
      <c r="Q50" s="132"/>
      <c r="R50" s="193">
        <v>1</v>
      </c>
      <c r="S50" s="193">
        <v>0</v>
      </c>
      <c r="T50" s="132">
        <f t="shared" si="3"/>
        <v>0</v>
      </c>
      <c r="U50" s="132"/>
      <c r="V50" s="132" t="s">
        <v>455</v>
      </c>
      <c r="W50" s="132"/>
      <c r="X50" s="132"/>
    </row>
    <row r="51" spans="1:24" s="107" customFormat="1" x14ac:dyDescent="0.55000000000000004">
      <c r="A51" s="137"/>
      <c r="B51" s="137"/>
      <c r="C51" s="134" t="s">
        <v>1123</v>
      </c>
      <c r="D51" s="169" t="s">
        <v>1124</v>
      </c>
      <c r="E51" s="169" t="s">
        <v>1119</v>
      </c>
      <c r="F51" s="134" t="s">
        <v>89</v>
      </c>
      <c r="G51" s="169">
        <v>81.697000000000003</v>
      </c>
      <c r="H51" s="169">
        <v>89.572999999999993</v>
      </c>
      <c r="I51" s="134">
        <f t="shared" si="0"/>
        <v>7.8759999999999906</v>
      </c>
      <c r="J51" s="134">
        <f t="shared" si="1"/>
        <v>0.76633479999999909</v>
      </c>
      <c r="K51" s="141">
        <f t="shared" si="2"/>
        <v>15.326695999999982</v>
      </c>
      <c r="L51" s="169">
        <v>77.19</v>
      </c>
      <c r="M51" s="169">
        <v>1707</v>
      </c>
      <c r="N51" s="169">
        <v>3152</v>
      </c>
      <c r="O51" s="169">
        <v>160.25</v>
      </c>
      <c r="P51" s="121">
        <f t="shared" si="4"/>
        <v>83.06</v>
      </c>
      <c r="Q51" s="134"/>
      <c r="R51" s="169">
        <v>5</v>
      </c>
      <c r="S51" s="169">
        <v>1</v>
      </c>
      <c r="T51" s="114">
        <f t="shared" si="3"/>
        <v>0.2</v>
      </c>
      <c r="U51" s="134"/>
      <c r="V51" s="135"/>
      <c r="W51" s="135"/>
      <c r="X51" s="134"/>
    </row>
    <row r="52" spans="1:24" s="107" customFormat="1" x14ac:dyDescent="0.55000000000000004">
      <c r="A52" s="174">
        <v>29</v>
      </c>
      <c r="B52" s="137">
        <v>27</v>
      </c>
      <c r="C52" s="121" t="s">
        <v>1163</v>
      </c>
      <c r="D52" s="176"/>
      <c r="E52" t="s">
        <v>1151</v>
      </c>
      <c r="F52" s="121" t="s">
        <v>89</v>
      </c>
      <c r="G52" s="176">
        <v>89.900999999999996</v>
      </c>
      <c r="H52" s="176">
        <v>93.766000000000005</v>
      </c>
      <c r="I52" s="137">
        <f t="shared" si="0"/>
        <v>3.8650000000000091</v>
      </c>
      <c r="J52" s="137">
        <f t="shared" si="1"/>
        <v>0.37606450000000086</v>
      </c>
      <c r="K52" s="143">
        <f t="shared" si="2"/>
        <v>7.5212900000000174</v>
      </c>
      <c r="L52" s="176">
        <v>26.74</v>
      </c>
      <c r="M52" s="176">
        <v>215</v>
      </c>
      <c r="N52" s="176">
        <v>1737</v>
      </c>
      <c r="O52" s="176"/>
      <c r="P52" s="121"/>
      <c r="Q52" s="137" t="s">
        <v>1162</v>
      </c>
      <c r="R52" s="176">
        <v>10</v>
      </c>
      <c r="S52" s="176">
        <v>2</v>
      </c>
      <c r="T52" s="176">
        <f t="shared" si="3"/>
        <v>0.2</v>
      </c>
      <c r="U52" s="134"/>
      <c r="V52" s="177" t="s">
        <v>455</v>
      </c>
      <c r="W52" s="178"/>
      <c r="X52" s="172"/>
    </row>
    <row r="53" spans="1:24" s="53" customFormat="1" x14ac:dyDescent="0.55000000000000004">
      <c r="A53" s="198">
        <v>30</v>
      </c>
      <c r="B53" s="129"/>
      <c r="C53" s="129" t="s">
        <v>1164</v>
      </c>
      <c r="D53" s="191"/>
      <c r="E53" s="53" t="s">
        <v>1151</v>
      </c>
      <c r="F53" s="129" t="s">
        <v>89</v>
      </c>
      <c r="G53" s="191">
        <v>89.900999999999996</v>
      </c>
      <c r="H53" s="191">
        <v>100.535</v>
      </c>
      <c r="I53" s="129">
        <f t="shared" si="0"/>
        <v>10.634</v>
      </c>
      <c r="J53" s="129">
        <f t="shared" si="1"/>
        <v>1.0346881999999999</v>
      </c>
      <c r="K53" s="186">
        <f t="shared" si="2"/>
        <v>20.693763999999998</v>
      </c>
      <c r="L53" s="191">
        <v>26.74</v>
      </c>
      <c r="M53" s="191">
        <v>215</v>
      </c>
      <c r="N53" s="191">
        <v>2460</v>
      </c>
      <c r="O53" s="191"/>
      <c r="P53" s="121"/>
      <c r="Q53" s="129" t="s">
        <v>1165</v>
      </c>
      <c r="R53" s="188"/>
      <c r="S53" s="188"/>
      <c r="T53" s="191"/>
      <c r="U53" s="129"/>
      <c r="V53" s="199" t="s">
        <v>1153</v>
      </c>
      <c r="W53" s="199" t="s">
        <v>558</v>
      </c>
      <c r="X53" s="198"/>
    </row>
    <row r="54" spans="1:24" s="107" customFormat="1" x14ac:dyDescent="0.55000000000000004">
      <c r="A54" s="174"/>
      <c r="B54" s="137">
        <v>28</v>
      </c>
      <c r="C54" s="121" t="s">
        <v>1143</v>
      </c>
      <c r="D54" s="176"/>
      <c r="E54" t="s">
        <v>1151</v>
      </c>
      <c r="F54" s="121" t="s">
        <v>89</v>
      </c>
      <c r="G54" s="114" t="s">
        <v>1018</v>
      </c>
      <c r="H54" s="176"/>
      <c r="I54" s="129"/>
      <c r="J54" s="129"/>
      <c r="K54" s="186"/>
      <c r="Q54" s="137"/>
      <c r="R54" s="176">
        <v>7</v>
      </c>
      <c r="S54" s="176">
        <v>1</v>
      </c>
      <c r="T54" s="176">
        <f t="shared" si="3"/>
        <v>0.14285714285714285</v>
      </c>
      <c r="U54" s="114" t="s">
        <v>1166</v>
      </c>
      <c r="V54" s="178"/>
      <c r="W54" s="178"/>
      <c r="X54" s="172"/>
    </row>
    <row r="55" spans="1:24" s="107" customFormat="1" x14ac:dyDescent="0.55000000000000004">
      <c r="A55" s="174">
        <v>31</v>
      </c>
      <c r="B55" s="174">
        <v>29</v>
      </c>
      <c r="C55" s="206" t="s">
        <v>1293</v>
      </c>
      <c r="D55" s="207"/>
      <c r="E55" t="s">
        <v>1292</v>
      </c>
      <c r="F55" s="121" t="s">
        <v>384</v>
      </c>
      <c r="G55" s="179">
        <v>79.207999999999998</v>
      </c>
      <c r="H55" s="208">
        <v>92.521000000000001</v>
      </c>
      <c r="I55" s="121">
        <f t="shared" si="0"/>
        <v>13.313000000000002</v>
      </c>
      <c r="J55" s="121">
        <f t="shared" si="1"/>
        <v>1.2953549000000002</v>
      </c>
      <c r="K55" s="139">
        <f t="shared" si="2"/>
        <v>25.907098000000005</v>
      </c>
      <c r="L55" s="176">
        <v>57.26</v>
      </c>
      <c r="M55" s="176">
        <v>1395</v>
      </c>
      <c r="N55" s="176">
        <v>2069</v>
      </c>
      <c r="O55" s="176">
        <v>105.22</v>
      </c>
      <c r="P55" s="121">
        <f t="shared" ref="P55:P65" si="5">O55-L55</f>
        <v>47.96</v>
      </c>
      <c r="Q55" s="174" t="s">
        <v>1296</v>
      </c>
      <c r="R55" s="207">
        <v>14</v>
      </c>
      <c r="S55" s="207">
        <v>4</v>
      </c>
      <c r="T55" s="207"/>
      <c r="U55" s="173"/>
      <c r="V55" s="207" t="s">
        <v>558</v>
      </c>
      <c r="W55" s="207" t="s">
        <v>558</v>
      </c>
      <c r="X55" s="172"/>
    </row>
    <row r="56" spans="1:24" s="107" customFormat="1" x14ac:dyDescent="0.55000000000000004">
      <c r="A56" s="174">
        <v>32</v>
      </c>
      <c r="B56" s="174"/>
      <c r="C56" s="206" t="s">
        <v>1294</v>
      </c>
      <c r="D56" s="207"/>
      <c r="E56" t="s">
        <v>1292</v>
      </c>
      <c r="F56" s="121" t="s">
        <v>384</v>
      </c>
      <c r="G56" s="179">
        <v>79.207999999999998</v>
      </c>
      <c r="H56" s="208">
        <v>100.33499999999999</v>
      </c>
      <c r="I56" s="121">
        <f t="shared" si="0"/>
        <v>21.126999999999995</v>
      </c>
      <c r="J56" s="121">
        <f t="shared" si="1"/>
        <v>2.0556570999999995</v>
      </c>
      <c r="K56" s="139">
        <f t="shared" si="2"/>
        <v>41.113141999999989</v>
      </c>
      <c r="L56" s="176">
        <v>57.26</v>
      </c>
      <c r="M56" s="176">
        <v>1395</v>
      </c>
      <c r="N56" s="176">
        <v>2535</v>
      </c>
      <c r="O56" s="176">
        <v>128.91999999999999</v>
      </c>
      <c r="P56" s="121">
        <f t="shared" si="5"/>
        <v>71.66</v>
      </c>
      <c r="Q56" s="174" t="s">
        <v>1296</v>
      </c>
      <c r="R56" s="209"/>
      <c r="S56" s="209"/>
      <c r="T56" s="207"/>
      <c r="U56" s="173"/>
      <c r="V56" s="207" t="s">
        <v>558</v>
      </c>
      <c r="W56" s="207" t="s">
        <v>558</v>
      </c>
      <c r="X56" s="172"/>
    </row>
    <row r="57" spans="1:24" s="107" customFormat="1" x14ac:dyDescent="0.55000000000000004">
      <c r="A57" s="174">
        <v>33</v>
      </c>
      <c r="B57" s="174"/>
      <c r="C57" s="206" t="s">
        <v>1295</v>
      </c>
      <c r="D57" s="207"/>
      <c r="E57" t="s">
        <v>1292</v>
      </c>
      <c r="F57" s="121" t="s">
        <v>384</v>
      </c>
      <c r="G57" s="179">
        <v>81.317999999999998</v>
      </c>
      <c r="H57" s="208">
        <v>112.925</v>
      </c>
      <c r="I57" s="121">
        <f t="shared" si="0"/>
        <v>31.606999999999999</v>
      </c>
      <c r="J57" s="121">
        <f t="shared" si="1"/>
        <v>3.0753610999999998</v>
      </c>
      <c r="K57" s="139">
        <f t="shared" si="2"/>
        <v>61.507221999999999</v>
      </c>
      <c r="L57" s="176">
        <v>57.26</v>
      </c>
      <c r="M57" s="176">
        <v>519</v>
      </c>
      <c r="N57" s="176">
        <v>3691</v>
      </c>
      <c r="O57" s="176">
        <v>187.71</v>
      </c>
      <c r="P57" s="121">
        <f t="shared" si="5"/>
        <v>130.45000000000002</v>
      </c>
      <c r="Q57" s="174" t="s">
        <v>1297</v>
      </c>
      <c r="R57" s="209"/>
      <c r="S57" s="209"/>
      <c r="T57" s="207"/>
      <c r="U57" s="173"/>
      <c r="V57" s="207" t="s">
        <v>558</v>
      </c>
      <c r="W57" s="207" t="s">
        <v>558</v>
      </c>
      <c r="X57" s="172"/>
    </row>
    <row r="58" spans="1:24" s="107" customFormat="1" x14ac:dyDescent="0.55000000000000004">
      <c r="A58" s="174">
        <v>34</v>
      </c>
      <c r="B58" s="174"/>
      <c r="C58" s="206" t="s">
        <v>1298</v>
      </c>
      <c r="D58" s="207"/>
      <c r="E58" t="s">
        <v>1292</v>
      </c>
      <c r="F58" s="121" t="s">
        <v>384</v>
      </c>
      <c r="G58" s="179">
        <v>81.317999999999998</v>
      </c>
      <c r="H58" s="208">
        <v>93.055000000000007</v>
      </c>
      <c r="I58" s="121">
        <f t="shared" si="0"/>
        <v>11.737000000000009</v>
      </c>
      <c r="J58" s="121">
        <f t="shared" si="1"/>
        <v>1.1420101000000009</v>
      </c>
      <c r="K58" s="139">
        <f t="shared" si="2"/>
        <v>22.840202000000019</v>
      </c>
      <c r="L58" s="176">
        <v>57.26</v>
      </c>
      <c r="M58" s="176">
        <v>519</v>
      </c>
      <c r="N58" s="176">
        <v>4031</v>
      </c>
      <c r="O58" s="176">
        <v>205</v>
      </c>
      <c r="P58" s="121">
        <f t="shared" si="5"/>
        <v>147.74</v>
      </c>
      <c r="Q58" s="174" t="s">
        <v>1299</v>
      </c>
      <c r="R58" s="209"/>
      <c r="S58" s="209"/>
      <c r="T58" s="207"/>
      <c r="U58" s="173"/>
      <c r="V58" s="207" t="s">
        <v>558</v>
      </c>
      <c r="W58" s="207" t="s">
        <v>558</v>
      </c>
      <c r="X58" s="172"/>
    </row>
    <row r="59" spans="1:24" s="107" customFormat="1" x14ac:dyDescent="0.55000000000000004">
      <c r="A59" s="174">
        <v>35</v>
      </c>
      <c r="B59" s="174">
        <v>30</v>
      </c>
      <c r="C59" s="206" t="s">
        <v>1301</v>
      </c>
      <c r="D59" s="207"/>
      <c r="E59" t="s">
        <v>1292</v>
      </c>
      <c r="F59" s="121" t="s">
        <v>384</v>
      </c>
      <c r="G59" s="179">
        <v>78.138000000000005</v>
      </c>
      <c r="H59" s="208">
        <v>90.683000000000007</v>
      </c>
      <c r="I59" s="121">
        <f t="shared" si="0"/>
        <v>12.545000000000002</v>
      </c>
      <c r="J59" s="121">
        <f t="shared" si="1"/>
        <v>1.2206285000000001</v>
      </c>
      <c r="K59" s="139">
        <f t="shared" si="2"/>
        <v>24.412570000000002</v>
      </c>
      <c r="L59" s="207">
        <v>0.95</v>
      </c>
      <c r="M59" s="207">
        <v>287</v>
      </c>
      <c r="N59" s="207">
        <v>1454</v>
      </c>
      <c r="O59" s="207">
        <v>73.069999999999993</v>
      </c>
      <c r="P59" s="174">
        <f t="shared" si="5"/>
        <v>72.11999999999999</v>
      </c>
      <c r="Q59" s="174" t="s">
        <v>1303</v>
      </c>
      <c r="R59" s="207">
        <v>7</v>
      </c>
      <c r="S59" s="207">
        <v>2</v>
      </c>
      <c r="T59" s="207"/>
      <c r="U59" s="173"/>
      <c r="V59" s="207"/>
      <c r="W59" s="207"/>
      <c r="X59" s="172"/>
    </row>
    <row r="60" spans="1:24" s="107" customFormat="1" x14ac:dyDescent="0.55000000000000004">
      <c r="A60" s="174">
        <v>36</v>
      </c>
      <c r="B60" s="174"/>
      <c r="C60" s="206" t="s">
        <v>1300</v>
      </c>
      <c r="D60" s="207"/>
      <c r="E60" t="s">
        <v>1292</v>
      </c>
      <c r="F60" s="121" t="s">
        <v>384</v>
      </c>
      <c r="G60" s="179">
        <v>78.138000000000005</v>
      </c>
      <c r="H60" s="208">
        <v>86.909000000000006</v>
      </c>
      <c r="I60" s="121">
        <f>H60-G60</f>
        <v>8.7710000000000008</v>
      </c>
      <c r="J60" s="121">
        <f>I60*0.0973</f>
        <v>0.85341830000000007</v>
      </c>
      <c r="K60" s="139">
        <f>J60*20</f>
        <v>17.068366000000001</v>
      </c>
      <c r="L60" s="207">
        <v>0.95</v>
      </c>
      <c r="M60" s="207">
        <v>287</v>
      </c>
      <c r="N60" s="207">
        <v>3532</v>
      </c>
      <c r="O60" s="207">
        <v>177.5</v>
      </c>
      <c r="P60" s="174">
        <f t="shared" si="5"/>
        <v>176.55</v>
      </c>
      <c r="Q60" s="174" t="s">
        <v>1302</v>
      </c>
      <c r="R60" s="209"/>
      <c r="S60" s="209"/>
      <c r="T60" s="207"/>
      <c r="U60" s="173"/>
      <c r="V60" s="207"/>
      <c r="W60" s="207"/>
      <c r="X60" s="172"/>
    </row>
    <row r="61" spans="1:24" s="107" customFormat="1" x14ac:dyDescent="0.55000000000000004">
      <c r="A61" s="174"/>
      <c r="B61" s="174"/>
      <c r="C61" s="206" t="s">
        <v>1291</v>
      </c>
      <c r="D61" s="207"/>
      <c r="E61" t="s">
        <v>1292</v>
      </c>
      <c r="F61" s="121" t="s">
        <v>384</v>
      </c>
      <c r="G61" s="179" t="s">
        <v>47</v>
      </c>
      <c r="H61" s="208"/>
      <c r="I61" s="121"/>
      <c r="J61" s="121"/>
      <c r="K61" s="139"/>
      <c r="L61" s="207"/>
      <c r="M61" s="207"/>
      <c r="N61" s="207"/>
      <c r="O61" s="207"/>
      <c r="P61" s="174"/>
      <c r="Q61" s="174" t="s">
        <v>1304</v>
      </c>
      <c r="R61" s="209"/>
      <c r="S61" s="209"/>
      <c r="T61" s="207"/>
      <c r="U61" s="173"/>
      <c r="V61" s="207"/>
      <c r="W61" s="207"/>
      <c r="X61" s="172"/>
    </row>
    <row r="62" spans="1:24" s="107" customFormat="1" x14ac:dyDescent="0.55000000000000004">
      <c r="A62" s="174">
        <v>37</v>
      </c>
      <c r="B62" s="174">
        <v>31</v>
      </c>
      <c r="C62" s="206" t="s">
        <v>1307</v>
      </c>
      <c r="D62" s="207"/>
      <c r="E62" t="s">
        <v>1292</v>
      </c>
      <c r="F62" s="121" t="s">
        <v>384</v>
      </c>
      <c r="G62" s="179">
        <v>89.045000000000002</v>
      </c>
      <c r="H62" s="208">
        <v>96.870999999999995</v>
      </c>
      <c r="I62" s="121">
        <f t="shared" si="0"/>
        <v>7.8259999999999934</v>
      </c>
      <c r="J62" s="121">
        <f t="shared" si="1"/>
        <v>0.76146979999999931</v>
      </c>
      <c r="K62" s="139">
        <f t="shared" si="2"/>
        <v>15.229395999999987</v>
      </c>
      <c r="L62" s="207" t="s">
        <v>83</v>
      </c>
      <c r="M62" s="207">
        <v>72</v>
      </c>
      <c r="N62" s="207">
        <v>840</v>
      </c>
      <c r="O62" s="207">
        <v>41.8</v>
      </c>
      <c r="P62" s="174"/>
      <c r="Q62" s="174"/>
      <c r="R62" s="207">
        <v>9</v>
      </c>
      <c r="S62" s="207">
        <v>2</v>
      </c>
      <c r="T62" s="207"/>
      <c r="U62" s="173"/>
      <c r="V62" s="207"/>
      <c r="W62" s="207"/>
      <c r="X62" s="172"/>
    </row>
    <row r="63" spans="1:24" s="107" customFormat="1" x14ac:dyDescent="0.55000000000000004">
      <c r="A63" s="174">
        <v>38</v>
      </c>
      <c r="B63" s="174"/>
      <c r="C63" s="206" t="s">
        <v>1305</v>
      </c>
      <c r="D63" s="207"/>
      <c r="E63" t="s">
        <v>1292</v>
      </c>
      <c r="F63" s="121" t="s">
        <v>384</v>
      </c>
      <c r="G63" s="179">
        <v>81.433000000000007</v>
      </c>
      <c r="H63" s="208">
        <v>81.867999999999995</v>
      </c>
      <c r="I63" s="121">
        <f>H63-G63</f>
        <v>0.43499999999998806</v>
      </c>
      <c r="J63" s="121">
        <f>I63*0.0973</f>
        <v>4.2325499999998836E-2</v>
      </c>
      <c r="K63" s="139">
        <f>J63*20</f>
        <v>0.84650999999997678</v>
      </c>
      <c r="L63" s="207" t="s">
        <v>83</v>
      </c>
      <c r="M63" s="207">
        <v>1022</v>
      </c>
      <c r="N63" s="207">
        <v>2117</v>
      </c>
      <c r="O63" s="207">
        <v>105.33</v>
      </c>
      <c r="P63" s="174"/>
      <c r="Q63" s="174"/>
      <c r="R63" s="209"/>
      <c r="S63" s="209"/>
      <c r="T63" s="207"/>
      <c r="U63" s="173"/>
      <c r="V63" s="207"/>
      <c r="W63" s="207"/>
      <c r="X63" s="172"/>
    </row>
    <row r="64" spans="1:24" s="111" customFormat="1" x14ac:dyDescent="0.55000000000000004">
      <c r="A64" s="210"/>
      <c r="B64" s="210"/>
      <c r="C64" s="210" t="s">
        <v>1306</v>
      </c>
      <c r="D64" s="211"/>
      <c r="E64" s="111" t="s">
        <v>1292</v>
      </c>
      <c r="F64" s="124" t="s">
        <v>384</v>
      </c>
      <c r="G64" s="212">
        <v>86.424000000000007</v>
      </c>
      <c r="H64" s="213">
        <v>95.045000000000002</v>
      </c>
      <c r="I64" s="124">
        <f>H64-G64</f>
        <v>8.6209999999999951</v>
      </c>
      <c r="J64" s="124">
        <f>I64*0.0973</f>
        <v>0.83882329999999949</v>
      </c>
      <c r="K64" s="144">
        <f>J64*20</f>
        <v>16.776465999999989</v>
      </c>
      <c r="L64" s="211" t="s">
        <v>83</v>
      </c>
      <c r="M64" s="211">
        <v>1022</v>
      </c>
      <c r="N64" s="211">
        <v>2117</v>
      </c>
      <c r="O64" s="211">
        <v>105.33</v>
      </c>
      <c r="P64" s="174"/>
      <c r="Q64" s="210"/>
      <c r="R64" s="214"/>
      <c r="S64" s="214"/>
      <c r="T64" s="211"/>
      <c r="U64" s="210"/>
      <c r="V64" s="211"/>
      <c r="W64" s="211"/>
      <c r="X64" s="210"/>
    </row>
    <row r="65" spans="1:31" s="107" customFormat="1" x14ac:dyDescent="0.55000000000000004">
      <c r="A65" s="174">
        <v>39</v>
      </c>
      <c r="B65" s="174">
        <v>32</v>
      </c>
      <c r="C65" s="206" t="s">
        <v>1308</v>
      </c>
      <c r="D65" s="207"/>
      <c r="E65" t="s">
        <v>1292</v>
      </c>
      <c r="F65" s="121" t="s">
        <v>384</v>
      </c>
      <c r="G65" s="179">
        <v>84.224000000000004</v>
      </c>
      <c r="H65" s="107">
        <v>91.17</v>
      </c>
      <c r="I65" s="124">
        <f>H65-G65</f>
        <v>6.945999999999998</v>
      </c>
      <c r="J65" s="121">
        <f t="shared" si="1"/>
        <v>0.67584579999999983</v>
      </c>
      <c r="K65" s="139">
        <f t="shared" si="2"/>
        <v>13.516915999999997</v>
      </c>
      <c r="L65" s="207">
        <v>77.63</v>
      </c>
      <c r="M65" s="207">
        <v>1574</v>
      </c>
      <c r="N65" s="207">
        <v>2449</v>
      </c>
      <c r="O65" s="207">
        <v>123.38</v>
      </c>
      <c r="P65" s="174">
        <f t="shared" si="5"/>
        <v>45.75</v>
      </c>
      <c r="Q65" s="174"/>
      <c r="R65" s="207">
        <v>8</v>
      </c>
      <c r="S65" s="207">
        <v>1</v>
      </c>
      <c r="T65" s="207"/>
      <c r="U65" s="173"/>
      <c r="V65" s="207"/>
      <c r="W65" s="207"/>
      <c r="X65" s="172"/>
    </row>
    <row r="66" spans="1:31" s="111" customFormat="1" x14ac:dyDescent="0.55000000000000004">
      <c r="A66" s="210"/>
      <c r="B66" s="210"/>
      <c r="C66" s="210" t="s">
        <v>1309</v>
      </c>
      <c r="D66" s="211"/>
      <c r="E66" s="111" t="s">
        <v>1292</v>
      </c>
      <c r="F66" s="124" t="s">
        <v>384</v>
      </c>
      <c r="G66" s="213">
        <v>82.037000000000006</v>
      </c>
      <c r="H66" s="213">
        <v>90.001000000000005</v>
      </c>
      <c r="I66" s="124">
        <f>H66-G66</f>
        <v>7.9639999999999986</v>
      </c>
      <c r="J66" s="124">
        <f>I66*0.0973</f>
        <v>0.77489719999999984</v>
      </c>
      <c r="K66" s="144">
        <f>J66*20</f>
        <v>15.497943999999997</v>
      </c>
      <c r="L66" s="211">
        <v>77.63</v>
      </c>
      <c r="M66" s="211">
        <v>1574</v>
      </c>
      <c r="N66" s="211">
        <v>2449</v>
      </c>
      <c r="O66" s="211">
        <v>123.38</v>
      </c>
      <c r="P66" s="210">
        <f>O66-L66</f>
        <v>45.75</v>
      </c>
      <c r="Q66" s="210"/>
      <c r="R66" s="211">
        <v>8</v>
      </c>
      <c r="S66" s="211">
        <v>1</v>
      </c>
      <c r="T66" s="211"/>
      <c r="U66" s="210"/>
      <c r="V66" s="211"/>
      <c r="W66" s="211"/>
      <c r="X66" s="210"/>
    </row>
    <row r="67" spans="1:31" x14ac:dyDescent="0.55000000000000004">
      <c r="C67" s="206"/>
      <c r="E67" s="173"/>
      <c r="F67" s="173"/>
      <c r="G67" s="173"/>
      <c r="H67" s="173"/>
      <c r="I67" s="173"/>
      <c r="J67" t="s">
        <v>225</v>
      </c>
      <c r="K67" s="3">
        <f>(SUM(K3,K5,K7,K9:K10,K12,K14,K16,K18,K22:K30,K32,K40:K47,K50,K52:K53,K55:K60,K62:K63,K65))/(COUNT(K3,K5,K7,K9:K10,K12,K14,K16,K18,K22:K30,K32,K40:K47,K50,K52:K53,K55:K60,K62:K63,K65))</f>
        <v>26.967867589743591</v>
      </c>
      <c r="R67">
        <f>SUM(R3:R66)</f>
        <v>224</v>
      </c>
      <c r="S67">
        <f>SUM(S3:S66)</f>
        <v>49</v>
      </c>
      <c r="T67">
        <f>((SUM(T3,T6:T10,T13:T14,T16:T18,T20:T22,T26,T29:T30,T35:T36,T38:T40,T42,T46,T48:T51))/(COUNT(T3,T6:T10,T13:T14,T16:T18,T20:T22,T26,T29:T30,T35:T36,T38:T40,T42,T46,T48:T51)))*100</f>
        <v>24.13033395176252</v>
      </c>
      <c r="V67" t="s">
        <v>1153</v>
      </c>
      <c r="W67">
        <v>13</v>
      </c>
    </row>
    <row r="68" spans="1:31" x14ac:dyDescent="0.55000000000000004">
      <c r="C68" s="206"/>
      <c r="J68" t="s">
        <v>226</v>
      </c>
      <c r="K68" s="3">
        <f xml:space="preserve"> STDEV(K3,K5,K7,K9:K10,K12,K14,K16,K18,K22:K30,K32,K40:K47,K50,K52:K53,K55:K60,K62:K63,K65)/SQRT(COUNT(K3,K5,K7,K9:K10,K12,K14,K16,K18,K22:K30,K32,K40:K47,K50,K52:K53,K55:K60,K62:K63,K65))</f>
        <v>2.5995552758546059</v>
      </c>
      <c r="R68">
        <f>(S67/R67)*100</f>
        <v>21.875</v>
      </c>
      <c r="T68" s="3">
        <f xml:space="preserve"> (STDEV(T3,T6:T10,T13:T14,T16:T18,T20:T22,T26,T29:T30,T35:T36,T38:T40,T42,T46,T48:T51)/SQRT(COUNT(T3,T6:T10,T13:T14,T16:T18,T20:T22,T26,T29:T30,T35:T36,T38:T40,T42,T46,T48:T51)))*100</f>
        <v>4.4021824967676899</v>
      </c>
      <c r="V68" t="s">
        <v>1152</v>
      </c>
      <c r="W68">
        <v>18</v>
      </c>
    </row>
    <row r="69" spans="1:31" x14ac:dyDescent="0.55000000000000004">
      <c r="C69" s="206"/>
      <c r="W69">
        <f>W67/W68</f>
        <v>0.72222222222222221</v>
      </c>
    </row>
    <row r="70" spans="1:31" x14ac:dyDescent="0.55000000000000004">
      <c r="C70" s="206"/>
    </row>
    <row r="71" spans="1:31" x14ac:dyDescent="0.55000000000000004">
      <c r="C71" s="206"/>
      <c r="D71">
        <v>20.180019999999978</v>
      </c>
      <c r="E71">
        <v>57.562680000000022</v>
      </c>
      <c r="F71">
        <v>2.0471920000000128</v>
      </c>
      <c r="G71">
        <v>47.357855999999998</v>
      </c>
      <c r="H71">
        <v>21.476056000000003</v>
      </c>
      <c r="I71">
        <v>3.8102679999999967</v>
      </c>
      <c r="J71">
        <v>12.115796</v>
      </c>
      <c r="K71">
        <v>24.883502000000011</v>
      </c>
      <c r="L71">
        <v>52.604272000000023</v>
      </c>
      <c r="M71">
        <v>45.653159999999986</v>
      </c>
      <c r="N71">
        <v>19.444432000000006</v>
      </c>
      <c r="O71">
        <v>9.4011259999999783</v>
      </c>
      <c r="P71">
        <v>49.412831999999995</v>
      </c>
      <c r="Q71">
        <v>34.648529999999987</v>
      </c>
      <c r="R71">
        <v>17.101447999999991</v>
      </c>
      <c r="S71">
        <v>41.642454000000001</v>
      </c>
      <c r="U71">
        <v>43.853110000000022</v>
      </c>
      <c r="V71">
        <v>27.193404000000005</v>
      </c>
      <c r="W71">
        <v>32.558525999999986</v>
      </c>
      <c r="X71">
        <v>45.75629799999998</v>
      </c>
      <c r="Y71">
        <v>32.827074000000003</v>
      </c>
      <c r="Z71">
        <v>49.944089999999981</v>
      </c>
      <c r="AA71">
        <v>33.231841999999993</v>
      </c>
      <c r="AB71">
        <v>10.594024000000005</v>
      </c>
      <c r="AC71">
        <v>20.084665999999999</v>
      </c>
      <c r="AD71">
        <v>17.920714000000007</v>
      </c>
      <c r="AE71">
        <v>16.453429999999997</v>
      </c>
    </row>
    <row r="72" spans="1:31" x14ac:dyDescent="0.55000000000000004">
      <c r="C72" s="206"/>
    </row>
    <row r="73" spans="1:31" x14ac:dyDescent="0.55000000000000004">
      <c r="C73" s="206"/>
    </row>
    <row r="74" spans="1:31" x14ac:dyDescent="0.55000000000000004">
      <c r="C74" s="206"/>
      <c r="J74" t="s">
        <v>1310</v>
      </c>
      <c r="K74" s="3">
        <f>(SUM(K3,K5,K7,K9:K10,K12,K14,K16,K18,K22:K30,K32,K40:K47,K50,K52:K53,K55:K60,K62:K63,K65))/(COUNT(K3,K5,K7,K9:K10,K12,K14,K16,K18,K22:K30,K32,K40:K47,K50,K52:K53,K55:K60,K62:K63,K65))</f>
        <v>26.967867589743591</v>
      </c>
      <c r="L74">
        <f xml:space="preserve"> STDEV(K3,K5,K7,K9:K10,K12,K14,K16,K18,K22:K30,K32,K40:K47,K50,K52:K53,K55:K60,K62:K63,K65)/SQRT(COUNT(K3,K5,K7,K9:K10,K12,K14,K16,K18,K22:K30,K32,K40:K47,K50,K52:K53,K55:K60,K62:K63,K65))</f>
        <v>2.5995552758546059</v>
      </c>
      <c r="Q74" t="s">
        <v>1310</v>
      </c>
      <c r="R74">
        <f>SUM(R3:R54)</f>
        <v>178</v>
      </c>
      <c r="S74">
        <f>SUM(S3:S54)</f>
        <v>39</v>
      </c>
      <c r="T74">
        <f>(S74/R74)*100</f>
        <v>21.910112359550563</v>
      </c>
    </row>
    <row r="75" spans="1:31" x14ac:dyDescent="0.55000000000000004">
      <c r="C75" s="206"/>
      <c r="J75" t="s">
        <v>1311</v>
      </c>
      <c r="K75" s="3">
        <f>(SUM(K55:K60,K62:K63,K65))/(COUNT(K55:K60,K62:K63,K65))</f>
        <v>24.715713555555556</v>
      </c>
      <c r="L75">
        <f xml:space="preserve"> STDEV(K55:K60,K62:K63,K65)/SQRT(COUNT(K55:K60,K62:K63,K65))</f>
        <v>5.8584503072487673</v>
      </c>
      <c r="Q75" t="s">
        <v>1311</v>
      </c>
      <c r="R75">
        <f>SUM(R55:R66)</f>
        <v>46</v>
      </c>
      <c r="S75">
        <f>SUM(S55:S66)</f>
        <v>10</v>
      </c>
      <c r="T75">
        <f>(S75/R75)*100</f>
        <v>21.739130434782609</v>
      </c>
    </row>
    <row r="76" spans="1:31" x14ac:dyDescent="0.55000000000000004">
      <c r="C76" s="206"/>
      <c r="D76">
        <v>59.760000000000005</v>
      </c>
      <c r="E76">
        <v>11.331557999999987</v>
      </c>
    </row>
    <row r="77" spans="1:31" x14ac:dyDescent="0.55000000000000004">
      <c r="C77" s="206"/>
      <c r="D77">
        <v>59.760000000000005</v>
      </c>
      <c r="E77">
        <v>0.920457999999998</v>
      </c>
    </row>
    <row r="78" spans="1:31" x14ac:dyDescent="0.55000000000000004">
      <c r="C78" s="206"/>
      <c r="D78">
        <v>95.77000000000001</v>
      </c>
      <c r="E78">
        <v>20.180019999999978</v>
      </c>
    </row>
    <row r="79" spans="1:31" x14ac:dyDescent="0.55000000000000004">
      <c r="D79">
        <v>34.97</v>
      </c>
      <c r="E79">
        <v>2.0471920000000128</v>
      </c>
    </row>
    <row r="80" spans="1:31" x14ac:dyDescent="0.55000000000000004">
      <c r="D80">
        <v>30.83</v>
      </c>
      <c r="E80">
        <v>3.8102679999999967</v>
      </c>
    </row>
    <row r="81" spans="3:5" x14ac:dyDescent="0.55000000000000004">
      <c r="D81">
        <v>33.86</v>
      </c>
      <c r="E81">
        <v>12.115796</v>
      </c>
    </row>
    <row r="82" spans="3:5" x14ac:dyDescent="0.55000000000000004">
      <c r="D82">
        <v>32.52000000000001</v>
      </c>
      <c r="E82">
        <v>24.883502000000011</v>
      </c>
    </row>
    <row r="83" spans="3:5" x14ac:dyDescent="0.55000000000000004">
      <c r="D83">
        <v>45.689999999999984</v>
      </c>
      <c r="E83">
        <v>52.604272000000023</v>
      </c>
    </row>
    <row r="84" spans="3:5" x14ac:dyDescent="0.55000000000000004">
      <c r="C84">
        <v>11.331557999999987</v>
      </c>
      <c r="D84">
        <v>86.21</v>
      </c>
      <c r="E84">
        <v>45.653159999999986</v>
      </c>
    </row>
    <row r="85" spans="3:5" x14ac:dyDescent="0.55000000000000004">
      <c r="D85">
        <v>95.689999999999984</v>
      </c>
      <c r="E85">
        <v>19.444432000000006</v>
      </c>
    </row>
    <row r="86" spans="3:5" x14ac:dyDescent="0.55000000000000004">
      <c r="D86">
        <v>101.54</v>
      </c>
      <c r="E86">
        <v>9.4011259999999783</v>
      </c>
    </row>
    <row r="87" spans="3:5" x14ac:dyDescent="0.55000000000000004">
      <c r="D87">
        <v>169.73</v>
      </c>
      <c r="E87">
        <v>41.642454000000001</v>
      </c>
    </row>
    <row r="88" spans="3:5" x14ac:dyDescent="0.55000000000000004">
      <c r="D88">
        <v>152.94</v>
      </c>
      <c r="E88">
        <v>43.853110000000022</v>
      </c>
    </row>
    <row r="89" spans="3:5" x14ac:dyDescent="0.55000000000000004">
      <c r="D89">
        <v>152.94</v>
      </c>
      <c r="E89">
        <v>31.548552000000004</v>
      </c>
    </row>
    <row r="90" spans="3:5" x14ac:dyDescent="0.55000000000000004">
      <c r="D90">
        <v>191.82999999999998</v>
      </c>
      <c r="E90">
        <v>27.193404000000005</v>
      </c>
    </row>
    <row r="112" spans="4:4" x14ac:dyDescent="0.55000000000000004">
      <c r="D112">
        <v>44.78</v>
      </c>
    </row>
    <row r="113" spans="3:4" x14ac:dyDescent="0.55000000000000004">
      <c r="D113">
        <v>42.450000000000017</v>
      </c>
    </row>
    <row r="114" spans="3:4" x14ac:dyDescent="0.55000000000000004">
      <c r="D114">
        <v>49.06</v>
      </c>
    </row>
    <row r="115" spans="3:4" x14ac:dyDescent="0.55000000000000004">
      <c r="D115">
        <v>40.199999999999989</v>
      </c>
    </row>
    <row r="116" spans="3:4" x14ac:dyDescent="0.55000000000000004">
      <c r="D116">
        <v>48.289999999999992</v>
      </c>
    </row>
    <row r="117" spans="3:4" x14ac:dyDescent="0.55000000000000004">
      <c r="D117">
        <v>106.53999999999999</v>
      </c>
    </row>
    <row r="118" spans="3:4" x14ac:dyDescent="0.55000000000000004">
      <c r="D118">
        <v>183.82999999999998</v>
      </c>
    </row>
    <row r="125" spans="3:4" x14ac:dyDescent="0.55000000000000004">
      <c r="C125">
        <v>-3.3646339999999988</v>
      </c>
    </row>
    <row r="126" spans="3:4" x14ac:dyDescent="0.55000000000000004">
      <c r="C126">
        <v>32.558525999999986</v>
      </c>
    </row>
    <row r="127" spans="3:4" x14ac:dyDescent="0.55000000000000004">
      <c r="C127">
        <v>45.75629799999998</v>
      </c>
    </row>
    <row r="128" spans="3:4" x14ac:dyDescent="0.55000000000000004">
      <c r="C128">
        <v>32.827074000000003</v>
      </c>
    </row>
    <row r="129" spans="3:3" x14ac:dyDescent="0.55000000000000004">
      <c r="C129">
        <v>49.944089999999981</v>
      </c>
    </row>
    <row r="130" spans="3:3" x14ac:dyDescent="0.55000000000000004">
      <c r="C130">
        <v>33.231841999999993</v>
      </c>
    </row>
    <row r="131" spans="3:3" x14ac:dyDescent="0.55000000000000004">
      <c r="C131">
        <v>10.594024000000005</v>
      </c>
    </row>
    <row r="132" spans="3:3" x14ac:dyDescent="0.55000000000000004">
      <c r="C132">
        <v>20.084665999999999</v>
      </c>
    </row>
    <row r="133" spans="3:3" x14ac:dyDescent="0.55000000000000004">
      <c r="C133">
        <v>17.920714000000007</v>
      </c>
    </row>
    <row r="136" spans="3:3" x14ac:dyDescent="0.55000000000000004">
      <c r="C136">
        <v>16.453429999999997</v>
      </c>
    </row>
    <row r="137" spans="3:3" x14ac:dyDescent="0.55000000000000004">
      <c r="C137">
        <v>15.326695999999982</v>
      </c>
    </row>
  </sheetData>
  <pageMargins left="0.7" right="0.7" top="0.75" bottom="0.75" header="0.3" footer="0.3"/>
  <pageSetup paperSize="9" orientation="portrait" horizontalDpi="4294967293" verticalDpi="0"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V37"/>
  <sheetViews>
    <sheetView zoomScale="55" zoomScaleNormal="55" workbookViewId="0">
      <selection activeCell="U29" sqref="U29:V29"/>
    </sheetView>
  </sheetViews>
  <sheetFormatPr defaultRowHeight="14.4" x14ac:dyDescent="0.55000000000000004"/>
  <cols>
    <col min="1" max="1" width="4" customWidth="1"/>
    <col min="2" max="2" width="3.68359375" customWidth="1"/>
    <col min="3" max="3" width="12.7890625" customWidth="1"/>
    <col min="4" max="4" width="3.26171875" customWidth="1"/>
    <col min="5" max="5" width="9.62890625" customWidth="1"/>
    <col min="7" max="7" width="11.89453125" customWidth="1"/>
    <col min="12" max="12" width="8.83984375" style="3"/>
  </cols>
  <sheetData>
    <row r="1" spans="1:21" ht="57.6" x14ac:dyDescent="0.55000000000000004">
      <c r="A1" t="s">
        <v>922</v>
      </c>
      <c r="B1" s="3" t="s">
        <v>973</v>
      </c>
      <c r="C1" s="2" t="s">
        <v>0</v>
      </c>
      <c r="D1" s="2" t="s">
        <v>1</v>
      </c>
      <c r="E1" s="2" t="s">
        <v>90</v>
      </c>
      <c r="F1" s="2" t="s">
        <v>88</v>
      </c>
      <c r="G1" s="2" t="s">
        <v>1412</v>
      </c>
      <c r="H1" s="2" t="s">
        <v>2</v>
      </c>
      <c r="I1" s="2" t="s">
        <v>3</v>
      </c>
      <c r="J1" s="2" t="s">
        <v>11</v>
      </c>
      <c r="K1" s="2" t="s">
        <v>12</v>
      </c>
      <c r="L1" s="2" t="s">
        <v>1267</v>
      </c>
      <c r="M1" s="2" t="s">
        <v>19</v>
      </c>
      <c r="N1" s="2" t="s">
        <v>10</v>
      </c>
      <c r="O1" s="2" t="s">
        <v>8</v>
      </c>
      <c r="P1" s="2" t="s">
        <v>9</v>
      </c>
      <c r="Q1" s="2" t="s">
        <v>123</v>
      </c>
      <c r="R1" s="2" t="s">
        <v>5</v>
      </c>
      <c r="S1" s="3" t="s">
        <v>355</v>
      </c>
      <c r="T1" s="3" t="s">
        <v>450</v>
      </c>
    </row>
    <row r="2" spans="1:21" s="6" customFormat="1" x14ac:dyDescent="0.55000000000000004">
      <c r="A2" s="6">
        <v>1</v>
      </c>
      <c r="C2" s="6" t="s">
        <v>1414</v>
      </c>
      <c r="E2" s="6" t="s">
        <v>1411</v>
      </c>
      <c r="F2" s="6" t="s">
        <v>89</v>
      </c>
      <c r="G2" s="6" t="s">
        <v>1413</v>
      </c>
      <c r="H2" s="6">
        <v>87.37</v>
      </c>
      <c r="I2" s="6">
        <v>86.376000000000005</v>
      </c>
      <c r="J2" s="6">
        <f t="shared" ref="J2:J8" si="0">I2-H2</f>
        <v>-0.99399999999999977</v>
      </c>
      <c r="K2" s="6">
        <f t="shared" ref="K2:K8" si="1">J2*0.0973</f>
        <v>-9.6716199999999974E-2</v>
      </c>
      <c r="L2" s="12">
        <f t="shared" ref="L2:L8" si="2">K2*20</f>
        <v>-1.9343239999999995</v>
      </c>
      <c r="M2" s="6">
        <v>7.48</v>
      </c>
      <c r="N2" s="6">
        <v>353</v>
      </c>
      <c r="O2" s="6">
        <v>963</v>
      </c>
      <c r="P2" s="6">
        <v>48.98</v>
      </c>
      <c r="Q2" s="6">
        <f t="shared" ref="Q2:Q8" si="3">P2-M2</f>
        <v>41.5</v>
      </c>
      <c r="R2" s="6" t="s">
        <v>1415</v>
      </c>
      <c r="S2" s="85">
        <v>13</v>
      </c>
      <c r="T2" s="85">
        <v>1</v>
      </c>
      <c r="U2" s="85">
        <f>T2/S2</f>
        <v>7.6923076923076927E-2</v>
      </c>
    </row>
    <row r="3" spans="1:21" s="31" customFormat="1" x14ac:dyDescent="0.55000000000000004">
      <c r="C3" s="31" t="s">
        <v>1416</v>
      </c>
      <c r="E3" s="31" t="s">
        <v>1411</v>
      </c>
      <c r="F3" s="31" t="s">
        <v>89</v>
      </c>
      <c r="G3" s="31" t="s">
        <v>1413</v>
      </c>
      <c r="H3" s="31">
        <v>82.284000000000006</v>
      </c>
      <c r="I3" s="31">
        <v>80.058999999999997</v>
      </c>
      <c r="J3" s="31">
        <f t="shared" si="0"/>
        <v>-2.2250000000000085</v>
      </c>
      <c r="K3" s="31">
        <f t="shared" si="1"/>
        <v>-0.21649250000000084</v>
      </c>
      <c r="L3" s="32">
        <f t="shared" si="2"/>
        <v>-4.3298500000000164</v>
      </c>
      <c r="M3" s="31">
        <v>7.48</v>
      </c>
      <c r="N3" s="31">
        <v>353</v>
      </c>
      <c r="O3" s="31">
        <v>1159</v>
      </c>
      <c r="P3" s="31">
        <v>58.95</v>
      </c>
      <c r="Q3" s="31">
        <f t="shared" si="3"/>
        <v>51.47</v>
      </c>
      <c r="S3" s="224"/>
      <c r="T3" s="224"/>
      <c r="U3" s="85"/>
    </row>
    <row r="4" spans="1:21" x14ac:dyDescent="0.55000000000000004">
      <c r="B4">
        <v>1</v>
      </c>
      <c r="C4" t="s">
        <v>1417</v>
      </c>
      <c r="E4" t="s">
        <v>1411</v>
      </c>
      <c r="F4" t="s">
        <v>89</v>
      </c>
      <c r="G4" t="s">
        <v>1413</v>
      </c>
      <c r="H4">
        <v>86.444000000000003</v>
      </c>
      <c r="I4">
        <v>91.042000000000002</v>
      </c>
      <c r="J4" s="85">
        <f t="shared" si="0"/>
        <v>4.597999999999999</v>
      </c>
      <c r="K4" s="85">
        <f t="shared" si="1"/>
        <v>0.44738539999999988</v>
      </c>
      <c r="L4" s="3">
        <f t="shared" si="2"/>
        <v>8.9477079999999969</v>
      </c>
      <c r="M4">
        <v>7.48</v>
      </c>
      <c r="N4">
        <v>353</v>
      </c>
      <c r="O4">
        <v>1159</v>
      </c>
      <c r="P4">
        <v>58.95</v>
      </c>
      <c r="Q4">
        <f t="shared" si="3"/>
        <v>51.47</v>
      </c>
      <c r="S4" s="15"/>
      <c r="T4" s="15"/>
      <c r="U4" s="85"/>
    </row>
    <row r="5" spans="1:21" s="6" customFormat="1" x14ac:dyDescent="0.55000000000000004">
      <c r="C5" s="6" t="s">
        <v>1419</v>
      </c>
      <c r="E5" s="6" t="s">
        <v>1411</v>
      </c>
      <c r="F5" s="6" t="s">
        <v>89</v>
      </c>
      <c r="G5" s="6" t="s">
        <v>1413</v>
      </c>
      <c r="H5" s="6">
        <v>86.444000000000003</v>
      </c>
      <c r="I5" s="6">
        <v>82.200999999999993</v>
      </c>
      <c r="J5" s="6">
        <f t="shared" si="0"/>
        <v>-4.2430000000000092</v>
      </c>
      <c r="K5" s="6">
        <f t="shared" si="1"/>
        <v>-0.41284390000000087</v>
      </c>
      <c r="L5" s="12">
        <f t="shared" si="2"/>
        <v>-8.2568780000000181</v>
      </c>
      <c r="M5" s="6">
        <v>7.48</v>
      </c>
      <c r="N5" s="6">
        <v>353</v>
      </c>
      <c r="O5" s="6">
        <v>1783</v>
      </c>
      <c r="P5" s="6">
        <v>90.68</v>
      </c>
      <c r="Q5" s="6">
        <f t="shared" si="3"/>
        <v>83.2</v>
      </c>
      <c r="R5" s="6" t="s">
        <v>1420</v>
      </c>
      <c r="S5" s="17"/>
      <c r="T5" s="17"/>
      <c r="U5" s="85"/>
    </row>
    <row r="6" spans="1:21" s="6" customFormat="1" x14ac:dyDescent="0.55000000000000004">
      <c r="C6" s="6" t="s">
        <v>1418</v>
      </c>
      <c r="E6" s="6" t="s">
        <v>1411</v>
      </c>
      <c r="F6" s="6" t="s">
        <v>89</v>
      </c>
      <c r="G6" s="6" t="s">
        <v>1413</v>
      </c>
      <c r="H6" s="6">
        <v>86.444000000000003</v>
      </c>
      <c r="I6" s="6">
        <v>74.405000000000001</v>
      </c>
      <c r="J6" s="6">
        <f t="shared" si="0"/>
        <v>-12.039000000000001</v>
      </c>
      <c r="K6" s="6">
        <f t="shared" si="1"/>
        <v>-1.1713947</v>
      </c>
      <c r="L6" s="12">
        <f t="shared" si="2"/>
        <v>-23.427894000000002</v>
      </c>
      <c r="M6" s="6">
        <v>7.48</v>
      </c>
      <c r="N6" s="6">
        <v>353</v>
      </c>
      <c r="O6" s="6">
        <v>1783</v>
      </c>
      <c r="P6" s="6">
        <v>90.68</v>
      </c>
      <c r="Q6" s="6">
        <f t="shared" si="3"/>
        <v>83.2</v>
      </c>
      <c r="R6" s="6" t="s">
        <v>1421</v>
      </c>
      <c r="S6" s="17"/>
      <c r="T6" s="17"/>
      <c r="U6" s="85"/>
    </row>
    <row r="7" spans="1:21" x14ac:dyDescent="0.55000000000000004">
      <c r="A7">
        <v>2</v>
      </c>
      <c r="B7">
        <v>2</v>
      </c>
      <c r="C7" t="s">
        <v>1422</v>
      </c>
      <c r="E7" t="s">
        <v>1411</v>
      </c>
      <c r="F7" t="s">
        <v>89</v>
      </c>
      <c r="G7" t="s">
        <v>1413</v>
      </c>
      <c r="H7" s="85">
        <v>89.46</v>
      </c>
      <c r="I7" s="85">
        <v>107.032</v>
      </c>
      <c r="J7" s="85">
        <f t="shared" si="0"/>
        <v>17.572000000000003</v>
      </c>
      <c r="K7" s="85">
        <f t="shared" si="1"/>
        <v>1.7097556000000003</v>
      </c>
      <c r="L7" s="3">
        <f t="shared" si="2"/>
        <v>34.195112000000009</v>
      </c>
      <c r="M7" s="85">
        <v>6.4</v>
      </c>
      <c r="N7" s="85">
        <v>238</v>
      </c>
      <c r="O7" s="85">
        <v>2742</v>
      </c>
      <c r="P7" s="85">
        <v>133.03</v>
      </c>
      <c r="Q7" s="85">
        <f t="shared" si="3"/>
        <v>126.63</v>
      </c>
      <c r="S7">
        <v>12</v>
      </c>
      <c r="T7">
        <v>1</v>
      </c>
      <c r="U7" s="85">
        <f>T7/S7</f>
        <v>8.3333333333333329E-2</v>
      </c>
    </row>
    <row r="8" spans="1:21" s="111" customFormat="1" x14ac:dyDescent="0.55000000000000004">
      <c r="C8" s="111" t="s">
        <v>1423</v>
      </c>
      <c r="E8" s="111" t="s">
        <v>1411</v>
      </c>
      <c r="F8" s="111" t="s">
        <v>89</v>
      </c>
      <c r="G8" s="111" t="s">
        <v>1413</v>
      </c>
      <c r="H8" s="111">
        <v>79.462999999999994</v>
      </c>
      <c r="I8" s="111">
        <v>98.302999999999997</v>
      </c>
      <c r="J8" s="111">
        <f t="shared" si="0"/>
        <v>18.840000000000003</v>
      </c>
      <c r="K8" s="111">
        <f t="shared" si="1"/>
        <v>1.8331320000000002</v>
      </c>
      <c r="L8" s="113">
        <f t="shared" si="2"/>
        <v>36.662640000000003</v>
      </c>
      <c r="M8" s="111">
        <v>6.4</v>
      </c>
      <c r="N8" s="111">
        <v>238</v>
      </c>
      <c r="O8" s="111">
        <v>2742</v>
      </c>
      <c r="P8" s="111">
        <v>133.03</v>
      </c>
      <c r="Q8" s="111">
        <f t="shared" si="3"/>
        <v>126.63</v>
      </c>
      <c r="S8" s="157"/>
      <c r="T8" s="157"/>
      <c r="U8" s="85"/>
    </row>
    <row r="9" spans="1:21" x14ac:dyDescent="0.55000000000000004">
      <c r="A9">
        <v>3</v>
      </c>
      <c r="C9" t="s">
        <v>1424</v>
      </c>
      <c r="E9" t="s">
        <v>1411</v>
      </c>
      <c r="F9" t="s">
        <v>89</v>
      </c>
      <c r="G9" t="s">
        <v>1413</v>
      </c>
      <c r="H9" s="85" t="s">
        <v>325</v>
      </c>
      <c r="I9" s="85"/>
      <c r="J9" s="85"/>
      <c r="K9" s="85"/>
      <c r="M9" s="85">
        <v>27.05</v>
      </c>
      <c r="N9" s="85"/>
      <c r="O9" s="85"/>
      <c r="P9" s="85"/>
      <c r="Q9" s="85"/>
      <c r="S9">
        <v>16</v>
      </c>
      <c r="T9">
        <v>0</v>
      </c>
      <c r="U9" s="85">
        <f>T9/S9</f>
        <v>0</v>
      </c>
    </row>
    <row r="10" spans="1:21" x14ac:dyDescent="0.55000000000000004">
      <c r="A10">
        <v>4</v>
      </c>
      <c r="B10">
        <v>3</v>
      </c>
      <c r="C10" t="s">
        <v>1425</v>
      </c>
      <c r="E10" t="s">
        <v>1411</v>
      </c>
      <c r="F10" t="s">
        <v>89</v>
      </c>
      <c r="G10" t="s">
        <v>1413</v>
      </c>
      <c r="H10" s="85">
        <v>83.590999999999994</v>
      </c>
      <c r="I10" s="85">
        <v>102.122</v>
      </c>
      <c r="J10" s="85">
        <f t="shared" ref="J10:J24" si="4">I10-H10</f>
        <v>18.531000000000006</v>
      </c>
      <c r="K10" s="85">
        <f t="shared" ref="K10:K27" si="5">J10*0.0973</f>
        <v>1.8030663000000005</v>
      </c>
      <c r="L10" s="3">
        <f t="shared" ref="L10:L27" si="6">K10*20</f>
        <v>36.061326000000008</v>
      </c>
      <c r="M10" s="85">
        <v>186.57</v>
      </c>
      <c r="N10" s="85">
        <v>3959</v>
      </c>
      <c r="O10" s="85">
        <v>4847</v>
      </c>
      <c r="P10" s="85">
        <v>242.83</v>
      </c>
      <c r="Q10" s="85">
        <f t="shared" ref="Q10:Q24" si="7">P10-M10</f>
        <v>56.260000000000019</v>
      </c>
      <c r="S10">
        <v>8</v>
      </c>
      <c r="T10">
        <v>2</v>
      </c>
      <c r="U10" s="85">
        <f>T10/S10</f>
        <v>0.25</v>
      </c>
    </row>
    <row r="11" spans="1:21" s="111" customFormat="1" x14ac:dyDescent="0.55000000000000004">
      <c r="C11" s="111" t="s">
        <v>1426</v>
      </c>
      <c r="E11" s="111" t="s">
        <v>1411</v>
      </c>
      <c r="F11" s="111" t="s">
        <v>89</v>
      </c>
      <c r="G11" s="111" t="s">
        <v>1413</v>
      </c>
      <c r="H11" s="111">
        <v>81.441000000000003</v>
      </c>
      <c r="I11" s="111">
        <v>93.137</v>
      </c>
      <c r="J11" s="111">
        <f t="shared" si="4"/>
        <v>11.695999999999998</v>
      </c>
      <c r="K11" s="111">
        <f t="shared" si="5"/>
        <v>1.1380207999999998</v>
      </c>
      <c r="L11" s="113">
        <f t="shared" si="6"/>
        <v>22.760415999999996</v>
      </c>
      <c r="M11" s="111">
        <v>186.57</v>
      </c>
      <c r="N11" s="111">
        <v>3959</v>
      </c>
      <c r="O11" s="111">
        <v>4847</v>
      </c>
      <c r="P11" s="111">
        <v>242.83</v>
      </c>
      <c r="Q11" s="111">
        <f t="shared" si="7"/>
        <v>56.260000000000019</v>
      </c>
      <c r="S11" s="111">
        <v>8</v>
      </c>
      <c r="T11" s="111">
        <v>2</v>
      </c>
      <c r="U11" s="85">
        <f>T11/S11</f>
        <v>0.25</v>
      </c>
    </row>
    <row r="12" spans="1:21" x14ac:dyDescent="0.55000000000000004">
      <c r="B12">
        <v>4</v>
      </c>
      <c r="C12" t="s">
        <v>1427</v>
      </c>
      <c r="E12" t="s">
        <v>1411</v>
      </c>
      <c r="F12" t="s">
        <v>89</v>
      </c>
      <c r="G12" t="s">
        <v>1413</v>
      </c>
      <c r="H12" s="85">
        <v>83.590999999999994</v>
      </c>
      <c r="I12" s="85">
        <v>99.320999999999998</v>
      </c>
      <c r="J12" s="85">
        <f t="shared" si="4"/>
        <v>15.730000000000004</v>
      </c>
      <c r="K12" s="85">
        <f t="shared" si="5"/>
        <v>1.5305290000000003</v>
      </c>
      <c r="L12" s="3">
        <f t="shared" si="6"/>
        <v>30.610580000000006</v>
      </c>
      <c r="M12" s="85">
        <v>186.57</v>
      </c>
      <c r="N12" s="85">
        <v>3959</v>
      </c>
      <c r="O12" s="85">
        <v>6067</v>
      </c>
      <c r="P12" s="85">
        <v>303.95</v>
      </c>
      <c r="Q12" s="85">
        <f t="shared" si="7"/>
        <v>117.38</v>
      </c>
      <c r="R12" t="s">
        <v>1429</v>
      </c>
      <c r="S12" s="15"/>
      <c r="T12" s="15"/>
      <c r="U12" s="85"/>
    </row>
    <row r="13" spans="1:21" s="111" customFormat="1" x14ac:dyDescent="0.55000000000000004">
      <c r="C13" s="111" t="s">
        <v>1428</v>
      </c>
      <c r="E13" s="111" t="s">
        <v>1411</v>
      </c>
      <c r="F13" s="111" t="s">
        <v>89</v>
      </c>
      <c r="G13" s="111" t="s">
        <v>1413</v>
      </c>
      <c r="H13" s="111">
        <v>89.334999999999994</v>
      </c>
      <c r="I13" s="111">
        <v>85.78</v>
      </c>
      <c r="J13" s="111">
        <f t="shared" si="4"/>
        <v>-3.5549999999999926</v>
      </c>
      <c r="K13" s="111">
        <f t="shared" si="5"/>
        <v>-0.34590149999999925</v>
      </c>
      <c r="L13" s="113">
        <f t="shared" si="6"/>
        <v>-6.9180299999999848</v>
      </c>
      <c r="M13" s="111">
        <v>186.57</v>
      </c>
      <c r="N13" s="111">
        <v>3959</v>
      </c>
      <c r="O13" s="111">
        <v>6067</v>
      </c>
      <c r="P13" s="111">
        <v>303.95</v>
      </c>
      <c r="Q13" s="111">
        <f t="shared" si="7"/>
        <v>117.38</v>
      </c>
      <c r="S13" s="157"/>
      <c r="T13" s="157"/>
      <c r="U13" s="85"/>
    </row>
    <row r="14" spans="1:21" x14ac:dyDescent="0.55000000000000004">
      <c r="A14">
        <v>5</v>
      </c>
      <c r="B14">
        <v>5</v>
      </c>
      <c r="C14" t="s">
        <v>1430</v>
      </c>
      <c r="E14" t="s">
        <v>1411</v>
      </c>
      <c r="F14" t="s">
        <v>89</v>
      </c>
      <c r="G14" t="s">
        <v>1413</v>
      </c>
      <c r="H14" s="85">
        <v>80.192999999999998</v>
      </c>
      <c r="I14" s="85">
        <v>98.444999999999993</v>
      </c>
      <c r="J14" s="85">
        <f t="shared" si="4"/>
        <v>18.251999999999995</v>
      </c>
      <c r="K14" s="85">
        <f t="shared" si="5"/>
        <v>1.7759195999999995</v>
      </c>
      <c r="L14" s="3">
        <f t="shared" si="6"/>
        <v>35.518391999999992</v>
      </c>
      <c r="M14" s="85">
        <v>83.66</v>
      </c>
      <c r="N14" s="85">
        <v>1476</v>
      </c>
      <c r="O14" s="85">
        <v>3193</v>
      </c>
      <c r="P14" s="85">
        <v>167.26</v>
      </c>
      <c r="Q14" s="85">
        <f t="shared" si="7"/>
        <v>83.6</v>
      </c>
      <c r="S14">
        <v>9</v>
      </c>
      <c r="T14">
        <v>3</v>
      </c>
      <c r="U14" s="85">
        <f>T14/S14</f>
        <v>0.33333333333333331</v>
      </c>
    </row>
    <row r="15" spans="1:21" s="111" customFormat="1" x14ac:dyDescent="0.55000000000000004">
      <c r="C15" s="111" t="s">
        <v>1431</v>
      </c>
      <c r="E15" s="111" t="s">
        <v>1411</v>
      </c>
      <c r="F15" s="111" t="s">
        <v>89</v>
      </c>
      <c r="G15" s="111" t="s">
        <v>1413</v>
      </c>
      <c r="H15" s="111">
        <v>86.445999999999998</v>
      </c>
      <c r="I15" s="111">
        <v>93.078999999999994</v>
      </c>
      <c r="J15" s="111">
        <f t="shared" si="4"/>
        <v>6.6329999999999956</v>
      </c>
      <c r="K15" s="111">
        <f t="shared" si="5"/>
        <v>0.64539089999999955</v>
      </c>
      <c r="L15" s="113">
        <f t="shared" si="6"/>
        <v>12.907817999999992</v>
      </c>
      <c r="M15" s="111">
        <v>83.66</v>
      </c>
      <c r="N15" s="85">
        <v>1476</v>
      </c>
      <c r="O15" s="111">
        <v>3193</v>
      </c>
      <c r="P15" s="111">
        <v>167.26</v>
      </c>
      <c r="Q15" s="111">
        <f t="shared" si="7"/>
        <v>83.6</v>
      </c>
      <c r="S15" s="157"/>
      <c r="T15" s="157"/>
      <c r="U15" s="85"/>
    </row>
    <row r="16" spans="1:21" s="7" customFormat="1" x14ac:dyDescent="0.55000000000000004">
      <c r="B16" s="7">
        <v>6</v>
      </c>
      <c r="C16" s="7" t="s">
        <v>1432</v>
      </c>
      <c r="E16" s="7" t="s">
        <v>1411</v>
      </c>
      <c r="F16" s="7" t="s">
        <v>89</v>
      </c>
      <c r="G16" s="7" t="s">
        <v>1413</v>
      </c>
      <c r="H16" s="7">
        <v>86.445999999999998</v>
      </c>
      <c r="I16" s="7">
        <v>88.01</v>
      </c>
      <c r="J16" s="7">
        <f t="shared" si="4"/>
        <v>1.5640000000000072</v>
      </c>
      <c r="K16" s="7">
        <f t="shared" si="5"/>
        <v>0.15217720000000071</v>
      </c>
      <c r="L16" s="19">
        <f t="shared" si="6"/>
        <v>3.043544000000014</v>
      </c>
      <c r="M16" s="7">
        <v>83.66</v>
      </c>
      <c r="N16" s="85">
        <v>1476</v>
      </c>
      <c r="O16" s="7">
        <v>5334</v>
      </c>
      <c r="P16" s="7">
        <v>279.41000000000003</v>
      </c>
      <c r="Q16" s="7">
        <f t="shared" si="7"/>
        <v>195.75000000000003</v>
      </c>
      <c r="S16" s="225"/>
      <c r="T16" s="225"/>
      <c r="U16" s="85"/>
    </row>
    <row r="17" spans="1:22" s="111" customFormat="1" x14ac:dyDescent="0.55000000000000004">
      <c r="C17" s="111" t="s">
        <v>1433</v>
      </c>
      <c r="E17" s="111" t="s">
        <v>1411</v>
      </c>
      <c r="F17" s="111" t="s">
        <v>89</v>
      </c>
      <c r="G17" s="111" t="s">
        <v>1413</v>
      </c>
      <c r="H17" s="111">
        <v>82.251999999999995</v>
      </c>
      <c r="I17" s="111">
        <v>98.370999999999995</v>
      </c>
      <c r="J17" s="111">
        <f t="shared" si="4"/>
        <v>16.119</v>
      </c>
      <c r="K17" s="111">
        <f t="shared" si="5"/>
        <v>1.5683787</v>
      </c>
      <c r="L17" s="113">
        <f t="shared" si="6"/>
        <v>31.367574000000001</v>
      </c>
      <c r="M17" s="111">
        <v>83.66</v>
      </c>
      <c r="N17" s="85">
        <v>1476</v>
      </c>
      <c r="O17" s="111">
        <v>5334</v>
      </c>
      <c r="P17" s="111">
        <v>279.41000000000003</v>
      </c>
      <c r="Q17" s="111">
        <f t="shared" si="7"/>
        <v>195.75000000000003</v>
      </c>
      <c r="S17" s="157"/>
      <c r="T17" s="157"/>
      <c r="U17" s="85"/>
    </row>
    <row r="18" spans="1:22" x14ac:dyDescent="0.55000000000000004">
      <c r="A18">
        <v>6</v>
      </c>
      <c r="B18">
        <v>7</v>
      </c>
      <c r="C18" t="s">
        <v>1435</v>
      </c>
      <c r="E18" t="s">
        <v>1411</v>
      </c>
      <c r="F18" t="s">
        <v>89</v>
      </c>
      <c r="G18" t="s">
        <v>1413</v>
      </c>
      <c r="H18" s="85">
        <v>91.242000000000004</v>
      </c>
      <c r="I18" s="85">
        <v>107.048</v>
      </c>
      <c r="J18" s="85">
        <f t="shared" si="4"/>
        <v>15.805999999999997</v>
      </c>
      <c r="K18" s="85">
        <f t="shared" si="5"/>
        <v>1.5379237999999997</v>
      </c>
      <c r="L18" s="3">
        <f t="shared" si="6"/>
        <v>30.758475999999995</v>
      </c>
      <c r="M18" s="111">
        <v>101.52</v>
      </c>
      <c r="N18" s="85">
        <v>1839</v>
      </c>
      <c r="O18" s="111">
        <v>3312</v>
      </c>
      <c r="P18" s="111">
        <v>172.96</v>
      </c>
      <c r="Q18" s="85">
        <f t="shared" si="7"/>
        <v>71.440000000000012</v>
      </c>
      <c r="S18">
        <v>10</v>
      </c>
      <c r="T18">
        <v>4</v>
      </c>
      <c r="U18" s="85">
        <f>T18/S18</f>
        <v>0.4</v>
      </c>
    </row>
    <row r="19" spans="1:22" s="111" customFormat="1" x14ac:dyDescent="0.55000000000000004">
      <c r="A19" s="111">
        <v>7</v>
      </c>
      <c r="C19" s="111" t="s">
        <v>1436</v>
      </c>
      <c r="E19" s="111" t="s">
        <v>1411</v>
      </c>
      <c r="F19" s="111" t="s">
        <v>89</v>
      </c>
      <c r="G19" s="111" t="s">
        <v>1413</v>
      </c>
      <c r="H19" s="111">
        <v>75.299000000000007</v>
      </c>
      <c r="I19" s="111">
        <v>86.122</v>
      </c>
      <c r="J19" s="111">
        <f t="shared" si="4"/>
        <v>10.822999999999993</v>
      </c>
      <c r="K19" s="111">
        <f t="shared" si="5"/>
        <v>1.0530778999999992</v>
      </c>
      <c r="L19" s="113">
        <f t="shared" si="6"/>
        <v>21.061557999999984</v>
      </c>
      <c r="M19" s="111">
        <v>101.52</v>
      </c>
      <c r="N19" s="111">
        <v>1839</v>
      </c>
      <c r="O19" s="111">
        <v>3312</v>
      </c>
      <c r="P19" s="111">
        <v>172.96</v>
      </c>
      <c r="Q19" s="111">
        <f>P19-M19</f>
        <v>71.440000000000012</v>
      </c>
      <c r="S19" s="111">
        <v>10</v>
      </c>
      <c r="T19" s="111">
        <v>4</v>
      </c>
      <c r="U19" s="85">
        <f>T19/S19</f>
        <v>0.4</v>
      </c>
    </row>
    <row r="20" spans="1:22" x14ac:dyDescent="0.55000000000000004">
      <c r="B20">
        <v>8</v>
      </c>
      <c r="C20" t="s">
        <v>1439</v>
      </c>
      <c r="E20" t="s">
        <v>1411</v>
      </c>
      <c r="F20" t="s">
        <v>89</v>
      </c>
      <c r="G20" t="s">
        <v>1413</v>
      </c>
      <c r="H20" s="7">
        <v>75.299000000000007</v>
      </c>
      <c r="I20" s="7">
        <v>81.831000000000003</v>
      </c>
      <c r="J20" s="85">
        <f>I20-H20</f>
        <v>6.5319999999999965</v>
      </c>
      <c r="K20" s="85">
        <f t="shared" si="5"/>
        <v>0.63556359999999967</v>
      </c>
      <c r="L20" s="3">
        <f t="shared" si="6"/>
        <v>12.711271999999994</v>
      </c>
      <c r="M20" s="111">
        <v>101.52</v>
      </c>
      <c r="N20" s="85">
        <v>1839</v>
      </c>
      <c r="O20" s="111">
        <v>3986</v>
      </c>
      <c r="P20" s="111">
        <v>208.15</v>
      </c>
      <c r="Q20" s="85">
        <f>P20-M20</f>
        <v>106.63000000000001</v>
      </c>
      <c r="R20" t="s">
        <v>1437</v>
      </c>
      <c r="S20" s="15"/>
      <c r="T20" s="15"/>
      <c r="U20" s="85"/>
    </row>
    <row r="21" spans="1:22" x14ac:dyDescent="0.55000000000000004">
      <c r="B21">
        <v>9</v>
      </c>
      <c r="C21" t="s">
        <v>1440</v>
      </c>
      <c r="E21" t="s">
        <v>1411</v>
      </c>
      <c r="F21" t="s">
        <v>89</v>
      </c>
      <c r="G21" t="s">
        <v>1413</v>
      </c>
      <c r="H21" s="7">
        <v>75.299000000000007</v>
      </c>
      <c r="I21" s="85">
        <v>95.968999999999994</v>
      </c>
      <c r="J21" s="85">
        <f>I21-H21</f>
        <v>20.669999999999987</v>
      </c>
      <c r="K21" s="85">
        <f t="shared" si="5"/>
        <v>2.0111909999999988</v>
      </c>
      <c r="L21" s="3">
        <f t="shared" si="6"/>
        <v>40.223819999999975</v>
      </c>
      <c r="M21" s="111">
        <v>101.52</v>
      </c>
      <c r="N21" s="85">
        <v>1839</v>
      </c>
      <c r="O21" s="111">
        <v>4859</v>
      </c>
      <c r="P21" s="111">
        <v>253.74</v>
      </c>
      <c r="Q21" s="85">
        <f>P21-M21</f>
        <v>152.22000000000003</v>
      </c>
      <c r="R21" t="s">
        <v>1438</v>
      </c>
      <c r="S21" s="15"/>
      <c r="T21" s="15"/>
      <c r="U21" s="85"/>
    </row>
    <row r="22" spans="1:22" x14ac:dyDescent="0.55000000000000004">
      <c r="B22">
        <v>10</v>
      </c>
      <c r="C22" t="s">
        <v>1441</v>
      </c>
      <c r="E22" t="s">
        <v>1411</v>
      </c>
      <c r="F22" t="s">
        <v>89</v>
      </c>
      <c r="G22" t="s">
        <v>1413</v>
      </c>
      <c r="H22" s="85">
        <v>85.41</v>
      </c>
      <c r="I22" s="85">
        <v>103.11799999999999</v>
      </c>
      <c r="J22" s="85">
        <f>I22-H22</f>
        <v>17.707999999999998</v>
      </c>
      <c r="K22" s="85">
        <f t="shared" si="5"/>
        <v>1.7229883999999998</v>
      </c>
      <c r="L22" s="3">
        <f t="shared" si="6"/>
        <v>34.459767999999997</v>
      </c>
      <c r="M22" s="111">
        <v>101.52</v>
      </c>
      <c r="N22" s="85">
        <v>1839</v>
      </c>
      <c r="O22" s="111">
        <v>5563</v>
      </c>
      <c r="P22" s="111">
        <v>290.51</v>
      </c>
      <c r="Q22" s="85">
        <f>P22-M22</f>
        <v>188.99</v>
      </c>
      <c r="R22" t="s">
        <v>1434</v>
      </c>
      <c r="S22" s="15"/>
      <c r="T22" s="15"/>
      <c r="U22" s="85"/>
    </row>
    <row r="23" spans="1:22" s="111" customFormat="1" x14ac:dyDescent="0.55000000000000004">
      <c r="C23" s="111" t="s">
        <v>1442</v>
      </c>
      <c r="E23" s="111" t="s">
        <v>1411</v>
      </c>
      <c r="F23" s="111" t="s">
        <v>89</v>
      </c>
      <c r="G23" s="111" t="s">
        <v>1413</v>
      </c>
      <c r="H23" s="111">
        <v>91.242000000000004</v>
      </c>
      <c r="I23" s="111">
        <v>107.931</v>
      </c>
      <c r="J23" s="111">
        <f>I23-H23</f>
        <v>16.688999999999993</v>
      </c>
      <c r="K23" s="111">
        <f t="shared" si="5"/>
        <v>1.6238396999999993</v>
      </c>
      <c r="L23" s="113">
        <f t="shared" si="6"/>
        <v>32.476793999999984</v>
      </c>
      <c r="M23" s="111">
        <v>101.52</v>
      </c>
      <c r="N23" s="111">
        <v>1839</v>
      </c>
      <c r="O23" s="111">
        <v>5563</v>
      </c>
      <c r="P23" s="111">
        <v>290.51</v>
      </c>
      <c r="Q23" s="111">
        <f>P23-M23</f>
        <v>188.99</v>
      </c>
      <c r="R23" s="111" t="s">
        <v>1443</v>
      </c>
      <c r="S23" s="157"/>
      <c r="T23" s="157"/>
      <c r="U23" s="85"/>
    </row>
    <row r="24" spans="1:22" x14ac:dyDescent="0.55000000000000004">
      <c r="A24">
        <v>8</v>
      </c>
      <c r="B24">
        <v>11</v>
      </c>
      <c r="C24" t="s">
        <v>1444</v>
      </c>
      <c r="E24" t="s">
        <v>1411</v>
      </c>
      <c r="F24" t="s">
        <v>89</v>
      </c>
      <c r="G24" t="s">
        <v>1413</v>
      </c>
      <c r="H24" s="85">
        <v>90.545000000000002</v>
      </c>
      <c r="I24" s="85">
        <v>99.528999999999996</v>
      </c>
      <c r="J24" s="85">
        <f t="shared" si="4"/>
        <v>8.9839999999999947</v>
      </c>
      <c r="K24" s="85">
        <f t="shared" si="5"/>
        <v>0.87414319999999945</v>
      </c>
      <c r="L24" s="3">
        <f t="shared" si="6"/>
        <v>17.482863999999989</v>
      </c>
      <c r="M24" s="111">
        <v>93.17</v>
      </c>
      <c r="N24" s="85">
        <v>1677</v>
      </c>
      <c r="O24" s="111">
        <v>2785</v>
      </c>
      <c r="P24" s="111">
        <v>145.26</v>
      </c>
      <c r="Q24" s="85">
        <f t="shared" si="7"/>
        <v>52.089999999999989</v>
      </c>
      <c r="S24">
        <v>10</v>
      </c>
      <c r="T24">
        <v>3</v>
      </c>
      <c r="U24" s="85">
        <f>T24/S24</f>
        <v>0.3</v>
      </c>
    </row>
    <row r="25" spans="1:22" s="111" customFormat="1" x14ac:dyDescent="0.55000000000000004">
      <c r="C25" s="111" t="s">
        <v>1445</v>
      </c>
      <c r="E25" s="111" t="s">
        <v>1411</v>
      </c>
      <c r="F25" s="111" t="s">
        <v>89</v>
      </c>
      <c r="G25" s="111" t="s">
        <v>1413</v>
      </c>
      <c r="H25" s="111">
        <v>87.834000000000003</v>
      </c>
      <c r="I25" s="111">
        <v>93.608999999999995</v>
      </c>
      <c r="J25" s="111">
        <f>I25-H25</f>
        <v>5.7749999999999915</v>
      </c>
      <c r="K25" s="111">
        <f t="shared" si="5"/>
        <v>0.56190749999999912</v>
      </c>
      <c r="L25" s="113">
        <f t="shared" si="6"/>
        <v>11.238149999999983</v>
      </c>
      <c r="M25" s="111">
        <v>93.17</v>
      </c>
      <c r="N25" s="111">
        <v>1677</v>
      </c>
      <c r="O25" s="111">
        <v>2785</v>
      </c>
      <c r="P25" s="111">
        <v>145.26</v>
      </c>
      <c r="Q25" s="111">
        <f>P25-M25</f>
        <v>52.089999999999989</v>
      </c>
      <c r="S25" s="157"/>
      <c r="T25" s="157"/>
      <c r="U25" s="85"/>
    </row>
    <row r="26" spans="1:22" x14ac:dyDescent="0.55000000000000004">
      <c r="B26">
        <v>12</v>
      </c>
      <c r="C26" t="s">
        <v>1446</v>
      </c>
      <c r="E26" t="s">
        <v>1411</v>
      </c>
      <c r="F26" t="s">
        <v>89</v>
      </c>
      <c r="G26" t="s">
        <v>1413</v>
      </c>
      <c r="H26" s="85">
        <v>79.316000000000003</v>
      </c>
      <c r="I26" s="85">
        <v>99.986999999999995</v>
      </c>
      <c r="J26" s="85">
        <f>I26-H26</f>
        <v>20.670999999999992</v>
      </c>
      <c r="K26" s="85">
        <f t="shared" si="5"/>
        <v>2.011288299999999</v>
      </c>
      <c r="L26" s="3">
        <f t="shared" si="6"/>
        <v>40.225765999999979</v>
      </c>
      <c r="M26" s="111">
        <v>93.17</v>
      </c>
      <c r="N26" s="85">
        <v>1677</v>
      </c>
      <c r="O26" s="111">
        <v>3562</v>
      </c>
      <c r="P26" s="111">
        <v>185.78</v>
      </c>
      <c r="Q26" s="85">
        <f>P26-M26</f>
        <v>92.61</v>
      </c>
      <c r="S26" s="15"/>
      <c r="T26" s="15"/>
      <c r="U26" s="85"/>
    </row>
    <row r="27" spans="1:22" x14ac:dyDescent="0.55000000000000004">
      <c r="B27" s="111">
        <v>13</v>
      </c>
      <c r="C27" t="s">
        <v>1447</v>
      </c>
      <c r="E27" t="s">
        <v>1411</v>
      </c>
      <c r="F27" t="s">
        <v>89</v>
      </c>
      <c r="G27" t="s">
        <v>1413</v>
      </c>
      <c r="H27" s="85">
        <v>79.316000000000003</v>
      </c>
      <c r="I27" s="111">
        <v>106.113</v>
      </c>
      <c r="J27" s="85">
        <f>I27-H27</f>
        <v>26.796999999999997</v>
      </c>
      <c r="K27" s="85">
        <f t="shared" si="5"/>
        <v>2.6073480999999998</v>
      </c>
      <c r="L27" s="3">
        <f t="shared" si="6"/>
        <v>52.146961999999995</v>
      </c>
      <c r="M27" s="111">
        <v>93.17</v>
      </c>
      <c r="N27" s="85">
        <v>1677</v>
      </c>
      <c r="O27" s="111">
        <v>3947</v>
      </c>
      <c r="P27" s="111">
        <v>205.86</v>
      </c>
      <c r="Q27" s="85">
        <f>P27-M27</f>
        <v>112.69000000000001</v>
      </c>
      <c r="R27" t="s">
        <v>1448</v>
      </c>
      <c r="S27" s="15"/>
      <c r="T27" s="15"/>
      <c r="U27" s="85"/>
    </row>
    <row r="28" spans="1:22" x14ac:dyDescent="0.55000000000000004">
      <c r="H28" s="85"/>
      <c r="I28" s="85"/>
      <c r="J28" s="85"/>
      <c r="K28" s="85"/>
      <c r="M28" s="85"/>
      <c r="N28" s="85"/>
      <c r="O28" s="85"/>
      <c r="P28" s="85"/>
      <c r="Q28" s="85"/>
      <c r="S28">
        <f>SUM(S2:S27)</f>
        <v>96</v>
      </c>
      <c r="T28">
        <f>SUM(T2:T27)</f>
        <v>20</v>
      </c>
      <c r="U28" s="85"/>
    </row>
    <row r="29" spans="1:22" x14ac:dyDescent="0.55000000000000004">
      <c r="K29" t="s">
        <v>225</v>
      </c>
      <c r="L29" s="3">
        <f>(SUM(L4,L7,L10,L12,L14,L16,L18,L20:L22,L24,L27,L26))/(COUNT(L4,L7,L10,L12,L14,L16,L18,L20:L22,L24,L27,L26))</f>
        <v>28.952737692307689</v>
      </c>
      <c r="M29" s="85"/>
      <c r="N29" s="85"/>
      <c r="O29" s="85"/>
      <c r="P29" s="85"/>
      <c r="Q29" s="85"/>
      <c r="S29">
        <f>(T28/S28)*100</f>
        <v>20.833333333333336</v>
      </c>
      <c r="U29">
        <f>(SUM(U2,U7,U10,U9,U11,U14,U18:U19,U24))/(COUNT(U2,U7,U10,U9,U11,U14,U18:U19,U24))</f>
        <v>0.23262108262108258</v>
      </c>
      <c r="V29" s="3">
        <f xml:space="preserve"> STDEV(U2,U7,U10,U9,U11,U14,U18:U19,U24)/SQRT(COUNT(U2,U7,U10,U9,U11,U14,U18:U19,U24))</f>
        <v>4.8870520908801625E-2</v>
      </c>
    </row>
    <row r="30" spans="1:22" x14ac:dyDescent="0.55000000000000004">
      <c r="K30" t="s">
        <v>226</v>
      </c>
      <c r="L30" s="3">
        <f xml:space="preserve"> STDEV(L4,L7,L10,L12,L14,L16,L18,L20:L22,L24,L27,L26)/SQRT(COUNT(L4,L7,L10,L12,L14,L16,L18,L20:L22,L24,L27,L26))</f>
        <v>3.9356849445719191</v>
      </c>
      <c r="M30" s="85"/>
      <c r="N30" s="85"/>
      <c r="O30" s="85"/>
      <c r="P30" s="85"/>
      <c r="Q30" s="85"/>
    </row>
    <row r="37" spans="3:15" x14ac:dyDescent="0.55000000000000004">
      <c r="C37">
        <v>8.9477079999999969</v>
      </c>
      <c r="D37">
        <v>34.195112000000009</v>
      </c>
      <c r="E37">
        <v>36.061326000000008</v>
      </c>
      <c r="F37">
        <v>30.610580000000006</v>
      </c>
      <c r="G37">
        <v>35.518391999999992</v>
      </c>
      <c r="H37">
        <v>3.043544000000014</v>
      </c>
      <c r="I37">
        <v>30.758475999999995</v>
      </c>
      <c r="J37">
        <v>12.711271999999994</v>
      </c>
      <c r="K37">
        <v>40.223819999999975</v>
      </c>
      <c r="L37">
        <v>34.459767999999997</v>
      </c>
      <c r="M37">
        <v>17.482863999999989</v>
      </c>
      <c r="N37">
        <v>40.225765999999979</v>
      </c>
      <c r="O37">
        <v>52.146961999999995</v>
      </c>
    </row>
  </sheetData>
  <pageMargins left="0.7" right="0.7" top="0.75" bottom="0.75" header="0.3" footer="0.3"/>
  <pageSetup paperSize="9" orientation="portrait" horizontalDpi="4294967293" verticalDpi="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T58"/>
  <sheetViews>
    <sheetView topLeftCell="A31" zoomScale="85" zoomScaleNormal="85" workbookViewId="0">
      <selection activeCell="S53" sqref="S53:T53"/>
    </sheetView>
  </sheetViews>
  <sheetFormatPr defaultRowHeight="14.4" x14ac:dyDescent="0.55000000000000004"/>
  <cols>
    <col min="1" max="1" width="3.47265625" customWidth="1"/>
    <col min="2" max="2" width="3.1015625" customWidth="1"/>
    <col min="3" max="3" width="12.3671875" customWidth="1"/>
    <col min="4" max="4" width="10.20703125" customWidth="1"/>
    <col min="10" max="10" width="8.83984375" style="3"/>
  </cols>
  <sheetData>
    <row r="1" spans="1:19" ht="57.6" x14ac:dyDescent="0.55000000000000004">
      <c r="A1" t="s">
        <v>922</v>
      </c>
      <c r="B1" s="3" t="s">
        <v>973</v>
      </c>
      <c r="C1" s="2" t="s">
        <v>0</v>
      </c>
      <c r="D1" s="2" t="s">
        <v>90</v>
      </c>
      <c r="E1" s="2" t="s">
        <v>88</v>
      </c>
      <c r="F1" s="2" t="s">
        <v>2</v>
      </c>
      <c r="G1" s="2" t="s">
        <v>3</v>
      </c>
      <c r="H1" s="2" t="s">
        <v>11</v>
      </c>
      <c r="I1" s="2" t="s">
        <v>12</v>
      </c>
      <c r="J1" s="2" t="s">
        <v>1267</v>
      </c>
      <c r="K1" s="2" t="s">
        <v>19</v>
      </c>
      <c r="L1" s="2" t="s">
        <v>10</v>
      </c>
      <c r="M1" s="2" t="s">
        <v>8</v>
      </c>
      <c r="N1" s="2" t="s">
        <v>9</v>
      </c>
      <c r="O1" s="2" t="s">
        <v>123</v>
      </c>
      <c r="P1" s="2" t="s">
        <v>5</v>
      </c>
      <c r="Q1" s="3" t="s">
        <v>355</v>
      </c>
      <c r="R1" s="3" t="s">
        <v>450</v>
      </c>
    </row>
    <row r="2" spans="1:19" x14ac:dyDescent="0.55000000000000004">
      <c r="A2">
        <v>1</v>
      </c>
      <c r="C2" t="s">
        <v>1454</v>
      </c>
      <c r="D2" t="s">
        <v>1459</v>
      </c>
      <c r="E2" t="s">
        <v>1460</v>
      </c>
      <c r="F2" s="6">
        <v>88.867000000000004</v>
      </c>
      <c r="G2" s="6">
        <v>86.885000000000005</v>
      </c>
      <c r="H2" s="6">
        <f t="shared" ref="H2:H9" si="0">G2-F2</f>
        <v>-1.9819999999999993</v>
      </c>
      <c r="I2" s="6">
        <f t="shared" ref="I2:I9" si="1">H2*0.0973</f>
        <v>-0.19284859999999993</v>
      </c>
      <c r="J2" s="12">
        <f t="shared" ref="J2:J9" si="2">I2*20</f>
        <v>-3.8569719999999985</v>
      </c>
      <c r="K2" s="6">
        <v>66.63</v>
      </c>
      <c r="L2" s="6">
        <v>2700</v>
      </c>
      <c r="M2" s="6">
        <v>3274</v>
      </c>
      <c r="N2" s="6">
        <v>163.36000000000001</v>
      </c>
      <c r="O2">
        <f>N2-K2</f>
        <v>96.730000000000018</v>
      </c>
      <c r="Q2" s="85">
        <v>15</v>
      </c>
      <c r="R2" s="85">
        <v>0</v>
      </c>
      <c r="S2">
        <f>R2/(Q2+R2)</f>
        <v>0</v>
      </c>
    </row>
    <row r="3" spans="1:19" x14ac:dyDescent="0.55000000000000004">
      <c r="C3" t="s">
        <v>1454</v>
      </c>
      <c r="D3" t="s">
        <v>1459</v>
      </c>
      <c r="E3" t="s">
        <v>1460</v>
      </c>
      <c r="F3" s="6">
        <v>88.867000000000004</v>
      </c>
      <c r="G3" s="6">
        <v>86.286000000000001</v>
      </c>
      <c r="H3" s="6">
        <f t="shared" si="0"/>
        <v>-2.5810000000000031</v>
      </c>
      <c r="I3" s="6">
        <f t="shared" si="1"/>
        <v>-0.25113130000000028</v>
      </c>
      <c r="J3" s="12">
        <f t="shared" si="2"/>
        <v>-5.022626000000006</v>
      </c>
      <c r="K3" s="6">
        <v>66.63</v>
      </c>
      <c r="L3" s="6">
        <v>270</v>
      </c>
      <c r="M3" s="6">
        <v>3480</v>
      </c>
      <c r="N3" s="6">
        <v>174.17</v>
      </c>
      <c r="O3">
        <f t="shared" ref="O3:O49" si="3">N3-K3</f>
        <v>107.53999999999999</v>
      </c>
      <c r="Q3" s="216"/>
      <c r="R3" s="216"/>
    </row>
    <row r="4" spans="1:19" x14ac:dyDescent="0.55000000000000004">
      <c r="A4">
        <v>2</v>
      </c>
      <c r="B4">
        <v>1</v>
      </c>
      <c r="C4" t="s">
        <v>1469</v>
      </c>
      <c r="D4" t="s">
        <v>1461</v>
      </c>
      <c r="E4" t="s">
        <v>1460</v>
      </c>
      <c r="F4" s="85">
        <v>87.954999999999998</v>
      </c>
      <c r="G4" s="85">
        <v>111.767</v>
      </c>
      <c r="H4" s="85">
        <f t="shared" si="0"/>
        <v>23.811999999999998</v>
      </c>
      <c r="I4" s="85">
        <f t="shared" si="1"/>
        <v>2.3169075999999995</v>
      </c>
      <c r="J4" s="3">
        <f t="shared" si="2"/>
        <v>46.338151999999994</v>
      </c>
      <c r="K4" s="85">
        <v>97.76</v>
      </c>
      <c r="L4" s="85">
        <v>1811</v>
      </c>
      <c r="M4" s="85">
        <v>4275</v>
      </c>
      <c r="N4" s="85">
        <v>220.42</v>
      </c>
      <c r="O4">
        <f t="shared" si="3"/>
        <v>122.65999999999998</v>
      </c>
      <c r="P4" s="85"/>
      <c r="Q4" s="85">
        <v>9</v>
      </c>
      <c r="R4" s="85">
        <v>3</v>
      </c>
      <c r="S4">
        <f t="shared" ref="S4:S49" si="4">R4/(Q4+R4)</f>
        <v>0.25</v>
      </c>
    </row>
    <row r="5" spans="1:19" x14ac:dyDescent="0.55000000000000004">
      <c r="B5">
        <v>2</v>
      </c>
      <c r="C5" t="s">
        <v>1470</v>
      </c>
      <c r="D5" t="s">
        <v>1461</v>
      </c>
      <c r="E5" t="s">
        <v>1460</v>
      </c>
      <c r="F5" s="85">
        <v>78.772000000000006</v>
      </c>
      <c r="G5" s="85">
        <v>86.677000000000007</v>
      </c>
      <c r="H5" s="85">
        <f t="shared" si="0"/>
        <v>7.9050000000000011</v>
      </c>
      <c r="I5" s="85">
        <f t="shared" si="1"/>
        <v>0.76915650000000013</v>
      </c>
      <c r="J5" s="3">
        <f t="shared" si="2"/>
        <v>15.383130000000003</v>
      </c>
      <c r="K5" s="85">
        <v>97.76</v>
      </c>
      <c r="L5" s="85">
        <v>1811</v>
      </c>
      <c r="M5" s="85">
        <v>4673</v>
      </c>
      <c r="N5" s="85">
        <v>240.95</v>
      </c>
      <c r="O5">
        <f t="shared" si="3"/>
        <v>143.19</v>
      </c>
      <c r="P5" s="85" t="s">
        <v>1479</v>
      </c>
      <c r="Q5" s="216"/>
      <c r="R5" s="216"/>
    </row>
    <row r="6" spans="1:19" s="111" customFormat="1" x14ac:dyDescent="0.55000000000000004">
      <c r="C6" s="111" t="s">
        <v>1471</v>
      </c>
      <c r="D6" s="111" t="s">
        <v>1461</v>
      </c>
      <c r="E6" s="111" t="s">
        <v>1460</v>
      </c>
      <c r="F6" s="111">
        <v>87.954999999999998</v>
      </c>
      <c r="G6" s="111">
        <v>92.858999999999995</v>
      </c>
      <c r="H6" s="111">
        <f t="shared" si="0"/>
        <v>4.9039999999999964</v>
      </c>
      <c r="I6" s="111">
        <f t="shared" si="1"/>
        <v>0.47715919999999962</v>
      </c>
      <c r="J6" s="113">
        <f t="shared" si="2"/>
        <v>9.543183999999993</v>
      </c>
      <c r="K6" s="111">
        <v>97.76</v>
      </c>
      <c r="L6" s="111">
        <v>1811</v>
      </c>
      <c r="M6" s="111">
        <v>4673</v>
      </c>
      <c r="N6" s="111">
        <v>240.95</v>
      </c>
      <c r="O6">
        <f t="shared" si="3"/>
        <v>143.19</v>
      </c>
      <c r="Q6" s="157"/>
      <c r="R6" s="157"/>
      <c r="S6"/>
    </row>
    <row r="7" spans="1:19" s="6" customFormat="1" x14ac:dyDescent="0.55000000000000004">
      <c r="C7" s="6" t="s">
        <v>1472</v>
      </c>
      <c r="D7" s="6" t="s">
        <v>1461</v>
      </c>
      <c r="E7" s="6" t="s">
        <v>1460</v>
      </c>
      <c r="F7" s="6">
        <v>78.772000000000006</v>
      </c>
      <c r="G7" s="6">
        <v>78.256</v>
      </c>
      <c r="H7" s="6">
        <f t="shared" si="0"/>
        <v>-0.51600000000000534</v>
      </c>
      <c r="I7" s="6">
        <f t="shared" si="1"/>
        <v>-5.0206800000000516E-2</v>
      </c>
      <c r="J7" s="12">
        <f t="shared" si="2"/>
        <v>-1.0041360000000104</v>
      </c>
      <c r="K7" s="6">
        <v>97.76</v>
      </c>
      <c r="L7" s="6">
        <v>1811</v>
      </c>
      <c r="M7" s="6">
        <v>5085</v>
      </c>
      <c r="N7" s="6">
        <v>262.19</v>
      </c>
      <c r="O7" s="6">
        <f t="shared" si="3"/>
        <v>164.43</v>
      </c>
      <c r="P7" s="6" t="s">
        <v>1480</v>
      </c>
      <c r="Q7" s="17"/>
      <c r="R7" s="17"/>
      <c r="S7"/>
    </row>
    <row r="8" spans="1:19" x14ac:dyDescent="0.55000000000000004">
      <c r="B8">
        <v>3</v>
      </c>
      <c r="C8" t="s">
        <v>1473</v>
      </c>
      <c r="D8" t="s">
        <v>1461</v>
      </c>
      <c r="E8" t="s">
        <v>1460</v>
      </c>
      <c r="F8" s="85">
        <v>78.772000000000006</v>
      </c>
      <c r="G8" s="85">
        <v>86.004999999999995</v>
      </c>
      <c r="H8" s="85">
        <f t="shared" si="0"/>
        <v>7.2329999999999899</v>
      </c>
      <c r="I8" s="85">
        <f t="shared" si="1"/>
        <v>0.70377089999999898</v>
      </c>
      <c r="J8" s="3">
        <f t="shared" si="2"/>
        <v>14.07541799999998</v>
      </c>
      <c r="K8" s="85">
        <v>97.76</v>
      </c>
      <c r="L8" s="85">
        <v>1811</v>
      </c>
      <c r="M8" s="85">
        <v>5509</v>
      </c>
      <c r="N8" s="85">
        <v>284.05</v>
      </c>
      <c r="O8">
        <f t="shared" si="3"/>
        <v>186.29000000000002</v>
      </c>
      <c r="P8" s="85" t="s">
        <v>1481</v>
      </c>
      <c r="Q8" s="216"/>
      <c r="R8" s="216"/>
    </row>
    <row r="9" spans="1:19" s="111" customFormat="1" x14ac:dyDescent="0.55000000000000004">
      <c r="C9" s="111" t="s">
        <v>1474</v>
      </c>
      <c r="D9" s="111" t="s">
        <v>1461</v>
      </c>
      <c r="E9" s="111" t="s">
        <v>1460</v>
      </c>
      <c r="F9" s="111">
        <v>87.954999999999998</v>
      </c>
      <c r="G9" s="111">
        <v>107.03</v>
      </c>
      <c r="H9" s="111">
        <f t="shared" si="0"/>
        <v>19.075000000000003</v>
      </c>
      <c r="I9" s="111">
        <f t="shared" si="1"/>
        <v>1.8559975000000002</v>
      </c>
      <c r="J9" s="113">
        <f t="shared" si="2"/>
        <v>37.119950000000003</v>
      </c>
      <c r="K9" s="111">
        <v>97.76</v>
      </c>
      <c r="L9" s="111">
        <v>1811</v>
      </c>
      <c r="M9" s="111">
        <v>5509</v>
      </c>
      <c r="N9" s="111">
        <v>284.05</v>
      </c>
      <c r="O9" s="111">
        <f t="shared" si="3"/>
        <v>186.29000000000002</v>
      </c>
      <c r="Q9" s="157"/>
      <c r="R9" s="157"/>
      <c r="S9"/>
    </row>
    <row r="10" spans="1:19" x14ac:dyDescent="0.55000000000000004">
      <c r="A10">
        <v>3</v>
      </c>
      <c r="C10" t="s">
        <v>1455</v>
      </c>
      <c r="D10" t="s">
        <v>1462</v>
      </c>
      <c r="E10" t="s">
        <v>1460</v>
      </c>
      <c r="F10" s="85" t="s">
        <v>325</v>
      </c>
      <c r="G10" s="85"/>
      <c r="H10" s="85"/>
      <c r="I10" s="85"/>
      <c r="K10" s="85">
        <v>1.64</v>
      </c>
      <c r="L10" s="85"/>
      <c r="M10" s="85"/>
      <c r="N10" s="85"/>
      <c r="O10" s="111"/>
      <c r="P10" s="85"/>
      <c r="Q10" s="85">
        <v>7</v>
      </c>
      <c r="R10" s="85">
        <v>0</v>
      </c>
      <c r="S10">
        <f t="shared" si="4"/>
        <v>0</v>
      </c>
    </row>
    <row r="11" spans="1:19" x14ac:dyDescent="0.55000000000000004">
      <c r="A11">
        <v>4</v>
      </c>
      <c r="C11" t="s">
        <v>1475</v>
      </c>
      <c r="D11" t="s">
        <v>1463</v>
      </c>
      <c r="E11" t="s">
        <v>1460</v>
      </c>
      <c r="F11" s="85" t="s">
        <v>325</v>
      </c>
      <c r="G11" s="85"/>
      <c r="H11" s="85"/>
      <c r="I11" s="85"/>
      <c r="K11" s="85">
        <v>224.14</v>
      </c>
      <c r="L11" s="85"/>
      <c r="M11" s="85"/>
      <c r="N11" s="85"/>
      <c r="O11" s="111"/>
      <c r="P11" s="85"/>
      <c r="Q11" s="85">
        <v>10</v>
      </c>
      <c r="R11" s="85">
        <v>0</v>
      </c>
      <c r="S11">
        <f t="shared" si="4"/>
        <v>0</v>
      </c>
    </row>
    <row r="12" spans="1:19" x14ac:dyDescent="0.55000000000000004">
      <c r="A12">
        <v>5</v>
      </c>
      <c r="C12" t="s">
        <v>1476</v>
      </c>
      <c r="D12" t="s">
        <v>1463</v>
      </c>
      <c r="E12" t="s">
        <v>1460</v>
      </c>
      <c r="F12" s="85" t="s">
        <v>325</v>
      </c>
      <c r="G12" s="85"/>
      <c r="H12" s="85"/>
      <c r="I12" s="85"/>
      <c r="K12" s="85">
        <v>286.89</v>
      </c>
      <c r="L12" s="85"/>
      <c r="M12" s="85"/>
      <c r="N12" s="85"/>
      <c r="O12" s="111"/>
      <c r="P12" s="85"/>
      <c r="Q12" s="85">
        <v>5</v>
      </c>
      <c r="R12" s="85">
        <v>0</v>
      </c>
      <c r="S12">
        <f t="shared" si="4"/>
        <v>0</v>
      </c>
    </row>
    <row r="13" spans="1:19" x14ac:dyDescent="0.55000000000000004">
      <c r="A13">
        <v>6</v>
      </c>
      <c r="B13">
        <v>4</v>
      </c>
      <c r="C13" t="s">
        <v>1483</v>
      </c>
      <c r="D13" t="s">
        <v>1464</v>
      </c>
      <c r="E13" t="s">
        <v>1460</v>
      </c>
      <c r="F13" s="85">
        <v>90.915000000000006</v>
      </c>
      <c r="G13" s="85">
        <v>103.447</v>
      </c>
      <c r="H13" s="85">
        <f>G13-F13</f>
        <v>12.531999999999996</v>
      </c>
      <c r="I13" s="85">
        <f>H13*0.0973</f>
        <v>1.2193635999999997</v>
      </c>
      <c r="J13" s="3">
        <f>I13*20</f>
        <v>24.387271999999992</v>
      </c>
      <c r="K13" s="85">
        <v>16.399999999999999</v>
      </c>
      <c r="L13" s="85">
        <v>36</v>
      </c>
      <c r="M13" s="85">
        <v>1937</v>
      </c>
      <c r="N13" s="85">
        <v>99.27</v>
      </c>
      <c r="O13" s="111">
        <f t="shared" si="3"/>
        <v>82.87</v>
      </c>
      <c r="P13" s="85"/>
      <c r="Q13" s="85">
        <v>10</v>
      </c>
      <c r="R13" s="85">
        <v>2</v>
      </c>
      <c r="S13">
        <f t="shared" si="4"/>
        <v>0.16666666666666666</v>
      </c>
    </row>
    <row r="14" spans="1:19" s="111" customFormat="1" x14ac:dyDescent="0.55000000000000004">
      <c r="C14" s="111" t="s">
        <v>1482</v>
      </c>
      <c r="D14" s="111" t="s">
        <v>1464</v>
      </c>
      <c r="E14" s="111" t="s">
        <v>1460</v>
      </c>
      <c r="F14" s="111">
        <v>92.105000000000004</v>
      </c>
      <c r="G14" s="111">
        <v>101.46899999999999</v>
      </c>
      <c r="H14" s="111">
        <f>G14-F14</f>
        <v>9.3639999999999901</v>
      </c>
      <c r="I14" s="111">
        <f>H14*0.0973</f>
        <v>0.91111719999999896</v>
      </c>
      <c r="J14" s="113">
        <f>I14*20</f>
        <v>18.222343999999978</v>
      </c>
      <c r="K14" s="111">
        <v>16.399999999999999</v>
      </c>
      <c r="L14" s="111">
        <v>36</v>
      </c>
      <c r="M14" s="111">
        <v>1937</v>
      </c>
      <c r="N14" s="111">
        <v>99.27</v>
      </c>
      <c r="O14" s="111">
        <f>N14-K14</f>
        <v>82.87</v>
      </c>
      <c r="Q14" s="111">
        <v>10</v>
      </c>
      <c r="R14" s="111">
        <v>2</v>
      </c>
      <c r="S14">
        <f t="shared" si="4"/>
        <v>0.16666666666666666</v>
      </c>
    </row>
    <row r="15" spans="1:19" s="7" customFormat="1" x14ac:dyDescent="0.55000000000000004">
      <c r="B15" s="7">
        <v>5</v>
      </c>
      <c r="C15" s="7" t="s">
        <v>1477</v>
      </c>
      <c r="D15" s="7" t="s">
        <v>1464</v>
      </c>
      <c r="E15" s="7" t="s">
        <v>1460</v>
      </c>
      <c r="F15" s="7">
        <v>91.165000000000006</v>
      </c>
      <c r="G15" s="7">
        <v>98.557000000000002</v>
      </c>
      <c r="H15" s="7">
        <f>G15-F15</f>
        <v>7.3919999999999959</v>
      </c>
      <c r="I15" s="7">
        <f>H15*0.0973</f>
        <v>0.71924159999999959</v>
      </c>
      <c r="J15" s="19">
        <f>I15*20</f>
        <v>14.384831999999992</v>
      </c>
      <c r="K15" s="7">
        <v>16.399999999999999</v>
      </c>
      <c r="L15" s="7">
        <v>36</v>
      </c>
      <c r="M15" s="7">
        <v>3895</v>
      </c>
      <c r="N15" s="7">
        <v>199.62</v>
      </c>
      <c r="O15" s="7">
        <f t="shared" si="3"/>
        <v>183.22</v>
      </c>
      <c r="Q15" s="225"/>
      <c r="R15" s="225"/>
      <c r="S15"/>
    </row>
    <row r="16" spans="1:19" s="111" customFormat="1" x14ac:dyDescent="0.55000000000000004">
      <c r="C16" s="111" t="s">
        <v>1478</v>
      </c>
      <c r="D16" s="111" t="s">
        <v>1464</v>
      </c>
      <c r="E16" s="111" t="s">
        <v>1460</v>
      </c>
      <c r="H16" s="111">
        <f>G16-F16</f>
        <v>0</v>
      </c>
      <c r="I16" s="111">
        <f>H16*0.0973</f>
        <v>0</v>
      </c>
      <c r="J16" s="113">
        <f>I16*20</f>
        <v>0</v>
      </c>
      <c r="K16" s="111">
        <v>16.399999999999999</v>
      </c>
      <c r="L16" s="111">
        <v>36</v>
      </c>
      <c r="M16" s="111">
        <v>3895</v>
      </c>
      <c r="N16" s="111">
        <v>199.62</v>
      </c>
      <c r="O16" s="111">
        <f t="shared" si="3"/>
        <v>183.22</v>
      </c>
      <c r="P16" s="111" t="s">
        <v>1484</v>
      </c>
      <c r="Q16" s="157"/>
      <c r="R16" s="157"/>
      <c r="S16"/>
    </row>
    <row r="17" spans="1:20" x14ac:dyDescent="0.55000000000000004">
      <c r="A17">
        <v>7</v>
      </c>
      <c r="C17" t="s">
        <v>1456</v>
      </c>
      <c r="D17" t="s">
        <v>1465</v>
      </c>
      <c r="E17" t="s">
        <v>1460</v>
      </c>
      <c r="F17" s="85" t="s">
        <v>325</v>
      </c>
      <c r="G17" s="85"/>
      <c r="H17" s="85"/>
      <c r="I17" s="85"/>
      <c r="K17" s="85">
        <v>48.1</v>
      </c>
      <c r="L17" s="85"/>
      <c r="M17" s="85"/>
      <c r="N17" s="85"/>
      <c r="O17" s="111">
        <f t="shared" si="3"/>
        <v>-48.1</v>
      </c>
      <c r="P17" s="85"/>
      <c r="Q17" s="85">
        <v>9</v>
      </c>
      <c r="R17" s="85">
        <v>0</v>
      </c>
      <c r="S17">
        <f t="shared" si="4"/>
        <v>0</v>
      </c>
    </row>
    <row r="18" spans="1:20" x14ac:dyDescent="0.55000000000000004">
      <c r="A18">
        <v>8</v>
      </c>
      <c r="C18" t="s">
        <v>1457</v>
      </c>
      <c r="D18" t="s">
        <v>1466</v>
      </c>
      <c r="E18" t="s">
        <v>1460</v>
      </c>
      <c r="F18" s="85" t="s">
        <v>325</v>
      </c>
      <c r="G18" s="85"/>
      <c r="H18" s="85"/>
      <c r="I18" s="85"/>
      <c r="K18" s="85"/>
      <c r="L18" s="85"/>
      <c r="M18" s="85"/>
      <c r="N18" s="85"/>
      <c r="O18" s="111">
        <f t="shared" si="3"/>
        <v>0</v>
      </c>
      <c r="P18" s="85"/>
      <c r="Q18" s="85">
        <v>12</v>
      </c>
      <c r="R18" s="85">
        <v>0</v>
      </c>
      <c r="S18">
        <f t="shared" si="4"/>
        <v>0</v>
      </c>
    </row>
    <row r="19" spans="1:20" x14ac:dyDescent="0.55000000000000004">
      <c r="A19">
        <v>9</v>
      </c>
      <c r="C19" t="s">
        <v>1485</v>
      </c>
      <c r="D19" t="s">
        <v>1467</v>
      </c>
      <c r="E19" t="s">
        <v>1460</v>
      </c>
      <c r="F19" s="85" t="s">
        <v>325</v>
      </c>
      <c r="G19" s="85"/>
      <c r="H19" s="85"/>
      <c r="I19" s="85"/>
      <c r="K19" s="85">
        <v>91.1</v>
      </c>
      <c r="L19" s="85"/>
      <c r="M19" s="85"/>
      <c r="N19" s="85"/>
      <c r="O19" s="111">
        <f t="shared" si="3"/>
        <v>-91.1</v>
      </c>
      <c r="P19" s="85"/>
      <c r="Q19" s="85">
        <v>2</v>
      </c>
      <c r="R19" s="85">
        <v>0</v>
      </c>
      <c r="S19">
        <f t="shared" si="4"/>
        <v>0</v>
      </c>
    </row>
    <row r="20" spans="1:20" x14ac:dyDescent="0.55000000000000004">
      <c r="A20">
        <v>10</v>
      </c>
      <c r="B20">
        <v>6</v>
      </c>
      <c r="C20" t="s">
        <v>1486</v>
      </c>
      <c r="D20" t="s">
        <v>1467</v>
      </c>
      <c r="E20" t="s">
        <v>1460</v>
      </c>
      <c r="F20" s="85">
        <v>77.150999999999996</v>
      </c>
      <c r="G20" s="85">
        <v>84.77</v>
      </c>
      <c r="H20" s="85">
        <f>G20-F20</f>
        <v>7.6189999999999998</v>
      </c>
      <c r="I20" s="85">
        <f>H20*0.0973</f>
        <v>0.74132869999999995</v>
      </c>
      <c r="J20" s="3">
        <f>I20*20</f>
        <v>14.826573999999999</v>
      </c>
      <c r="K20" s="85">
        <v>143.97999999999999</v>
      </c>
      <c r="L20" s="85">
        <v>826</v>
      </c>
      <c r="M20" s="85">
        <v>4429</v>
      </c>
      <c r="N20" s="85">
        <v>223.91</v>
      </c>
      <c r="O20" s="111">
        <f>N20-K20</f>
        <v>79.930000000000007</v>
      </c>
      <c r="P20" s="85"/>
      <c r="Q20" s="85">
        <v>12</v>
      </c>
      <c r="R20" s="85">
        <v>2</v>
      </c>
      <c r="S20">
        <f t="shared" si="4"/>
        <v>0.14285714285714285</v>
      </c>
    </row>
    <row r="21" spans="1:20" x14ac:dyDescent="0.55000000000000004">
      <c r="B21">
        <v>7</v>
      </c>
      <c r="C21" t="s">
        <v>1487</v>
      </c>
      <c r="D21" t="s">
        <v>1467</v>
      </c>
      <c r="E21" t="s">
        <v>1460</v>
      </c>
      <c r="F21" s="85">
        <v>88.150999999999996</v>
      </c>
      <c r="G21" s="85">
        <v>99.950999999999993</v>
      </c>
      <c r="H21" s="85">
        <f>G21-F21</f>
        <v>11.799999999999997</v>
      </c>
      <c r="I21" s="85">
        <f>H21*0.0973</f>
        <v>1.1481399999999997</v>
      </c>
      <c r="J21" s="3">
        <f>I21*20</f>
        <v>22.962799999999994</v>
      </c>
      <c r="K21" s="85">
        <v>143.97999999999999</v>
      </c>
      <c r="L21" s="85">
        <v>826</v>
      </c>
      <c r="M21" s="85">
        <v>5953</v>
      </c>
      <c r="N21" s="85">
        <v>300.95999999999998</v>
      </c>
      <c r="O21" s="111">
        <f>N21-K21</f>
        <v>156.97999999999999</v>
      </c>
      <c r="P21" s="85"/>
      <c r="Q21" s="216"/>
      <c r="R21" s="216"/>
    </row>
    <row r="22" spans="1:20" s="111" customFormat="1" x14ac:dyDescent="0.55000000000000004">
      <c r="C22" s="111" t="s">
        <v>1488</v>
      </c>
      <c r="D22" s="111" t="s">
        <v>1467</v>
      </c>
      <c r="E22" s="111" t="s">
        <v>1460</v>
      </c>
      <c r="F22" s="111">
        <v>72.863</v>
      </c>
      <c r="G22" s="111">
        <v>78.436000000000007</v>
      </c>
      <c r="H22" s="111">
        <f>G22-F22</f>
        <v>5.5730000000000075</v>
      </c>
      <c r="I22" s="111">
        <f>H22*0.0973</f>
        <v>0.5422529000000007</v>
      </c>
      <c r="J22" s="113">
        <f>I22*20</f>
        <v>10.845058000000014</v>
      </c>
      <c r="K22" s="111">
        <v>143.97999999999999</v>
      </c>
      <c r="L22" s="111">
        <v>826</v>
      </c>
      <c r="M22" s="111">
        <v>5953</v>
      </c>
      <c r="N22" s="111">
        <v>300.95999999999998</v>
      </c>
      <c r="O22" s="111">
        <f>N22-K22</f>
        <v>156.97999999999999</v>
      </c>
      <c r="Q22" s="157"/>
      <c r="R22" s="157"/>
      <c r="S22"/>
    </row>
    <row r="23" spans="1:20" x14ac:dyDescent="0.55000000000000004">
      <c r="A23">
        <v>11</v>
      </c>
      <c r="C23" t="s">
        <v>1458</v>
      </c>
      <c r="D23" t="s">
        <v>1468</v>
      </c>
      <c r="E23" t="s">
        <v>1460</v>
      </c>
      <c r="F23" s="85" t="s">
        <v>325</v>
      </c>
      <c r="G23" s="85"/>
      <c r="H23" s="85"/>
      <c r="I23" s="85"/>
      <c r="K23" s="85"/>
      <c r="L23" s="85"/>
      <c r="M23" s="85"/>
      <c r="N23" s="85"/>
      <c r="O23" s="111">
        <f t="shared" si="3"/>
        <v>0</v>
      </c>
      <c r="P23" s="85"/>
      <c r="Q23" s="85">
        <v>12</v>
      </c>
      <c r="R23" s="85">
        <v>0</v>
      </c>
      <c r="S23">
        <f t="shared" si="4"/>
        <v>0</v>
      </c>
    </row>
    <row r="24" spans="1:20" x14ac:dyDescent="0.55000000000000004">
      <c r="A24">
        <v>12</v>
      </c>
      <c r="C24" t="s">
        <v>1489</v>
      </c>
      <c r="D24" t="s">
        <v>1498</v>
      </c>
      <c r="E24" t="s">
        <v>1460</v>
      </c>
      <c r="F24" s="85" t="s">
        <v>325</v>
      </c>
      <c r="G24" s="85"/>
      <c r="H24" s="85"/>
      <c r="I24" s="85"/>
      <c r="K24" s="85"/>
      <c r="L24" s="85"/>
      <c r="M24" s="85"/>
      <c r="N24" s="85"/>
      <c r="O24" s="111">
        <f t="shared" si="3"/>
        <v>0</v>
      </c>
      <c r="P24" s="85"/>
      <c r="Q24" s="85">
        <v>5</v>
      </c>
      <c r="R24" s="85">
        <v>0</v>
      </c>
      <c r="S24">
        <f t="shared" si="4"/>
        <v>0</v>
      </c>
    </row>
    <row r="25" spans="1:20" x14ac:dyDescent="0.55000000000000004">
      <c r="A25">
        <v>12</v>
      </c>
      <c r="C25" t="s">
        <v>1500</v>
      </c>
      <c r="D25" t="s">
        <v>1498</v>
      </c>
      <c r="E25" t="s">
        <v>1460</v>
      </c>
      <c r="F25" s="85" t="s">
        <v>325</v>
      </c>
      <c r="G25" s="85"/>
      <c r="H25" s="85"/>
      <c r="I25" s="85"/>
      <c r="K25" s="85"/>
      <c r="L25" s="85"/>
      <c r="M25" s="85"/>
      <c r="N25" s="85"/>
      <c r="O25" s="111">
        <f t="shared" si="3"/>
        <v>0</v>
      </c>
      <c r="P25" s="85"/>
      <c r="Q25" s="85">
        <v>10</v>
      </c>
      <c r="R25" s="85">
        <v>0</v>
      </c>
      <c r="S25">
        <f t="shared" si="4"/>
        <v>0</v>
      </c>
    </row>
    <row r="26" spans="1:20" x14ac:dyDescent="0.55000000000000004">
      <c r="A26">
        <v>14</v>
      </c>
      <c r="C26" t="s">
        <v>1499</v>
      </c>
      <c r="D26" t="s">
        <v>1498</v>
      </c>
      <c r="E26" t="s">
        <v>1460</v>
      </c>
      <c r="F26" s="85" t="s">
        <v>1501</v>
      </c>
      <c r="G26" s="85"/>
      <c r="H26" s="85"/>
      <c r="I26" s="85"/>
      <c r="K26" s="85"/>
      <c r="L26" s="85"/>
      <c r="M26" s="85"/>
      <c r="N26" s="85"/>
      <c r="O26" s="111">
        <f>N26-K26</f>
        <v>0</v>
      </c>
      <c r="P26" s="85"/>
      <c r="Q26" s="85">
        <v>11</v>
      </c>
      <c r="R26" s="85">
        <v>0</v>
      </c>
      <c r="S26">
        <f t="shared" si="4"/>
        <v>0</v>
      </c>
    </row>
    <row r="27" spans="1:20" x14ac:dyDescent="0.55000000000000004">
      <c r="C27" t="s">
        <v>1490</v>
      </c>
      <c r="D27" t="s">
        <v>1498</v>
      </c>
      <c r="E27" t="s">
        <v>1460</v>
      </c>
      <c r="F27" s="85"/>
      <c r="H27" s="85">
        <f t="shared" ref="H27:H49" si="5">G27-F27</f>
        <v>0</v>
      </c>
      <c r="I27" s="85">
        <f>H27*0.0973</f>
        <v>0</v>
      </c>
      <c r="J27" s="3">
        <f t="shared" ref="J27:J36" si="6">I27*20</f>
        <v>0</v>
      </c>
      <c r="K27">
        <v>48.5</v>
      </c>
      <c r="L27">
        <v>1853</v>
      </c>
      <c r="M27">
        <v>2354</v>
      </c>
      <c r="N27">
        <v>79.45</v>
      </c>
      <c r="O27" s="111">
        <f t="shared" si="3"/>
        <v>30.950000000000003</v>
      </c>
      <c r="Q27" s="85">
        <v>10</v>
      </c>
      <c r="R27" s="85">
        <v>4</v>
      </c>
      <c r="S27">
        <f t="shared" si="4"/>
        <v>0.2857142857142857</v>
      </c>
    </row>
    <row r="28" spans="1:20" x14ac:dyDescent="0.55000000000000004">
      <c r="C28" t="s">
        <v>1490</v>
      </c>
      <c r="D28" t="s">
        <v>1498</v>
      </c>
      <c r="E28" t="s">
        <v>1460</v>
      </c>
      <c r="F28" s="85"/>
      <c r="H28" s="85">
        <f>G28-F28</f>
        <v>0</v>
      </c>
      <c r="I28" s="85">
        <f>H28*0.0973</f>
        <v>0</v>
      </c>
      <c r="J28" s="3">
        <f t="shared" si="6"/>
        <v>0</v>
      </c>
      <c r="K28">
        <v>48.5</v>
      </c>
      <c r="M28">
        <v>3914</v>
      </c>
      <c r="N28">
        <v>132.11000000000001</v>
      </c>
      <c r="O28" s="111">
        <f>N28-K28</f>
        <v>83.610000000000014</v>
      </c>
      <c r="Q28" s="15"/>
      <c r="R28" s="15"/>
    </row>
    <row r="29" spans="1:20" x14ac:dyDescent="0.55000000000000004">
      <c r="C29" t="s">
        <v>1490</v>
      </c>
      <c r="D29" t="s">
        <v>1498</v>
      </c>
      <c r="E29" t="s">
        <v>1460</v>
      </c>
      <c r="F29" s="85"/>
      <c r="H29" s="85">
        <f>G29-F29</f>
        <v>0</v>
      </c>
      <c r="I29" s="85">
        <f>H29*0.0973</f>
        <v>0</v>
      </c>
      <c r="J29" s="3">
        <f t="shared" si="6"/>
        <v>0</v>
      </c>
      <c r="K29">
        <v>48.5</v>
      </c>
      <c r="M29">
        <v>4071</v>
      </c>
      <c r="N29">
        <v>137.41</v>
      </c>
      <c r="O29" s="111">
        <f>N29-K29</f>
        <v>88.91</v>
      </c>
      <c r="Q29" s="15"/>
      <c r="R29" s="15"/>
      <c r="T29" t="s">
        <v>1534</v>
      </c>
    </row>
    <row r="30" spans="1:20" x14ac:dyDescent="0.55000000000000004">
      <c r="C30" t="s">
        <v>1491</v>
      </c>
      <c r="D30" t="s">
        <v>1498</v>
      </c>
      <c r="E30" t="s">
        <v>1460</v>
      </c>
      <c r="F30" s="85" t="s">
        <v>325</v>
      </c>
      <c r="H30" s="85"/>
      <c r="I30" s="85"/>
      <c r="K30" t="s">
        <v>1512</v>
      </c>
      <c r="O30" s="111"/>
      <c r="Q30">
        <v>5</v>
      </c>
      <c r="R30">
        <v>0</v>
      </c>
      <c r="S30">
        <f t="shared" si="4"/>
        <v>0</v>
      </c>
    </row>
    <row r="31" spans="1:20" x14ac:dyDescent="0.55000000000000004">
      <c r="C31" t="s">
        <v>1492</v>
      </c>
      <c r="D31" t="s">
        <v>1498</v>
      </c>
      <c r="E31" t="s">
        <v>1460</v>
      </c>
      <c r="H31" s="85">
        <f t="shared" si="5"/>
        <v>0</v>
      </c>
      <c r="I31" s="85">
        <f t="shared" ref="I31:I36" si="7">H31*0.0973</f>
        <v>0</v>
      </c>
      <c r="J31" s="3">
        <f t="shared" si="6"/>
        <v>0</v>
      </c>
      <c r="O31" s="111">
        <f t="shared" si="3"/>
        <v>0</v>
      </c>
    </row>
    <row r="32" spans="1:20" x14ac:dyDescent="0.55000000000000004">
      <c r="C32" t="s">
        <v>1493</v>
      </c>
      <c r="D32" t="s">
        <v>1498</v>
      </c>
      <c r="E32" t="s">
        <v>1460</v>
      </c>
      <c r="H32" s="85">
        <f t="shared" si="5"/>
        <v>0</v>
      </c>
      <c r="I32" s="85">
        <f t="shared" si="7"/>
        <v>0</v>
      </c>
      <c r="J32" s="3">
        <f t="shared" si="6"/>
        <v>0</v>
      </c>
      <c r="O32" s="111">
        <f t="shared" si="3"/>
        <v>0</v>
      </c>
    </row>
    <row r="33" spans="1:19" x14ac:dyDescent="0.55000000000000004">
      <c r="C33" t="s">
        <v>1494</v>
      </c>
      <c r="D33" t="s">
        <v>1498</v>
      </c>
      <c r="E33" t="s">
        <v>1460</v>
      </c>
      <c r="H33" s="85">
        <f t="shared" si="5"/>
        <v>0</v>
      </c>
      <c r="I33" s="85">
        <f t="shared" si="7"/>
        <v>0</v>
      </c>
      <c r="J33" s="3">
        <f t="shared" si="6"/>
        <v>0</v>
      </c>
      <c r="O33" s="111">
        <f t="shared" si="3"/>
        <v>0</v>
      </c>
    </row>
    <row r="34" spans="1:19" x14ac:dyDescent="0.55000000000000004">
      <c r="C34" t="s">
        <v>1495</v>
      </c>
      <c r="D34" t="s">
        <v>1498</v>
      </c>
      <c r="E34" t="s">
        <v>1460</v>
      </c>
      <c r="H34" s="85">
        <f t="shared" si="5"/>
        <v>0</v>
      </c>
      <c r="I34" s="85">
        <f t="shared" si="7"/>
        <v>0</v>
      </c>
      <c r="J34" s="3">
        <f t="shared" si="6"/>
        <v>0</v>
      </c>
      <c r="O34" s="111">
        <f t="shared" si="3"/>
        <v>0</v>
      </c>
    </row>
    <row r="35" spans="1:19" x14ac:dyDescent="0.55000000000000004">
      <c r="C35" t="s">
        <v>1496</v>
      </c>
      <c r="D35" t="s">
        <v>1498</v>
      </c>
      <c r="E35" t="s">
        <v>1460</v>
      </c>
      <c r="H35" s="85">
        <f t="shared" si="5"/>
        <v>0</v>
      </c>
      <c r="I35" s="85">
        <f t="shared" si="7"/>
        <v>0</v>
      </c>
      <c r="J35" s="3">
        <f t="shared" si="6"/>
        <v>0</v>
      </c>
      <c r="O35" s="111">
        <f t="shared" si="3"/>
        <v>0</v>
      </c>
    </row>
    <row r="36" spans="1:19" x14ac:dyDescent="0.55000000000000004">
      <c r="C36" t="s">
        <v>1497</v>
      </c>
      <c r="D36" t="s">
        <v>1498</v>
      </c>
      <c r="E36" t="s">
        <v>1460</v>
      </c>
      <c r="H36" s="85">
        <f t="shared" si="5"/>
        <v>0</v>
      </c>
      <c r="I36" s="85">
        <f t="shared" si="7"/>
        <v>0</v>
      </c>
      <c r="J36" s="3">
        <f t="shared" si="6"/>
        <v>0</v>
      </c>
      <c r="O36" s="111">
        <f t="shared" si="3"/>
        <v>0</v>
      </c>
    </row>
    <row r="37" spans="1:19" x14ac:dyDescent="0.55000000000000004">
      <c r="A37">
        <v>15</v>
      </c>
      <c r="C37" t="s">
        <v>1502</v>
      </c>
      <c r="D37" t="s">
        <v>1511</v>
      </c>
      <c r="E37" t="s">
        <v>1460</v>
      </c>
      <c r="F37" t="s">
        <v>1501</v>
      </c>
      <c r="H37" s="85"/>
      <c r="I37" s="85"/>
      <c r="K37">
        <v>81.88</v>
      </c>
      <c r="O37" s="111"/>
      <c r="Q37">
        <v>13</v>
      </c>
      <c r="R37">
        <v>1</v>
      </c>
      <c r="S37">
        <f t="shared" si="4"/>
        <v>7.1428571428571425E-2</v>
      </c>
    </row>
    <row r="38" spans="1:19" x14ac:dyDescent="0.55000000000000004">
      <c r="A38">
        <v>16</v>
      </c>
      <c r="C38" t="s">
        <v>1503</v>
      </c>
      <c r="D38" t="s">
        <v>1511</v>
      </c>
      <c r="E38" t="s">
        <v>1460</v>
      </c>
      <c r="F38" t="s">
        <v>325</v>
      </c>
      <c r="H38" s="85"/>
      <c r="I38" s="85"/>
      <c r="K38">
        <v>42.3</v>
      </c>
      <c r="O38" s="111"/>
      <c r="Q38">
        <v>10</v>
      </c>
      <c r="R38">
        <v>0</v>
      </c>
      <c r="S38">
        <f t="shared" si="4"/>
        <v>0</v>
      </c>
    </row>
    <row r="39" spans="1:19" x14ac:dyDescent="0.55000000000000004">
      <c r="A39">
        <v>17</v>
      </c>
      <c r="C39" t="s">
        <v>1504</v>
      </c>
      <c r="D39" t="s">
        <v>1511</v>
      </c>
      <c r="E39" t="s">
        <v>1460</v>
      </c>
      <c r="F39" t="s">
        <v>325</v>
      </c>
      <c r="H39" s="85"/>
      <c r="I39" s="85"/>
      <c r="K39">
        <v>65.92</v>
      </c>
      <c r="O39" s="111"/>
      <c r="Q39">
        <v>12</v>
      </c>
      <c r="R39">
        <v>0</v>
      </c>
      <c r="S39">
        <f t="shared" si="4"/>
        <v>0</v>
      </c>
    </row>
    <row r="40" spans="1:19" x14ac:dyDescent="0.55000000000000004">
      <c r="A40">
        <v>18</v>
      </c>
      <c r="C40" t="s">
        <v>1505</v>
      </c>
      <c r="D40" t="s">
        <v>1511</v>
      </c>
      <c r="E40" t="s">
        <v>1460</v>
      </c>
      <c r="F40" t="s">
        <v>325</v>
      </c>
      <c r="H40" s="85"/>
      <c r="I40" s="85"/>
      <c r="K40">
        <v>22.1</v>
      </c>
      <c r="O40" s="111"/>
      <c r="Q40">
        <v>10</v>
      </c>
      <c r="R40">
        <v>0</v>
      </c>
      <c r="S40">
        <f t="shared" si="4"/>
        <v>0</v>
      </c>
    </row>
    <row r="41" spans="1:19" x14ac:dyDescent="0.55000000000000004">
      <c r="A41">
        <v>19</v>
      </c>
      <c r="C41" t="s">
        <v>1506</v>
      </c>
      <c r="D41" t="s">
        <v>1511</v>
      </c>
      <c r="E41" t="s">
        <v>1460</v>
      </c>
      <c r="F41" t="s">
        <v>325</v>
      </c>
      <c r="H41" s="85"/>
      <c r="I41" s="85"/>
      <c r="K41">
        <v>50.56</v>
      </c>
      <c r="O41" s="111"/>
      <c r="Q41">
        <v>11</v>
      </c>
      <c r="R41">
        <v>0</v>
      </c>
      <c r="S41">
        <f t="shared" si="4"/>
        <v>0</v>
      </c>
    </row>
    <row r="42" spans="1:19" x14ac:dyDescent="0.55000000000000004">
      <c r="A42">
        <v>20</v>
      </c>
      <c r="B42">
        <v>8</v>
      </c>
      <c r="C42" t="s">
        <v>1513</v>
      </c>
      <c r="D42" t="s">
        <v>1511</v>
      </c>
      <c r="E42" t="s">
        <v>1460</v>
      </c>
      <c r="F42">
        <v>92.003</v>
      </c>
      <c r="G42">
        <v>101.517</v>
      </c>
      <c r="H42" s="85">
        <f t="shared" si="5"/>
        <v>9.5139999999999958</v>
      </c>
      <c r="I42" s="85">
        <f>H42*0.0973</f>
        <v>0.92571219999999954</v>
      </c>
      <c r="J42" s="3">
        <f>I42*20</f>
        <v>18.514243999999991</v>
      </c>
      <c r="K42">
        <v>11.03</v>
      </c>
      <c r="L42">
        <v>148</v>
      </c>
      <c r="M42">
        <v>3641</v>
      </c>
      <c r="N42">
        <v>175.34</v>
      </c>
      <c r="O42" s="111">
        <f t="shared" si="3"/>
        <v>164.31</v>
      </c>
      <c r="Q42">
        <v>17</v>
      </c>
      <c r="R42">
        <v>2</v>
      </c>
      <c r="S42">
        <f t="shared" si="4"/>
        <v>0.10526315789473684</v>
      </c>
    </row>
    <row r="43" spans="1:19" s="111" customFormat="1" x14ac:dyDescent="0.55000000000000004">
      <c r="C43" s="111" t="s">
        <v>1514</v>
      </c>
      <c r="D43" s="111" t="s">
        <v>1511</v>
      </c>
      <c r="E43" s="111" t="s">
        <v>1460</v>
      </c>
      <c r="F43" s="111">
        <v>85.323999999999998</v>
      </c>
      <c r="G43" s="111">
        <v>104.77</v>
      </c>
      <c r="H43" s="111">
        <f>G43-F43</f>
        <v>19.445999999999998</v>
      </c>
      <c r="I43" s="111">
        <f>H43*0.0973</f>
        <v>1.8920957999999997</v>
      </c>
      <c r="J43" s="113">
        <f>I43*20</f>
        <v>37.841915999999991</v>
      </c>
      <c r="K43" s="111">
        <v>11.03</v>
      </c>
      <c r="L43" s="111">
        <v>148</v>
      </c>
      <c r="M43" s="111">
        <v>3641</v>
      </c>
      <c r="N43" s="111">
        <v>175.34</v>
      </c>
      <c r="O43" s="111">
        <f>N43-K43</f>
        <v>164.31</v>
      </c>
      <c r="S43"/>
    </row>
    <row r="44" spans="1:19" x14ac:dyDescent="0.55000000000000004">
      <c r="A44">
        <v>21</v>
      </c>
      <c r="C44" t="s">
        <v>1507</v>
      </c>
      <c r="D44" t="s">
        <v>1511</v>
      </c>
      <c r="E44" t="s">
        <v>1460</v>
      </c>
      <c r="F44" t="s">
        <v>325</v>
      </c>
      <c r="H44" s="85"/>
      <c r="I44" s="85"/>
      <c r="K44">
        <v>78.88</v>
      </c>
      <c r="O44" s="111"/>
      <c r="Q44">
        <v>5</v>
      </c>
      <c r="R44">
        <v>0</v>
      </c>
    </row>
    <row r="45" spans="1:19" x14ac:dyDescent="0.55000000000000004">
      <c r="A45">
        <v>22</v>
      </c>
      <c r="C45" t="s">
        <v>1508</v>
      </c>
      <c r="D45" t="s">
        <v>1511</v>
      </c>
      <c r="E45" t="s">
        <v>1460</v>
      </c>
      <c r="F45" t="s">
        <v>325</v>
      </c>
      <c r="H45" s="85"/>
      <c r="I45" s="85"/>
      <c r="K45" t="s">
        <v>1512</v>
      </c>
      <c r="O45" s="111"/>
      <c r="Q45">
        <v>4</v>
      </c>
      <c r="R45">
        <v>0</v>
      </c>
    </row>
    <row r="46" spans="1:19" x14ac:dyDescent="0.55000000000000004">
      <c r="A46">
        <v>23</v>
      </c>
      <c r="B46">
        <v>8</v>
      </c>
      <c r="C46" t="s">
        <v>1515</v>
      </c>
      <c r="D46" t="s">
        <v>1511</v>
      </c>
      <c r="E46" t="s">
        <v>1460</v>
      </c>
      <c r="F46">
        <v>80.054000000000002</v>
      </c>
      <c r="G46">
        <v>90.32</v>
      </c>
      <c r="H46" s="85">
        <f>G46-F46</f>
        <v>10.265999999999991</v>
      </c>
      <c r="I46" s="85">
        <f>H46*0.0973</f>
        <v>0.99888179999999915</v>
      </c>
      <c r="J46" s="3">
        <f>I46*20</f>
        <v>19.977635999999983</v>
      </c>
      <c r="K46">
        <v>25.92</v>
      </c>
      <c r="L46">
        <v>655</v>
      </c>
      <c r="M46">
        <v>3617</v>
      </c>
      <c r="N46">
        <v>174.63</v>
      </c>
      <c r="O46" s="111">
        <f>N46-K46</f>
        <v>148.70999999999998</v>
      </c>
      <c r="Q46">
        <v>12</v>
      </c>
      <c r="R46">
        <v>2</v>
      </c>
      <c r="S46">
        <f t="shared" si="4"/>
        <v>0.14285714285714285</v>
      </c>
    </row>
    <row r="47" spans="1:19" x14ac:dyDescent="0.55000000000000004">
      <c r="A47">
        <v>24</v>
      </c>
      <c r="B47">
        <v>10</v>
      </c>
      <c r="C47" t="s">
        <v>1509</v>
      </c>
      <c r="D47" t="s">
        <v>1511</v>
      </c>
      <c r="E47" t="s">
        <v>1460</v>
      </c>
      <c r="F47">
        <v>83.575999999999993</v>
      </c>
      <c r="G47">
        <v>89.484999999999999</v>
      </c>
      <c r="H47" s="85">
        <f t="shared" si="5"/>
        <v>5.909000000000006</v>
      </c>
      <c r="I47" s="85">
        <f>H47*0.0973</f>
        <v>0.57494570000000056</v>
      </c>
      <c r="J47" s="3">
        <f>I47*20</f>
        <v>11.498914000000012</v>
      </c>
      <c r="K47">
        <v>117.4</v>
      </c>
      <c r="L47">
        <v>1548</v>
      </c>
      <c r="M47">
        <v>5940</v>
      </c>
      <c r="N47">
        <v>299.42</v>
      </c>
      <c r="O47" s="111">
        <f t="shared" si="3"/>
        <v>182.02</v>
      </c>
      <c r="Q47">
        <v>10</v>
      </c>
      <c r="R47">
        <v>2</v>
      </c>
      <c r="S47">
        <f t="shared" si="4"/>
        <v>0.16666666666666666</v>
      </c>
    </row>
    <row r="48" spans="1:19" x14ac:dyDescent="0.55000000000000004">
      <c r="A48">
        <v>25</v>
      </c>
      <c r="B48">
        <v>11</v>
      </c>
      <c r="C48" t="s">
        <v>1510</v>
      </c>
      <c r="D48" t="s">
        <v>1511</v>
      </c>
      <c r="E48" t="s">
        <v>1460</v>
      </c>
      <c r="F48">
        <v>82.897999999999996</v>
      </c>
      <c r="G48">
        <v>95.328999999999994</v>
      </c>
      <c r="H48" s="85">
        <f t="shared" si="5"/>
        <v>12.430999999999997</v>
      </c>
      <c r="I48" s="85">
        <f>H48*0.0973</f>
        <v>1.2095362999999997</v>
      </c>
      <c r="J48" s="3">
        <f>I48*20</f>
        <v>24.190725999999994</v>
      </c>
      <c r="K48">
        <v>73.64</v>
      </c>
      <c r="L48">
        <v>1588</v>
      </c>
      <c r="M48">
        <v>2331</v>
      </c>
      <c r="N48">
        <v>112.34</v>
      </c>
      <c r="O48" s="111">
        <f t="shared" si="3"/>
        <v>38.700000000000003</v>
      </c>
      <c r="Q48">
        <v>3</v>
      </c>
      <c r="R48">
        <v>1</v>
      </c>
      <c r="S48">
        <f t="shared" si="4"/>
        <v>0.25</v>
      </c>
    </row>
    <row r="49" spans="1:20" x14ac:dyDescent="0.55000000000000004">
      <c r="A49">
        <v>26</v>
      </c>
      <c r="B49">
        <v>12</v>
      </c>
      <c r="C49" t="s">
        <v>1680</v>
      </c>
      <c r="D49" t="s">
        <v>1511</v>
      </c>
      <c r="E49" t="s">
        <v>1460</v>
      </c>
      <c r="F49">
        <v>83.638000000000005</v>
      </c>
      <c r="G49">
        <v>87.242000000000004</v>
      </c>
      <c r="H49" s="85">
        <f t="shared" si="5"/>
        <v>3.6039999999999992</v>
      </c>
      <c r="I49" s="85">
        <f>H49*0.0973</f>
        <v>0.3506691999999999</v>
      </c>
      <c r="J49" s="3">
        <f>I49*20</f>
        <v>7.0133839999999985</v>
      </c>
      <c r="K49">
        <v>42.21</v>
      </c>
      <c r="L49">
        <v>979</v>
      </c>
      <c r="M49">
        <v>2417</v>
      </c>
      <c r="N49">
        <v>116.87</v>
      </c>
      <c r="O49" s="111">
        <f t="shared" si="3"/>
        <v>74.66</v>
      </c>
      <c r="Q49">
        <v>10</v>
      </c>
      <c r="R49">
        <v>1</v>
      </c>
      <c r="S49">
        <f t="shared" si="4"/>
        <v>9.0909090909090912E-2</v>
      </c>
    </row>
    <row r="50" spans="1:20" s="111" customFormat="1" x14ac:dyDescent="0.55000000000000004">
      <c r="C50" t="s">
        <v>1681</v>
      </c>
      <c r="D50" s="111" t="s">
        <v>1511</v>
      </c>
      <c r="E50" s="111" t="s">
        <v>1460</v>
      </c>
      <c r="F50" s="111">
        <v>86.706999999999994</v>
      </c>
      <c r="G50" s="111">
        <v>88.491</v>
      </c>
      <c r="H50" s="111">
        <f>G50-F50</f>
        <v>1.784000000000006</v>
      </c>
      <c r="I50" s="111">
        <f>H50*0.0973</f>
        <v>0.17358320000000058</v>
      </c>
      <c r="J50" s="113">
        <f>I50*20</f>
        <v>3.4716640000000116</v>
      </c>
      <c r="K50" s="111">
        <v>42.21</v>
      </c>
      <c r="L50" s="111">
        <v>979</v>
      </c>
      <c r="M50" s="111">
        <v>2417</v>
      </c>
      <c r="N50" s="111">
        <v>116.87</v>
      </c>
      <c r="O50" s="111">
        <f>N50-K50</f>
        <v>74.66</v>
      </c>
      <c r="Q50" s="215"/>
      <c r="R50" s="215"/>
      <c r="S50"/>
    </row>
    <row r="51" spans="1:20" x14ac:dyDescent="0.55000000000000004">
      <c r="O51" s="111"/>
    </row>
    <row r="53" spans="1:20" x14ac:dyDescent="0.55000000000000004">
      <c r="Q53">
        <f>SUM(Q2:Q49)</f>
        <v>271</v>
      </c>
      <c r="R53">
        <f>SUM(R2:R49)</f>
        <v>22</v>
      </c>
      <c r="S53">
        <f>(SUM(S2,S4,S10:S14,S17:S20,S23:S26,S37:S42,S46:S49))/(COUNT(S2,S4,S10:S14,S17:S20,S23:S26,S37:S42,S46:S49))*100</f>
        <v>6.213260423786739</v>
      </c>
      <c r="T53" s="3">
        <f xml:space="preserve"> STDEV(S2,S4,S10:S14,S17:S20,S23:S26,S37:S42,S46:S49)/SQRT(COUNT(S2,S4,S10:S14,S17:S20,S23:S26,S37:S42,S46:S49))*100</f>
        <v>1.7179686801844174</v>
      </c>
    </row>
    <row r="54" spans="1:20" x14ac:dyDescent="0.55000000000000004">
      <c r="Q54">
        <f>(R53/Q53)*100</f>
        <v>8.1180811808118083</v>
      </c>
    </row>
    <row r="57" spans="1:20" x14ac:dyDescent="0.55000000000000004">
      <c r="C57" s="10">
        <v>15.383130000000003</v>
      </c>
      <c r="D57" s="10">
        <v>14.07541799999998</v>
      </c>
      <c r="E57" s="10">
        <v>46.338151999999994</v>
      </c>
      <c r="F57" s="21">
        <v>24.387271999999992</v>
      </c>
      <c r="G57" s="47">
        <v>14.384831999999992</v>
      </c>
      <c r="H57" s="10">
        <v>14.826573999999999</v>
      </c>
      <c r="I57" s="10">
        <v>22.962799999999994</v>
      </c>
      <c r="J57" s="21">
        <v>18.514243999999991</v>
      </c>
      <c r="K57" s="10">
        <v>19.977635999999983</v>
      </c>
      <c r="L57" s="10">
        <v>11.498914000000012</v>
      </c>
      <c r="M57" s="10">
        <v>24.190725999999994</v>
      </c>
      <c r="N57" s="10">
        <v>7.0133839999999985</v>
      </c>
    </row>
    <row r="58" spans="1:20" x14ac:dyDescent="0.55000000000000004">
      <c r="F58" s="19"/>
    </row>
  </sheetData>
  <conditionalFormatting sqref="J4:J27 J30:J42">
    <cfRule type="top10" dxfId="4" priority="5" percent="1" rank="10"/>
  </conditionalFormatting>
  <conditionalFormatting sqref="F57:F58">
    <cfRule type="top10" dxfId="3" priority="4" percent="1" rank="10"/>
  </conditionalFormatting>
  <conditionalFormatting sqref="G57">
    <cfRule type="top10" dxfId="2" priority="3" percent="1" rank="10"/>
  </conditionalFormatting>
  <conditionalFormatting sqref="J28">
    <cfRule type="top10" dxfId="1" priority="2" percent="1" rank="10"/>
  </conditionalFormatting>
  <conditionalFormatting sqref="J29">
    <cfRule type="top10" dxfId="0" priority="1" percent="1" rank="10"/>
  </conditionalFormatting>
  <pageMargins left="0.7" right="0.7" top="0.75" bottom="0.75" header="0.3" footer="0.3"/>
  <pageSetup paperSize="9" orientation="portrait" horizontalDpi="4294967293" verticalDpi="0"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S24"/>
  <sheetViews>
    <sheetView zoomScale="89" workbookViewId="0">
      <selection activeCell="L25" sqref="L25"/>
    </sheetView>
  </sheetViews>
  <sheetFormatPr defaultRowHeight="14.4" x14ac:dyDescent="0.55000000000000004"/>
  <cols>
    <col min="1" max="1" width="2.89453125" customWidth="1"/>
    <col min="2" max="2" width="3.41796875" customWidth="1"/>
    <col min="3" max="3" width="11.26171875" customWidth="1"/>
    <col min="4" max="4" width="11.3671875" customWidth="1"/>
    <col min="5" max="5" width="26.3671875" customWidth="1"/>
  </cols>
  <sheetData>
    <row r="1" spans="1:19" ht="57.6" x14ac:dyDescent="0.55000000000000004">
      <c r="A1" t="s">
        <v>922</v>
      </c>
      <c r="B1" s="3" t="s">
        <v>973</v>
      </c>
      <c r="C1" s="2" t="s">
        <v>0</v>
      </c>
      <c r="D1" s="2" t="s">
        <v>90</v>
      </c>
      <c r="E1" s="2" t="s">
        <v>88</v>
      </c>
      <c r="F1" s="2" t="s">
        <v>2</v>
      </c>
      <c r="G1" s="2" t="s">
        <v>3</v>
      </c>
      <c r="H1" s="2" t="s">
        <v>11</v>
      </c>
      <c r="I1" s="2" t="s">
        <v>12</v>
      </c>
      <c r="J1" s="2" t="s">
        <v>1267</v>
      </c>
      <c r="K1" s="2" t="s">
        <v>19</v>
      </c>
      <c r="L1" s="2" t="s">
        <v>10</v>
      </c>
      <c r="M1" s="2" t="s">
        <v>8</v>
      </c>
      <c r="N1" s="2" t="s">
        <v>9</v>
      </c>
      <c r="O1" s="2" t="s">
        <v>123</v>
      </c>
      <c r="P1" s="2" t="s">
        <v>5</v>
      </c>
      <c r="Q1" s="3" t="s">
        <v>355</v>
      </c>
      <c r="R1" s="3" t="s">
        <v>450</v>
      </c>
    </row>
    <row r="2" spans="1:19" x14ac:dyDescent="0.55000000000000004">
      <c r="A2">
        <v>1</v>
      </c>
      <c r="C2" t="s">
        <v>1523</v>
      </c>
      <c r="D2" t="s">
        <v>1524</v>
      </c>
      <c r="E2" t="s">
        <v>1525</v>
      </c>
      <c r="F2" t="s">
        <v>325</v>
      </c>
      <c r="K2">
        <v>24.28</v>
      </c>
      <c r="Q2">
        <v>9</v>
      </c>
      <c r="R2">
        <v>0</v>
      </c>
    </row>
    <row r="3" spans="1:19" x14ac:dyDescent="0.55000000000000004">
      <c r="A3">
        <v>2</v>
      </c>
      <c r="C3" t="s">
        <v>1523</v>
      </c>
      <c r="D3" t="s">
        <v>1524</v>
      </c>
      <c r="E3" t="s">
        <v>1525</v>
      </c>
      <c r="F3" t="s">
        <v>325</v>
      </c>
      <c r="K3">
        <v>127.08</v>
      </c>
      <c r="Q3">
        <v>3</v>
      </c>
      <c r="R3">
        <v>0</v>
      </c>
    </row>
    <row r="4" spans="1:19" x14ac:dyDescent="0.55000000000000004">
      <c r="C4" t="s">
        <v>1527</v>
      </c>
      <c r="D4" t="s">
        <v>1524</v>
      </c>
      <c r="E4" t="s">
        <v>1525</v>
      </c>
      <c r="F4">
        <v>87.498000000000005</v>
      </c>
      <c r="G4">
        <v>108.71599999999999</v>
      </c>
      <c r="H4">
        <f>G4-F4</f>
        <v>21.217999999999989</v>
      </c>
      <c r="I4">
        <f>H4*0.0973</f>
        <v>2.0645113999999989</v>
      </c>
      <c r="J4">
        <f>I4*20</f>
        <v>41.290227999999978</v>
      </c>
      <c r="K4">
        <v>66.239999999999995</v>
      </c>
      <c r="L4">
        <v>1367</v>
      </c>
      <c r="M4">
        <v>4777</v>
      </c>
      <c r="N4">
        <v>234.38</v>
      </c>
      <c r="O4">
        <f>N4-K4</f>
        <v>168.14</v>
      </c>
      <c r="Q4">
        <v>14</v>
      </c>
      <c r="R4">
        <v>2</v>
      </c>
    </row>
    <row r="5" spans="1:19" x14ac:dyDescent="0.55000000000000004">
      <c r="A5">
        <v>3</v>
      </c>
      <c r="C5" t="s">
        <v>1528</v>
      </c>
      <c r="D5" t="s">
        <v>1524</v>
      </c>
      <c r="E5" t="s">
        <v>1525</v>
      </c>
      <c r="F5">
        <v>87.498000000000005</v>
      </c>
      <c r="G5">
        <v>88.379000000000005</v>
      </c>
      <c r="H5">
        <f>G5-F5</f>
        <v>0.88100000000000023</v>
      </c>
      <c r="I5">
        <f>H5*0.0973</f>
        <v>8.5721300000000014E-2</v>
      </c>
      <c r="J5">
        <f>I5*20</f>
        <v>1.7144260000000002</v>
      </c>
      <c r="K5">
        <v>66.239999999999995</v>
      </c>
      <c r="L5">
        <v>1367</v>
      </c>
      <c r="M5">
        <v>5021</v>
      </c>
      <c r="N5">
        <v>246.36</v>
      </c>
      <c r="O5">
        <f>N5-K5</f>
        <v>180.12</v>
      </c>
      <c r="P5" t="s">
        <v>1526</v>
      </c>
      <c r="Q5" s="15"/>
      <c r="R5" s="15"/>
    </row>
    <row r="6" spans="1:19" x14ac:dyDescent="0.55000000000000004">
      <c r="A6">
        <v>4</v>
      </c>
      <c r="C6" t="s">
        <v>1529</v>
      </c>
      <c r="D6" t="s">
        <v>1524</v>
      </c>
      <c r="E6" t="s">
        <v>1525</v>
      </c>
      <c r="F6">
        <v>87.004999999999995</v>
      </c>
      <c r="G6">
        <v>99.805000000000007</v>
      </c>
      <c r="H6">
        <f>G6-F6</f>
        <v>12.800000000000011</v>
      </c>
      <c r="I6">
        <f>H6*0.0973</f>
        <v>1.245440000000001</v>
      </c>
      <c r="J6">
        <f>I6*20</f>
        <v>24.908800000000021</v>
      </c>
      <c r="K6">
        <v>95.45</v>
      </c>
      <c r="L6">
        <v>1894</v>
      </c>
      <c r="M6">
        <v>2532</v>
      </c>
      <c r="N6">
        <v>129.22999999999999</v>
      </c>
      <c r="O6">
        <f>N6-K6</f>
        <v>33.779999999999987</v>
      </c>
      <c r="Q6">
        <v>8</v>
      </c>
      <c r="R6">
        <v>2</v>
      </c>
    </row>
    <row r="7" spans="1:19" x14ac:dyDescent="0.55000000000000004">
      <c r="C7" t="s">
        <v>1530</v>
      </c>
      <c r="D7" t="s">
        <v>1524</v>
      </c>
      <c r="E7" t="s">
        <v>1525</v>
      </c>
      <c r="F7">
        <v>91.908000000000001</v>
      </c>
      <c r="G7">
        <v>94.313000000000002</v>
      </c>
      <c r="H7">
        <f>G7-F7</f>
        <v>2.4050000000000011</v>
      </c>
      <c r="I7">
        <f>H7*0.0973</f>
        <v>0.23400650000000012</v>
      </c>
      <c r="J7">
        <f>I7*20</f>
        <v>4.6801300000000019</v>
      </c>
      <c r="K7">
        <v>95.45</v>
      </c>
      <c r="L7">
        <v>1894</v>
      </c>
      <c r="M7">
        <v>4442</v>
      </c>
      <c r="N7">
        <v>226.67</v>
      </c>
      <c r="O7">
        <f>N7-K7</f>
        <v>131.21999999999997</v>
      </c>
      <c r="Q7" s="15"/>
      <c r="R7" s="15"/>
    </row>
    <row r="8" spans="1:19" x14ac:dyDescent="0.55000000000000004">
      <c r="C8" t="s">
        <v>1532</v>
      </c>
      <c r="D8" t="s">
        <v>1524</v>
      </c>
      <c r="E8" t="s">
        <v>1525</v>
      </c>
      <c r="H8">
        <f>G8-F8</f>
        <v>0</v>
      </c>
      <c r="I8">
        <f>H8*0.0973</f>
        <v>0</v>
      </c>
      <c r="J8">
        <f>I8*20</f>
        <v>0</v>
      </c>
      <c r="K8" t="s">
        <v>742</v>
      </c>
      <c r="M8">
        <v>2784</v>
      </c>
      <c r="P8" t="s">
        <v>1531</v>
      </c>
      <c r="Q8">
        <v>9</v>
      </c>
      <c r="R8">
        <v>1</v>
      </c>
    </row>
    <row r="9" spans="1:19" x14ac:dyDescent="0.55000000000000004">
      <c r="C9" t="s">
        <v>1533</v>
      </c>
      <c r="D9" t="s">
        <v>1524</v>
      </c>
      <c r="E9" t="s">
        <v>1525</v>
      </c>
      <c r="F9" t="s">
        <v>325</v>
      </c>
      <c r="K9">
        <v>81.239999999999995</v>
      </c>
      <c r="Q9">
        <v>6</v>
      </c>
      <c r="R9">
        <v>0</v>
      </c>
    </row>
    <row r="10" spans="1:19" x14ac:dyDescent="0.55000000000000004">
      <c r="C10" t="s">
        <v>1535</v>
      </c>
      <c r="D10" t="s">
        <v>1524</v>
      </c>
      <c r="E10" t="s">
        <v>1525</v>
      </c>
      <c r="F10" t="s">
        <v>325</v>
      </c>
      <c r="K10">
        <v>12.88</v>
      </c>
      <c r="Q10">
        <v>13</v>
      </c>
      <c r="R10">
        <v>0</v>
      </c>
    </row>
    <row r="11" spans="1:19" x14ac:dyDescent="0.55000000000000004">
      <c r="C11" t="s">
        <v>1536</v>
      </c>
      <c r="D11" t="s">
        <v>1524</v>
      </c>
      <c r="E11" t="s">
        <v>1525</v>
      </c>
      <c r="K11">
        <v>2.38</v>
      </c>
      <c r="L11">
        <v>134</v>
      </c>
      <c r="M11">
        <v>1035</v>
      </c>
      <c r="N11">
        <v>53.48</v>
      </c>
      <c r="O11">
        <f>N11-K11</f>
        <v>51.099999999999994</v>
      </c>
      <c r="Q11">
        <v>8</v>
      </c>
      <c r="R11">
        <v>2</v>
      </c>
    </row>
    <row r="12" spans="1:19" x14ac:dyDescent="0.55000000000000004">
      <c r="C12" t="s">
        <v>1536</v>
      </c>
      <c r="D12" t="s">
        <v>1524</v>
      </c>
      <c r="E12" t="s">
        <v>1525</v>
      </c>
      <c r="K12">
        <v>2.38</v>
      </c>
      <c r="L12">
        <v>134</v>
      </c>
      <c r="M12">
        <v>3804</v>
      </c>
      <c r="N12">
        <v>196.57</v>
      </c>
      <c r="O12">
        <f>N12-K12</f>
        <v>194.19</v>
      </c>
      <c r="Q12" s="15"/>
      <c r="R12" s="15"/>
    </row>
    <row r="13" spans="1:19" x14ac:dyDescent="0.55000000000000004">
      <c r="C13" t="s">
        <v>1537</v>
      </c>
      <c r="D13" t="s">
        <v>1524</v>
      </c>
      <c r="E13" t="s">
        <v>1525</v>
      </c>
      <c r="F13" t="s">
        <v>1541</v>
      </c>
      <c r="O13">
        <f>N13-K13</f>
        <v>0</v>
      </c>
      <c r="Q13">
        <v>3</v>
      </c>
      <c r="R13">
        <v>1</v>
      </c>
      <c r="S13" t="s">
        <v>1540</v>
      </c>
    </row>
    <row r="14" spans="1:19" x14ac:dyDescent="0.55000000000000004">
      <c r="C14" t="s">
        <v>1543</v>
      </c>
      <c r="D14" t="s">
        <v>1524</v>
      </c>
      <c r="E14" t="s">
        <v>1525</v>
      </c>
      <c r="F14" t="s">
        <v>325</v>
      </c>
      <c r="K14">
        <v>43</v>
      </c>
      <c r="L14">
        <v>1028</v>
      </c>
      <c r="M14">
        <v>3711</v>
      </c>
      <c r="N14">
        <v>188.85</v>
      </c>
      <c r="O14">
        <f>N14-K14</f>
        <v>145.85</v>
      </c>
      <c r="Q14">
        <v>4</v>
      </c>
      <c r="R14">
        <v>1</v>
      </c>
    </row>
    <row r="15" spans="1:19" x14ac:dyDescent="0.55000000000000004">
      <c r="C15" t="s">
        <v>1542</v>
      </c>
      <c r="D15" t="s">
        <v>1524</v>
      </c>
      <c r="E15" t="s">
        <v>1525</v>
      </c>
      <c r="K15">
        <v>77.56</v>
      </c>
      <c r="Q15">
        <v>4</v>
      </c>
      <c r="R15">
        <v>0</v>
      </c>
    </row>
    <row r="16" spans="1:19" x14ac:dyDescent="0.55000000000000004">
      <c r="C16" t="s">
        <v>1544</v>
      </c>
      <c r="D16" t="s">
        <v>1524</v>
      </c>
      <c r="E16" t="s">
        <v>1525</v>
      </c>
      <c r="K16" t="s">
        <v>742</v>
      </c>
      <c r="L16">
        <v>2</v>
      </c>
      <c r="M16">
        <v>1118</v>
      </c>
      <c r="N16">
        <v>55.5</v>
      </c>
      <c r="Q16">
        <v>12</v>
      </c>
      <c r="R16">
        <v>1</v>
      </c>
    </row>
    <row r="17" spans="3:18" x14ac:dyDescent="0.55000000000000004">
      <c r="C17" t="s">
        <v>1545</v>
      </c>
      <c r="D17" t="s">
        <v>1524</v>
      </c>
      <c r="E17" t="s">
        <v>1525</v>
      </c>
      <c r="K17" t="s">
        <v>742</v>
      </c>
      <c r="L17">
        <v>2</v>
      </c>
      <c r="M17">
        <v>1118</v>
      </c>
      <c r="N17">
        <v>55.5</v>
      </c>
      <c r="Q17" s="15"/>
      <c r="R17" s="15"/>
    </row>
    <row r="18" spans="3:18" x14ac:dyDescent="0.55000000000000004">
      <c r="C18" t="s">
        <v>1546</v>
      </c>
      <c r="D18" t="s">
        <v>1524</v>
      </c>
      <c r="E18" t="s">
        <v>1525</v>
      </c>
      <c r="K18">
        <v>116.15</v>
      </c>
      <c r="L18">
        <v>2180</v>
      </c>
      <c r="M18">
        <v>3150</v>
      </c>
      <c r="N18">
        <v>165.33</v>
      </c>
      <c r="O18">
        <f t="shared" ref="O18:O24" si="0">N18-K18</f>
        <v>49.180000000000007</v>
      </c>
      <c r="P18" t="s">
        <v>1551</v>
      </c>
      <c r="Q18">
        <v>17</v>
      </c>
      <c r="R18">
        <v>5</v>
      </c>
    </row>
    <row r="19" spans="3:18" x14ac:dyDescent="0.55000000000000004">
      <c r="C19" t="s">
        <v>1547</v>
      </c>
      <c r="D19" t="s">
        <v>1524</v>
      </c>
      <c r="E19" t="s">
        <v>1525</v>
      </c>
      <c r="K19">
        <v>116.15</v>
      </c>
      <c r="L19">
        <v>2180</v>
      </c>
      <c r="M19">
        <v>3150</v>
      </c>
      <c r="N19">
        <v>165.33</v>
      </c>
      <c r="O19">
        <f t="shared" si="0"/>
        <v>49.180000000000007</v>
      </c>
      <c r="Q19" s="15"/>
      <c r="R19" s="15"/>
    </row>
    <row r="20" spans="3:18" x14ac:dyDescent="0.55000000000000004">
      <c r="C20" t="s">
        <v>1547</v>
      </c>
      <c r="D20" t="s">
        <v>1524</v>
      </c>
      <c r="E20" t="s">
        <v>1525</v>
      </c>
      <c r="K20">
        <v>116.15</v>
      </c>
      <c r="L20">
        <v>2180</v>
      </c>
      <c r="M20">
        <v>4074</v>
      </c>
      <c r="N20">
        <v>165.33</v>
      </c>
      <c r="O20">
        <f t="shared" si="0"/>
        <v>49.180000000000007</v>
      </c>
      <c r="Q20" s="15"/>
      <c r="R20" s="15"/>
    </row>
    <row r="21" spans="3:18" x14ac:dyDescent="0.55000000000000004">
      <c r="C21" t="s">
        <v>1548</v>
      </c>
      <c r="D21" t="s">
        <v>1524</v>
      </c>
      <c r="E21" t="s">
        <v>1525</v>
      </c>
      <c r="K21">
        <v>116.15</v>
      </c>
      <c r="L21">
        <v>2180</v>
      </c>
      <c r="M21">
        <v>4884</v>
      </c>
      <c r="N21">
        <v>256.33999999999997</v>
      </c>
      <c r="O21">
        <f t="shared" si="0"/>
        <v>140.18999999999997</v>
      </c>
      <c r="Q21" s="15"/>
      <c r="R21" s="15"/>
    </row>
    <row r="22" spans="3:18" x14ac:dyDescent="0.55000000000000004">
      <c r="C22" t="s">
        <v>1549</v>
      </c>
      <c r="D22" t="s">
        <v>1524</v>
      </c>
      <c r="E22" t="s">
        <v>1525</v>
      </c>
      <c r="K22">
        <v>116.15</v>
      </c>
      <c r="L22">
        <v>2180</v>
      </c>
      <c r="M22">
        <v>5665</v>
      </c>
      <c r="N22">
        <v>297.33</v>
      </c>
      <c r="O22">
        <f t="shared" si="0"/>
        <v>181.17999999999998</v>
      </c>
      <c r="P22" t="s">
        <v>1550</v>
      </c>
      <c r="Q22" s="15"/>
      <c r="R22" s="15"/>
    </row>
    <row r="23" spans="3:18" x14ac:dyDescent="0.55000000000000004">
      <c r="C23" t="s">
        <v>1538</v>
      </c>
      <c r="D23" t="s">
        <v>1524</v>
      </c>
      <c r="E23" t="s">
        <v>1525</v>
      </c>
      <c r="O23">
        <f t="shared" si="0"/>
        <v>0</v>
      </c>
    </row>
    <row r="24" spans="3:18" x14ac:dyDescent="0.55000000000000004">
      <c r="C24" t="s">
        <v>1539</v>
      </c>
      <c r="D24" t="s">
        <v>1524</v>
      </c>
      <c r="E24" t="s">
        <v>1525</v>
      </c>
      <c r="O24">
        <f t="shared" si="0"/>
        <v>0</v>
      </c>
    </row>
  </sheetData>
  <pageMargins left="0.7" right="0.7" top="0.75" bottom="0.75" header="0.3" footer="0.3"/>
  <pageSetup paperSize="9" orientation="portrait" horizontalDpi="4294967293" verticalDpi="0"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AZ110"/>
  <sheetViews>
    <sheetView topLeftCell="A13" zoomScale="85" zoomScaleNormal="85" workbookViewId="0">
      <selection activeCell="U81" sqref="U81:V81"/>
    </sheetView>
  </sheetViews>
  <sheetFormatPr defaultRowHeight="14.4" x14ac:dyDescent="0.55000000000000004"/>
  <cols>
    <col min="1" max="1" width="4.68359375" customWidth="1"/>
    <col min="2" max="2" width="5.1015625" customWidth="1"/>
    <col min="3" max="3" width="13.62890625" customWidth="1"/>
    <col min="4" max="4" width="4.3125" customWidth="1"/>
    <col min="5" max="5" width="10.5234375" customWidth="1"/>
    <col min="7" max="7" width="9.41796875" customWidth="1"/>
  </cols>
  <sheetData>
    <row r="1" spans="1:21" ht="57.6" x14ac:dyDescent="0.55000000000000004">
      <c r="A1" t="s">
        <v>922</v>
      </c>
      <c r="B1" s="3" t="s">
        <v>1556</v>
      </c>
      <c r="C1" s="2" t="s">
        <v>0</v>
      </c>
      <c r="D1" s="2" t="s">
        <v>1</v>
      </c>
      <c r="E1" s="2" t="s">
        <v>90</v>
      </c>
      <c r="F1" s="2" t="s">
        <v>88</v>
      </c>
      <c r="G1" s="2" t="s">
        <v>1412</v>
      </c>
      <c r="H1" s="2" t="s">
        <v>2</v>
      </c>
      <c r="I1" s="2" t="s">
        <v>3</v>
      </c>
      <c r="J1" s="2" t="s">
        <v>11</v>
      </c>
      <c r="K1" s="2" t="s">
        <v>12</v>
      </c>
      <c r="L1" s="2" t="s">
        <v>1267</v>
      </c>
      <c r="M1" s="2" t="s">
        <v>19</v>
      </c>
      <c r="N1" s="2" t="s">
        <v>10</v>
      </c>
      <c r="O1" s="2" t="s">
        <v>8</v>
      </c>
      <c r="P1" s="2" t="s">
        <v>9</v>
      </c>
      <c r="Q1" s="2" t="s">
        <v>123</v>
      </c>
      <c r="R1" s="2" t="s">
        <v>5</v>
      </c>
      <c r="S1" s="3" t="s">
        <v>355</v>
      </c>
      <c r="T1" s="3" t="s">
        <v>450</v>
      </c>
    </row>
    <row r="2" spans="1:21" x14ac:dyDescent="0.55000000000000004">
      <c r="A2">
        <v>1</v>
      </c>
      <c r="B2">
        <v>1</v>
      </c>
      <c r="C2" t="s">
        <v>1557</v>
      </c>
      <c r="E2" t="s">
        <v>1553</v>
      </c>
      <c r="F2" t="s">
        <v>1554</v>
      </c>
      <c r="G2" t="s">
        <v>1555</v>
      </c>
      <c r="H2">
        <v>83.912999999999997</v>
      </c>
      <c r="I2">
        <v>107.31399999999999</v>
      </c>
      <c r="J2">
        <f>I2-H2</f>
        <v>23.400999999999996</v>
      </c>
      <c r="K2">
        <f>J2*0.0973</f>
        <v>2.2769172999999996</v>
      </c>
      <c r="L2" s="3">
        <f>K2*20</f>
        <v>45.53834599999999</v>
      </c>
      <c r="M2">
        <v>83.56</v>
      </c>
      <c r="N2">
        <v>1799</v>
      </c>
      <c r="O2">
        <v>2835</v>
      </c>
      <c r="P2">
        <v>142.62</v>
      </c>
      <c r="Q2">
        <f t="shared" ref="Q2:Q67" si="0">P2-M2</f>
        <v>59.06</v>
      </c>
      <c r="S2">
        <v>11</v>
      </c>
      <c r="T2">
        <v>4</v>
      </c>
      <c r="U2">
        <f>T2/S2</f>
        <v>0.36363636363636365</v>
      </c>
    </row>
    <row r="3" spans="1:21" s="111" customFormat="1" x14ac:dyDescent="0.55000000000000004">
      <c r="C3" s="111" t="s">
        <v>1558</v>
      </c>
      <c r="E3" s="111" t="s">
        <v>1553</v>
      </c>
      <c r="F3" s="111" t="s">
        <v>1554</v>
      </c>
      <c r="G3" s="111" t="s">
        <v>1555</v>
      </c>
      <c r="H3" s="111">
        <v>80.481999999999999</v>
      </c>
      <c r="I3" s="111">
        <v>96.233000000000004</v>
      </c>
      <c r="J3" s="111">
        <f t="shared" ref="J3:J17" si="1">I3-H3</f>
        <v>15.751000000000005</v>
      </c>
      <c r="K3" s="111">
        <f t="shared" ref="K3:K67" si="2">J3*0.0973</f>
        <v>1.5325723000000004</v>
      </c>
      <c r="L3" s="113">
        <f t="shared" ref="L3:L34" si="3">K3*20</f>
        <v>30.651446000000007</v>
      </c>
      <c r="M3" s="111">
        <v>83.56</v>
      </c>
      <c r="N3" s="111">
        <v>1799</v>
      </c>
      <c r="O3" s="111">
        <v>2835</v>
      </c>
      <c r="P3" s="111">
        <v>142.62</v>
      </c>
      <c r="Q3" s="111">
        <f t="shared" si="0"/>
        <v>59.06</v>
      </c>
      <c r="S3" s="215"/>
      <c r="T3" s="215"/>
      <c r="U3"/>
    </row>
    <row r="4" spans="1:21" x14ac:dyDescent="0.55000000000000004">
      <c r="B4">
        <v>2</v>
      </c>
      <c r="C4" t="s">
        <v>1559</v>
      </c>
      <c r="E4" t="s">
        <v>1553</v>
      </c>
      <c r="F4" t="s">
        <v>1554</v>
      </c>
      <c r="G4" t="s">
        <v>1555</v>
      </c>
      <c r="H4">
        <v>81.075000000000003</v>
      </c>
      <c r="I4">
        <v>88.912999999999997</v>
      </c>
      <c r="J4">
        <f t="shared" si="1"/>
        <v>7.8379999999999939</v>
      </c>
      <c r="K4">
        <f t="shared" si="2"/>
        <v>0.76263739999999935</v>
      </c>
      <c r="L4" s="3">
        <f t="shared" si="3"/>
        <v>15.252747999999986</v>
      </c>
      <c r="M4">
        <v>83.56</v>
      </c>
      <c r="N4">
        <v>1799</v>
      </c>
      <c r="O4">
        <v>4027</v>
      </c>
      <c r="P4">
        <v>202.59</v>
      </c>
      <c r="Q4">
        <f t="shared" si="0"/>
        <v>119.03</v>
      </c>
      <c r="S4" s="200"/>
      <c r="T4" s="200"/>
    </row>
    <row r="5" spans="1:21" s="111" customFormat="1" x14ac:dyDescent="0.55000000000000004">
      <c r="C5" s="111" t="s">
        <v>1560</v>
      </c>
      <c r="E5" s="111" t="s">
        <v>1553</v>
      </c>
      <c r="F5" s="111" t="s">
        <v>1554</v>
      </c>
      <c r="G5" s="111" t="s">
        <v>1555</v>
      </c>
      <c r="H5" s="111">
        <v>76.397999999999996</v>
      </c>
      <c r="I5" s="111">
        <v>92.120999999999995</v>
      </c>
      <c r="J5" s="111">
        <f>I5-H5</f>
        <v>15.722999999999999</v>
      </c>
      <c r="K5" s="111">
        <f t="shared" si="2"/>
        <v>1.5298478999999998</v>
      </c>
      <c r="L5" s="113">
        <f t="shared" si="3"/>
        <v>30.596957999999997</v>
      </c>
      <c r="M5" s="111">
        <v>83.56</v>
      </c>
      <c r="N5" s="111">
        <v>1799</v>
      </c>
      <c r="O5" s="111">
        <v>4027</v>
      </c>
      <c r="P5" s="111">
        <v>202.59</v>
      </c>
      <c r="Q5" s="111">
        <f t="shared" si="0"/>
        <v>119.03</v>
      </c>
      <c r="S5" s="215"/>
      <c r="T5" s="215"/>
      <c r="U5"/>
    </row>
    <row r="6" spans="1:21" x14ac:dyDescent="0.55000000000000004">
      <c r="B6">
        <v>3</v>
      </c>
      <c r="C6" t="s">
        <v>1563</v>
      </c>
      <c r="E6" t="s">
        <v>1553</v>
      </c>
      <c r="F6" t="s">
        <v>1554</v>
      </c>
      <c r="G6" t="s">
        <v>1555</v>
      </c>
      <c r="H6">
        <v>85.513000000000005</v>
      </c>
      <c r="I6">
        <v>91.375</v>
      </c>
      <c r="J6">
        <f t="shared" si="1"/>
        <v>5.8619999999999948</v>
      </c>
      <c r="K6">
        <f t="shared" si="2"/>
        <v>0.57037259999999945</v>
      </c>
      <c r="L6" s="3">
        <f t="shared" si="3"/>
        <v>11.407451999999989</v>
      </c>
      <c r="M6">
        <v>83.56</v>
      </c>
      <c r="N6">
        <v>1799</v>
      </c>
      <c r="O6">
        <v>4413</v>
      </c>
      <c r="P6">
        <v>222</v>
      </c>
      <c r="Q6">
        <f t="shared" si="0"/>
        <v>138.44</v>
      </c>
      <c r="S6" s="200"/>
      <c r="T6" s="200"/>
    </row>
    <row r="7" spans="1:21" s="111" customFormat="1" x14ac:dyDescent="0.55000000000000004">
      <c r="C7" s="111" t="s">
        <v>1564</v>
      </c>
      <c r="E7" s="111" t="s">
        <v>1553</v>
      </c>
      <c r="F7" s="111" t="s">
        <v>1554</v>
      </c>
      <c r="G7" s="111" t="s">
        <v>1555</v>
      </c>
      <c r="H7" s="111">
        <v>76.397999999999996</v>
      </c>
      <c r="I7" s="111">
        <v>99.881</v>
      </c>
      <c r="J7" s="111">
        <f>I7-H7</f>
        <v>23.483000000000004</v>
      </c>
      <c r="K7" s="111">
        <f t="shared" si="2"/>
        <v>2.2848959000000004</v>
      </c>
      <c r="L7" s="113">
        <f t="shared" si="3"/>
        <v>45.697918000000008</v>
      </c>
      <c r="M7" s="111">
        <v>83.56</v>
      </c>
      <c r="N7" s="111">
        <v>1799</v>
      </c>
      <c r="O7" s="111">
        <v>4413</v>
      </c>
      <c r="P7" s="111">
        <v>222</v>
      </c>
      <c r="Q7" s="111">
        <f t="shared" si="0"/>
        <v>138.44</v>
      </c>
      <c r="R7" s="111" t="s">
        <v>1565</v>
      </c>
      <c r="S7" s="215"/>
      <c r="T7" s="215"/>
      <c r="U7"/>
    </row>
    <row r="8" spans="1:21" x14ac:dyDescent="0.55000000000000004">
      <c r="B8">
        <v>4</v>
      </c>
      <c r="C8" t="s">
        <v>1561</v>
      </c>
      <c r="E8" t="s">
        <v>1553</v>
      </c>
      <c r="F8" t="s">
        <v>1554</v>
      </c>
      <c r="G8" t="s">
        <v>1555</v>
      </c>
      <c r="H8" s="85">
        <v>80.481999999999999</v>
      </c>
      <c r="I8" s="85">
        <v>115.71899999999999</v>
      </c>
      <c r="J8">
        <f>I8-H8</f>
        <v>35.236999999999995</v>
      </c>
      <c r="K8">
        <f t="shared" si="2"/>
        <v>3.4285600999999994</v>
      </c>
      <c r="L8" s="3">
        <f t="shared" si="3"/>
        <v>68.571201999999985</v>
      </c>
      <c r="M8">
        <v>83.56</v>
      </c>
      <c r="N8">
        <v>1799</v>
      </c>
      <c r="O8">
        <v>5491</v>
      </c>
      <c r="P8">
        <v>276.24</v>
      </c>
      <c r="Q8">
        <f t="shared" si="0"/>
        <v>192.68</v>
      </c>
      <c r="R8" t="s">
        <v>1566</v>
      </c>
      <c r="S8" s="200"/>
      <c r="T8" s="200"/>
    </row>
    <row r="9" spans="1:21" s="111" customFormat="1" x14ac:dyDescent="0.55000000000000004">
      <c r="C9" s="111" t="s">
        <v>1562</v>
      </c>
      <c r="E9" s="111" t="s">
        <v>1553</v>
      </c>
      <c r="F9" s="111" t="s">
        <v>1554</v>
      </c>
      <c r="G9" s="111" t="s">
        <v>1555</v>
      </c>
      <c r="H9" s="111">
        <v>84.671999999999997</v>
      </c>
      <c r="I9" s="111">
        <v>104.73099999999999</v>
      </c>
      <c r="J9" s="111">
        <f t="shared" si="1"/>
        <v>20.058999999999997</v>
      </c>
      <c r="K9" s="111">
        <f t="shared" si="2"/>
        <v>1.9517406999999998</v>
      </c>
      <c r="L9" s="113">
        <f t="shared" si="3"/>
        <v>39.034813999999997</v>
      </c>
      <c r="M9" s="111">
        <v>83.56</v>
      </c>
      <c r="N9" s="111">
        <v>1799</v>
      </c>
      <c r="O9" s="111">
        <v>5491</v>
      </c>
      <c r="P9" s="111">
        <v>276.24</v>
      </c>
      <c r="Q9" s="111">
        <f t="shared" si="0"/>
        <v>192.68</v>
      </c>
      <c r="S9" s="215"/>
      <c r="T9" s="215"/>
      <c r="U9"/>
    </row>
    <row r="10" spans="1:21" x14ac:dyDescent="0.55000000000000004">
      <c r="A10">
        <v>2</v>
      </c>
      <c r="B10">
        <v>5</v>
      </c>
      <c r="C10" t="s">
        <v>1569</v>
      </c>
      <c r="E10" t="s">
        <v>1553</v>
      </c>
      <c r="F10" t="s">
        <v>1554</v>
      </c>
      <c r="G10" t="s">
        <v>1555</v>
      </c>
      <c r="H10" s="85">
        <v>91.200999999999993</v>
      </c>
      <c r="I10" s="85">
        <v>108.938</v>
      </c>
      <c r="J10">
        <f t="shared" si="1"/>
        <v>17.737000000000009</v>
      </c>
      <c r="K10">
        <f t="shared" si="2"/>
        <v>1.7258101000000008</v>
      </c>
      <c r="L10" s="3">
        <f t="shared" si="3"/>
        <v>34.516202000000014</v>
      </c>
      <c r="M10">
        <v>31.18</v>
      </c>
      <c r="N10">
        <v>785</v>
      </c>
      <c r="O10">
        <v>1435</v>
      </c>
      <c r="P10">
        <v>71.7</v>
      </c>
      <c r="Q10">
        <f t="shared" si="0"/>
        <v>40.520000000000003</v>
      </c>
      <c r="S10">
        <v>11</v>
      </c>
      <c r="T10">
        <v>2</v>
      </c>
      <c r="U10">
        <f t="shared" ref="U10:U65" si="4">T10/S10</f>
        <v>0.18181818181818182</v>
      </c>
    </row>
    <row r="11" spans="1:21" s="111" customFormat="1" x14ac:dyDescent="0.55000000000000004">
      <c r="C11" s="111" t="s">
        <v>1570</v>
      </c>
      <c r="E11" s="111" t="s">
        <v>1553</v>
      </c>
      <c r="F11" s="111" t="s">
        <v>1554</v>
      </c>
      <c r="G11" s="111" t="s">
        <v>1555</v>
      </c>
      <c r="H11" s="111">
        <v>85.296000000000006</v>
      </c>
      <c r="I11" s="111">
        <v>104.67</v>
      </c>
      <c r="J11" s="111">
        <f>I11-H11</f>
        <v>19.373999999999995</v>
      </c>
      <c r="K11" s="111">
        <f t="shared" si="2"/>
        <v>1.8850901999999994</v>
      </c>
      <c r="L11" s="113">
        <f t="shared" si="3"/>
        <v>37.701803999999989</v>
      </c>
      <c r="M11" s="111">
        <v>31.18</v>
      </c>
      <c r="N11" s="111">
        <v>785</v>
      </c>
      <c r="O11" s="111">
        <v>1435</v>
      </c>
      <c r="P11" s="111">
        <v>71.7</v>
      </c>
      <c r="Q11" s="111">
        <f t="shared" si="0"/>
        <v>40.520000000000003</v>
      </c>
      <c r="S11" s="215"/>
      <c r="T11" s="215"/>
      <c r="U11"/>
    </row>
    <row r="12" spans="1:21" s="111" customFormat="1" x14ac:dyDescent="0.55000000000000004">
      <c r="C12" s="111" t="s">
        <v>1567</v>
      </c>
      <c r="E12" s="111" t="s">
        <v>1553</v>
      </c>
      <c r="F12" s="111" t="s">
        <v>1554</v>
      </c>
      <c r="G12" s="111" t="s">
        <v>1555</v>
      </c>
      <c r="H12" s="111">
        <v>90.227999999999994</v>
      </c>
      <c r="I12" s="111">
        <v>89.3</v>
      </c>
      <c r="J12" s="111">
        <f>I12-H12</f>
        <v>-0.92799999999999727</v>
      </c>
      <c r="K12" s="111">
        <f t="shared" si="2"/>
        <v>-9.0294399999999733E-2</v>
      </c>
      <c r="L12" s="113">
        <f t="shared" si="3"/>
        <v>-1.8058879999999946</v>
      </c>
      <c r="M12" s="111">
        <v>31.18</v>
      </c>
      <c r="N12" s="111">
        <v>785</v>
      </c>
      <c r="O12" s="111">
        <v>3623</v>
      </c>
      <c r="P12" s="111">
        <v>71.7</v>
      </c>
      <c r="Q12" s="111">
        <f t="shared" si="0"/>
        <v>40.520000000000003</v>
      </c>
      <c r="S12" s="215"/>
      <c r="T12" s="215"/>
      <c r="U12"/>
    </row>
    <row r="13" spans="1:21" s="85" customFormat="1" x14ac:dyDescent="0.55000000000000004">
      <c r="B13" s="85">
        <v>6</v>
      </c>
      <c r="C13" s="85" t="s">
        <v>1568</v>
      </c>
      <c r="E13" s="85" t="s">
        <v>1553</v>
      </c>
      <c r="F13" s="85" t="s">
        <v>1554</v>
      </c>
      <c r="G13" s="85" t="s">
        <v>1555</v>
      </c>
      <c r="H13" s="85">
        <v>88.59</v>
      </c>
      <c r="I13" s="85">
        <v>94.64</v>
      </c>
      <c r="J13" s="85">
        <f>I13-H13</f>
        <v>6.0499999999999972</v>
      </c>
      <c r="K13" s="85">
        <f t="shared" si="2"/>
        <v>0.58866499999999966</v>
      </c>
      <c r="L13" s="3">
        <f t="shared" si="3"/>
        <v>11.773299999999994</v>
      </c>
      <c r="M13" s="85">
        <v>31.18</v>
      </c>
      <c r="N13" s="85">
        <v>785</v>
      </c>
      <c r="O13" s="85">
        <v>3623</v>
      </c>
      <c r="P13" s="85">
        <v>71.7</v>
      </c>
      <c r="Q13" s="85">
        <f t="shared" si="0"/>
        <v>40.520000000000003</v>
      </c>
      <c r="S13" s="203"/>
      <c r="T13" s="203"/>
      <c r="U13"/>
    </row>
    <row r="14" spans="1:21" x14ac:dyDescent="0.55000000000000004">
      <c r="C14" t="s">
        <v>1552</v>
      </c>
      <c r="E14" t="s">
        <v>1553</v>
      </c>
      <c r="F14" t="s">
        <v>1554</v>
      </c>
      <c r="G14" t="s">
        <v>1555</v>
      </c>
      <c r="H14" t="s">
        <v>1571</v>
      </c>
      <c r="L14" s="3"/>
      <c r="Q14">
        <f t="shared" si="0"/>
        <v>0</v>
      </c>
      <c r="S14" s="200"/>
      <c r="T14" s="200"/>
    </row>
    <row r="15" spans="1:21" x14ac:dyDescent="0.55000000000000004">
      <c r="A15">
        <v>3</v>
      </c>
      <c r="B15">
        <v>7</v>
      </c>
      <c r="C15" t="s">
        <v>1573</v>
      </c>
      <c r="E15" t="s">
        <v>1553</v>
      </c>
      <c r="F15" t="s">
        <v>1554</v>
      </c>
      <c r="G15" t="s">
        <v>1555</v>
      </c>
      <c r="H15">
        <v>80.186999999999998</v>
      </c>
      <c r="I15">
        <v>99.781999999999996</v>
      </c>
      <c r="J15">
        <f t="shared" si="1"/>
        <v>19.594999999999999</v>
      </c>
      <c r="K15">
        <f t="shared" si="2"/>
        <v>1.9065934999999998</v>
      </c>
      <c r="L15" s="3">
        <f t="shared" si="3"/>
        <v>38.131869999999999</v>
      </c>
      <c r="M15">
        <v>43.67</v>
      </c>
      <c r="N15">
        <v>822</v>
      </c>
      <c r="O15">
        <v>3016</v>
      </c>
      <c r="P15">
        <v>157.16999999999999</v>
      </c>
      <c r="Q15">
        <f t="shared" si="0"/>
        <v>113.49999999999999</v>
      </c>
      <c r="R15" t="s">
        <v>1572</v>
      </c>
      <c r="S15">
        <v>5</v>
      </c>
      <c r="T15">
        <v>1</v>
      </c>
      <c r="U15">
        <f t="shared" si="4"/>
        <v>0.2</v>
      </c>
    </row>
    <row r="16" spans="1:21" s="31" customFormat="1" x14ac:dyDescent="0.55000000000000004">
      <c r="C16" s="31" t="s">
        <v>1574</v>
      </c>
      <c r="E16" s="31" t="s">
        <v>1553</v>
      </c>
      <c r="F16" s="31" t="s">
        <v>1554</v>
      </c>
      <c r="G16" s="31" t="s">
        <v>1555</v>
      </c>
      <c r="H16" s="31">
        <v>88.063999999999993</v>
      </c>
      <c r="I16" s="31">
        <v>107.658</v>
      </c>
      <c r="J16" s="31">
        <f>I16-H16</f>
        <v>19.594000000000008</v>
      </c>
      <c r="K16" s="31">
        <f t="shared" si="2"/>
        <v>1.9064962000000008</v>
      </c>
      <c r="L16" s="32">
        <f t="shared" si="3"/>
        <v>38.129924000000017</v>
      </c>
      <c r="M16" s="31">
        <v>43.67</v>
      </c>
      <c r="N16" s="31">
        <v>822</v>
      </c>
      <c r="O16" s="31">
        <v>3016</v>
      </c>
      <c r="P16" s="31">
        <v>157.16999999999999</v>
      </c>
      <c r="Q16" s="31">
        <f t="shared" si="0"/>
        <v>113.49999999999999</v>
      </c>
      <c r="R16" s="31" t="s">
        <v>1572</v>
      </c>
      <c r="S16" s="232"/>
      <c r="T16" s="232"/>
      <c r="U16"/>
    </row>
    <row r="17" spans="1:21" x14ac:dyDescent="0.55000000000000004">
      <c r="A17">
        <v>4</v>
      </c>
      <c r="B17">
        <v>8</v>
      </c>
      <c r="C17" t="s">
        <v>1575</v>
      </c>
      <c r="E17" t="s">
        <v>1553</v>
      </c>
      <c r="F17" t="s">
        <v>1554</v>
      </c>
      <c r="G17" t="s">
        <v>1555</v>
      </c>
      <c r="H17">
        <v>79.055999999999997</v>
      </c>
      <c r="I17">
        <v>86.944000000000003</v>
      </c>
      <c r="J17">
        <f t="shared" si="1"/>
        <v>7.8880000000000052</v>
      </c>
      <c r="K17">
        <f t="shared" si="2"/>
        <v>0.76750240000000047</v>
      </c>
      <c r="L17" s="3">
        <f t="shared" si="3"/>
        <v>15.35004800000001</v>
      </c>
      <c r="M17">
        <v>52.73</v>
      </c>
      <c r="N17">
        <v>714</v>
      </c>
      <c r="O17">
        <v>2686</v>
      </c>
      <c r="P17">
        <v>139.66999999999999</v>
      </c>
      <c r="Q17">
        <f t="shared" si="0"/>
        <v>86.94</v>
      </c>
      <c r="S17">
        <v>9</v>
      </c>
      <c r="T17">
        <v>4</v>
      </c>
      <c r="U17">
        <f t="shared" si="4"/>
        <v>0.44444444444444442</v>
      </c>
    </row>
    <row r="18" spans="1:21" s="31" customFormat="1" x14ac:dyDescent="0.55000000000000004">
      <c r="C18" s="31" t="s">
        <v>1577</v>
      </c>
      <c r="E18" s="31" t="s">
        <v>1553</v>
      </c>
      <c r="F18" s="31" t="s">
        <v>1554</v>
      </c>
      <c r="G18" s="31" t="s">
        <v>1555</v>
      </c>
      <c r="H18" s="31">
        <v>91.308000000000007</v>
      </c>
      <c r="I18" s="31">
        <v>98.183000000000007</v>
      </c>
      <c r="J18" s="31">
        <f>I18-H18</f>
        <v>6.875</v>
      </c>
      <c r="K18" s="31">
        <f>J18*0.0973</f>
        <v>0.66893749999999996</v>
      </c>
      <c r="L18" s="32">
        <f>K18*20</f>
        <v>13.37875</v>
      </c>
      <c r="M18" s="31">
        <v>52.73</v>
      </c>
      <c r="N18" s="31">
        <v>714</v>
      </c>
      <c r="O18" s="31">
        <v>2686</v>
      </c>
      <c r="P18" s="31">
        <v>139.66999999999999</v>
      </c>
      <c r="Q18" s="31">
        <f t="shared" si="0"/>
        <v>86.94</v>
      </c>
      <c r="S18" s="232"/>
      <c r="T18" s="232"/>
      <c r="U18"/>
    </row>
    <row r="19" spans="1:21" x14ac:dyDescent="0.55000000000000004">
      <c r="B19">
        <v>9</v>
      </c>
      <c r="C19" t="s">
        <v>1576</v>
      </c>
      <c r="E19" t="s">
        <v>1553</v>
      </c>
      <c r="F19" t="s">
        <v>1554</v>
      </c>
      <c r="G19" t="s">
        <v>1555</v>
      </c>
      <c r="H19">
        <v>89.721999999999994</v>
      </c>
      <c r="I19">
        <v>93.501000000000005</v>
      </c>
      <c r="J19">
        <f>I19-H19</f>
        <v>3.7790000000000106</v>
      </c>
      <c r="K19">
        <f t="shared" si="2"/>
        <v>0.36769670000000104</v>
      </c>
      <c r="L19" s="3">
        <f t="shared" si="3"/>
        <v>7.3539340000000211</v>
      </c>
      <c r="M19">
        <v>52.73</v>
      </c>
      <c r="N19">
        <v>714</v>
      </c>
      <c r="O19">
        <v>3358</v>
      </c>
      <c r="P19">
        <v>174.62</v>
      </c>
      <c r="Q19">
        <f t="shared" si="0"/>
        <v>121.89000000000001</v>
      </c>
      <c r="S19" s="200"/>
      <c r="T19" s="200"/>
    </row>
    <row r="20" spans="1:21" s="31" customFormat="1" x14ac:dyDescent="0.55000000000000004">
      <c r="C20" s="31" t="s">
        <v>1578</v>
      </c>
      <c r="E20" s="31" t="s">
        <v>1553</v>
      </c>
      <c r="F20" s="31" t="s">
        <v>1554</v>
      </c>
      <c r="G20" s="31" t="s">
        <v>1555</v>
      </c>
      <c r="H20" s="31">
        <v>91.308000000000007</v>
      </c>
      <c r="I20" s="31">
        <v>103.69799999999999</v>
      </c>
      <c r="J20" s="31">
        <f t="shared" ref="J20:J29" si="5">I20-H20</f>
        <v>12.389999999999986</v>
      </c>
      <c r="K20" s="31">
        <f t="shared" si="2"/>
        <v>1.2055469999999986</v>
      </c>
      <c r="L20" s="32">
        <f t="shared" si="3"/>
        <v>24.110939999999971</v>
      </c>
      <c r="M20" s="31">
        <v>52.73</v>
      </c>
      <c r="N20" s="31">
        <v>714</v>
      </c>
      <c r="O20" s="31">
        <v>3358</v>
      </c>
      <c r="P20" s="31">
        <v>174.62</v>
      </c>
      <c r="Q20" s="31">
        <f t="shared" si="0"/>
        <v>121.89000000000001</v>
      </c>
      <c r="S20" s="232"/>
      <c r="T20" s="232"/>
      <c r="U20"/>
    </row>
    <row r="21" spans="1:21" s="85" customFormat="1" x14ac:dyDescent="0.55000000000000004">
      <c r="B21" s="85">
        <v>10</v>
      </c>
      <c r="C21" s="85" t="s">
        <v>1576</v>
      </c>
      <c r="E21" s="85" t="s">
        <v>1553</v>
      </c>
      <c r="F21" s="85" t="s">
        <v>1554</v>
      </c>
      <c r="G21" s="85" t="s">
        <v>1555</v>
      </c>
      <c r="H21" s="85">
        <v>75.837999999999994</v>
      </c>
      <c r="I21" s="85">
        <v>92.686000000000007</v>
      </c>
      <c r="J21" s="85">
        <f t="shared" si="5"/>
        <v>16.848000000000013</v>
      </c>
      <c r="K21" s="85">
        <f t="shared" si="2"/>
        <v>1.6393104000000012</v>
      </c>
      <c r="L21" s="3">
        <f t="shared" si="3"/>
        <v>32.786208000000023</v>
      </c>
      <c r="M21" s="85">
        <v>52.73</v>
      </c>
      <c r="N21" s="85">
        <v>714</v>
      </c>
      <c r="O21" s="85">
        <v>2694</v>
      </c>
      <c r="P21" s="85">
        <v>192.09</v>
      </c>
      <c r="Q21" s="85">
        <f t="shared" si="0"/>
        <v>139.36000000000001</v>
      </c>
      <c r="S21" s="203"/>
      <c r="T21" s="203"/>
      <c r="U21"/>
    </row>
    <row r="22" spans="1:21" s="31" customFormat="1" x14ac:dyDescent="0.55000000000000004">
      <c r="C22" s="31" t="s">
        <v>1578</v>
      </c>
      <c r="E22" s="31" t="s">
        <v>1553</v>
      </c>
      <c r="F22" s="31" t="s">
        <v>1554</v>
      </c>
      <c r="G22" s="31" t="s">
        <v>1555</v>
      </c>
      <c r="H22" s="31">
        <v>88.679000000000002</v>
      </c>
      <c r="I22" s="31">
        <v>98.206000000000003</v>
      </c>
      <c r="J22" s="31">
        <f t="shared" si="5"/>
        <v>9.527000000000001</v>
      </c>
      <c r="K22" s="31">
        <f t="shared" si="2"/>
        <v>0.92697710000000011</v>
      </c>
      <c r="L22" s="32">
        <f t="shared" si="3"/>
        <v>18.539542000000001</v>
      </c>
      <c r="M22" s="31">
        <v>52.73</v>
      </c>
      <c r="N22" s="31">
        <v>714</v>
      </c>
      <c r="O22" s="31">
        <v>2694</v>
      </c>
      <c r="P22" s="31">
        <v>192.09</v>
      </c>
      <c r="Q22" s="31">
        <f t="shared" si="0"/>
        <v>139.36000000000001</v>
      </c>
      <c r="S22" s="232"/>
      <c r="T22" s="232"/>
      <c r="U22"/>
    </row>
    <row r="23" spans="1:21" x14ac:dyDescent="0.55000000000000004">
      <c r="A23">
        <v>5</v>
      </c>
      <c r="B23">
        <v>11</v>
      </c>
      <c r="C23" t="s">
        <v>1579</v>
      </c>
      <c r="E23" t="s">
        <v>1553</v>
      </c>
      <c r="F23" t="s">
        <v>1554</v>
      </c>
      <c r="G23" t="s">
        <v>1555</v>
      </c>
      <c r="H23" s="85">
        <v>81.393000000000001</v>
      </c>
      <c r="I23" s="85">
        <v>81.542000000000002</v>
      </c>
      <c r="J23" s="85">
        <f t="shared" si="5"/>
        <v>0.14900000000000091</v>
      </c>
      <c r="K23" s="85">
        <f t="shared" si="2"/>
        <v>1.4497700000000089E-2</v>
      </c>
      <c r="L23" s="3">
        <f t="shared" si="3"/>
        <v>0.28995400000000177</v>
      </c>
      <c r="M23" s="85">
        <v>19.79</v>
      </c>
      <c r="N23" s="85">
        <v>318</v>
      </c>
      <c r="O23" s="85">
        <v>1705</v>
      </c>
      <c r="P23" s="85">
        <v>86.81</v>
      </c>
      <c r="Q23">
        <f t="shared" si="0"/>
        <v>67.02000000000001</v>
      </c>
      <c r="S23">
        <v>10</v>
      </c>
      <c r="T23">
        <v>3</v>
      </c>
      <c r="U23">
        <f t="shared" si="4"/>
        <v>0.3</v>
      </c>
    </row>
    <row r="24" spans="1:21" s="111" customFormat="1" x14ac:dyDescent="0.55000000000000004">
      <c r="C24" s="111" t="s">
        <v>1582</v>
      </c>
      <c r="E24" s="111" t="s">
        <v>1553</v>
      </c>
      <c r="F24" s="111" t="s">
        <v>1554</v>
      </c>
      <c r="G24" s="111" t="s">
        <v>1555</v>
      </c>
      <c r="H24" s="111">
        <v>88.576999999999998</v>
      </c>
      <c r="I24" s="111">
        <v>91.117000000000004</v>
      </c>
      <c r="J24" s="111">
        <f>I24-H24</f>
        <v>2.5400000000000063</v>
      </c>
      <c r="K24" s="111">
        <f t="shared" si="2"/>
        <v>0.24714200000000061</v>
      </c>
      <c r="L24" s="113">
        <f t="shared" si="3"/>
        <v>4.9428400000000119</v>
      </c>
      <c r="M24" s="111">
        <v>19.79</v>
      </c>
      <c r="N24" s="111">
        <v>318</v>
      </c>
      <c r="O24" s="111">
        <v>1705</v>
      </c>
      <c r="P24" s="111">
        <v>86.81</v>
      </c>
      <c r="Q24" s="111">
        <f t="shared" si="0"/>
        <v>67.02000000000001</v>
      </c>
      <c r="S24" s="111">
        <v>10</v>
      </c>
      <c r="T24" s="111">
        <v>3</v>
      </c>
      <c r="U24"/>
    </row>
    <row r="25" spans="1:21" x14ac:dyDescent="0.55000000000000004">
      <c r="B25">
        <v>12</v>
      </c>
      <c r="C25" t="s">
        <v>1580</v>
      </c>
      <c r="E25" t="s">
        <v>1553</v>
      </c>
      <c r="F25" t="s">
        <v>1554</v>
      </c>
      <c r="G25" t="s">
        <v>1555</v>
      </c>
      <c r="H25" s="85">
        <v>88.576999999999998</v>
      </c>
      <c r="I25" s="85">
        <v>103.998</v>
      </c>
      <c r="J25" s="85">
        <f>I25-H25</f>
        <v>15.421000000000006</v>
      </c>
      <c r="K25" s="85">
        <f t="shared" si="2"/>
        <v>1.5004633000000005</v>
      </c>
      <c r="L25" s="3">
        <f t="shared" si="3"/>
        <v>30.009266000000011</v>
      </c>
      <c r="M25" s="85">
        <v>19.79</v>
      </c>
      <c r="N25" s="85">
        <v>318</v>
      </c>
      <c r="O25" s="85">
        <v>2301</v>
      </c>
      <c r="P25" s="85">
        <v>117.16</v>
      </c>
      <c r="Q25">
        <f t="shared" si="0"/>
        <v>97.37</v>
      </c>
      <c r="R25" t="s">
        <v>1583</v>
      </c>
      <c r="S25" s="200"/>
      <c r="T25" s="200"/>
    </row>
    <row r="26" spans="1:21" s="111" customFormat="1" x14ac:dyDescent="0.55000000000000004">
      <c r="C26" s="111" t="s">
        <v>1581</v>
      </c>
      <c r="E26" s="111" t="s">
        <v>1553</v>
      </c>
      <c r="F26" s="111" t="s">
        <v>1554</v>
      </c>
      <c r="G26" s="111" t="s">
        <v>1555</v>
      </c>
      <c r="H26" s="111">
        <v>81.393000000000001</v>
      </c>
      <c r="I26" s="111">
        <v>91.84</v>
      </c>
      <c r="J26" s="111">
        <f>I26-H26</f>
        <v>10.447000000000003</v>
      </c>
      <c r="K26" s="111">
        <f t="shared" si="2"/>
        <v>1.0164931000000001</v>
      </c>
      <c r="L26" s="113">
        <f t="shared" si="3"/>
        <v>20.329862000000002</v>
      </c>
      <c r="M26" s="111">
        <v>19.79</v>
      </c>
      <c r="N26" s="111">
        <v>318</v>
      </c>
      <c r="O26" s="111">
        <v>2301</v>
      </c>
      <c r="P26" s="111">
        <v>117.16</v>
      </c>
      <c r="Q26" s="111">
        <f t="shared" si="0"/>
        <v>97.37</v>
      </c>
      <c r="S26" s="215"/>
      <c r="T26" s="215"/>
      <c r="U26"/>
    </row>
    <row r="27" spans="1:21" x14ac:dyDescent="0.55000000000000004">
      <c r="A27">
        <v>6</v>
      </c>
      <c r="B27">
        <v>13</v>
      </c>
      <c r="C27" t="s">
        <v>1584</v>
      </c>
      <c r="E27" t="s">
        <v>1553</v>
      </c>
      <c r="F27" t="s">
        <v>1554</v>
      </c>
      <c r="G27" t="s">
        <v>1555</v>
      </c>
      <c r="H27" s="85">
        <v>85.543999999999997</v>
      </c>
      <c r="I27" s="85">
        <v>88.253</v>
      </c>
      <c r="J27" s="85">
        <f>I27-H27</f>
        <v>2.7090000000000032</v>
      </c>
      <c r="K27" s="85">
        <f t="shared" si="2"/>
        <v>0.26358570000000031</v>
      </c>
      <c r="L27" s="3">
        <f t="shared" si="3"/>
        <v>5.2717140000000065</v>
      </c>
      <c r="M27">
        <v>22.66</v>
      </c>
      <c r="N27">
        <v>486</v>
      </c>
      <c r="O27">
        <v>1244</v>
      </c>
      <c r="P27">
        <v>63.91</v>
      </c>
      <c r="Q27">
        <f t="shared" si="0"/>
        <v>41.25</v>
      </c>
      <c r="S27">
        <v>7</v>
      </c>
      <c r="T27">
        <v>4</v>
      </c>
      <c r="U27">
        <f t="shared" si="4"/>
        <v>0.5714285714285714</v>
      </c>
    </row>
    <row r="28" spans="1:21" s="111" customFormat="1" x14ac:dyDescent="0.55000000000000004">
      <c r="C28" s="111" t="s">
        <v>1585</v>
      </c>
      <c r="E28" s="111" t="s">
        <v>1553</v>
      </c>
      <c r="F28" s="111" t="s">
        <v>1554</v>
      </c>
      <c r="G28" s="111" t="s">
        <v>1555</v>
      </c>
      <c r="H28" s="111">
        <v>78.302999999999997</v>
      </c>
      <c r="I28" s="111">
        <v>93.418999999999997</v>
      </c>
      <c r="J28" s="111">
        <f>I28-H28</f>
        <v>15.116</v>
      </c>
      <c r="K28" s="111">
        <f t="shared" si="2"/>
        <v>1.4707867999999999</v>
      </c>
      <c r="L28" s="113">
        <f t="shared" si="3"/>
        <v>29.415735999999999</v>
      </c>
      <c r="M28" s="111">
        <v>22.66</v>
      </c>
      <c r="N28" s="111">
        <v>486</v>
      </c>
      <c r="O28" s="111">
        <v>1244</v>
      </c>
      <c r="P28" s="111">
        <v>63.91</v>
      </c>
      <c r="Q28" s="111">
        <f t="shared" si="0"/>
        <v>41.25</v>
      </c>
      <c r="S28" s="111">
        <v>7</v>
      </c>
      <c r="T28" s="111">
        <v>4</v>
      </c>
      <c r="U28"/>
    </row>
    <row r="29" spans="1:21" x14ac:dyDescent="0.55000000000000004">
      <c r="B29">
        <v>14</v>
      </c>
      <c r="C29" t="s">
        <v>1586</v>
      </c>
      <c r="E29" t="s">
        <v>1553</v>
      </c>
      <c r="F29" t="s">
        <v>1554</v>
      </c>
      <c r="G29" t="s">
        <v>1555</v>
      </c>
      <c r="H29" s="85">
        <v>75.754999999999995</v>
      </c>
      <c r="I29" s="85">
        <v>76.394999999999996</v>
      </c>
      <c r="J29" s="85">
        <f t="shared" si="5"/>
        <v>0.64000000000000057</v>
      </c>
      <c r="K29" s="85">
        <f t="shared" si="2"/>
        <v>6.2272000000000056E-2</v>
      </c>
      <c r="L29" s="3">
        <f t="shared" si="3"/>
        <v>1.2454400000000012</v>
      </c>
      <c r="M29">
        <v>22.66</v>
      </c>
      <c r="N29">
        <v>486</v>
      </c>
      <c r="O29">
        <v>2044</v>
      </c>
      <c r="P29">
        <v>105.01</v>
      </c>
      <c r="Q29">
        <f t="shared" si="0"/>
        <v>82.350000000000009</v>
      </c>
      <c r="S29" s="200"/>
      <c r="T29" s="200"/>
    </row>
    <row r="30" spans="1:21" s="111" customFormat="1" x14ac:dyDescent="0.55000000000000004">
      <c r="C30" s="111" t="s">
        <v>1587</v>
      </c>
      <c r="E30" s="111" t="s">
        <v>1553</v>
      </c>
      <c r="F30" s="111" t="s">
        <v>1554</v>
      </c>
      <c r="G30" s="111" t="s">
        <v>1555</v>
      </c>
      <c r="H30" s="111">
        <v>83.203000000000003</v>
      </c>
      <c r="I30" s="111">
        <v>94.731999999999999</v>
      </c>
      <c r="J30" s="111">
        <f>I30-H30</f>
        <v>11.528999999999996</v>
      </c>
      <c r="K30" s="111">
        <f t="shared" si="2"/>
        <v>1.1217716999999996</v>
      </c>
      <c r="L30" s="113">
        <f t="shared" si="3"/>
        <v>22.435433999999994</v>
      </c>
      <c r="M30" s="111">
        <v>22.66</v>
      </c>
      <c r="N30" s="111">
        <v>486</v>
      </c>
      <c r="O30" s="111">
        <v>2044</v>
      </c>
      <c r="P30" s="111">
        <v>105.01</v>
      </c>
      <c r="Q30" s="111">
        <f t="shared" si="0"/>
        <v>82.350000000000009</v>
      </c>
      <c r="S30" s="215"/>
      <c r="T30" s="215"/>
      <c r="U30"/>
    </row>
    <row r="31" spans="1:21" x14ac:dyDescent="0.55000000000000004">
      <c r="B31">
        <v>15</v>
      </c>
      <c r="C31" t="s">
        <v>1588</v>
      </c>
      <c r="E31" t="s">
        <v>1553</v>
      </c>
      <c r="F31" t="s">
        <v>1554</v>
      </c>
      <c r="G31" t="s">
        <v>1555</v>
      </c>
      <c r="H31" s="85">
        <v>85.543999999999997</v>
      </c>
      <c r="I31" s="85">
        <v>93.168999999999997</v>
      </c>
      <c r="J31" s="85">
        <f>I31-H31</f>
        <v>7.625</v>
      </c>
      <c r="K31" s="85">
        <f t="shared" si="2"/>
        <v>0.74191249999999997</v>
      </c>
      <c r="L31" s="3">
        <f t="shared" si="3"/>
        <v>14.838249999999999</v>
      </c>
      <c r="M31">
        <v>22.66</v>
      </c>
      <c r="N31">
        <v>486</v>
      </c>
      <c r="O31">
        <v>2498</v>
      </c>
      <c r="P31">
        <v>128.34</v>
      </c>
      <c r="Q31">
        <f t="shared" si="0"/>
        <v>105.68</v>
      </c>
      <c r="R31" t="s">
        <v>1592</v>
      </c>
      <c r="S31" s="200"/>
      <c r="T31" s="200"/>
    </row>
    <row r="32" spans="1:21" s="111" customFormat="1" x14ac:dyDescent="0.55000000000000004">
      <c r="C32" s="111" t="s">
        <v>1589</v>
      </c>
      <c r="E32" s="111" t="s">
        <v>1553</v>
      </c>
      <c r="F32" s="111" t="s">
        <v>1554</v>
      </c>
      <c r="G32" s="111" t="s">
        <v>1555</v>
      </c>
      <c r="H32" s="111">
        <v>78.302999999999997</v>
      </c>
      <c r="I32" s="111">
        <v>87.47</v>
      </c>
      <c r="J32" s="111">
        <f>I32-H32</f>
        <v>9.1670000000000016</v>
      </c>
      <c r="K32" s="111">
        <f t="shared" si="2"/>
        <v>0.89194910000000016</v>
      </c>
      <c r="L32" s="113">
        <f t="shared" si="3"/>
        <v>17.838982000000001</v>
      </c>
      <c r="M32" s="111">
        <v>22.66</v>
      </c>
      <c r="N32" s="111">
        <v>486</v>
      </c>
      <c r="O32" s="111">
        <v>2498</v>
      </c>
      <c r="P32" s="111">
        <v>128.34</v>
      </c>
      <c r="Q32" s="111">
        <f t="shared" si="0"/>
        <v>105.68</v>
      </c>
      <c r="S32" s="215"/>
      <c r="T32" s="215"/>
      <c r="U32"/>
    </row>
    <row r="33" spans="1:21" x14ac:dyDescent="0.55000000000000004">
      <c r="B33">
        <v>16</v>
      </c>
      <c r="C33" t="s">
        <v>1590</v>
      </c>
      <c r="E33" t="s">
        <v>1553</v>
      </c>
      <c r="F33" t="s">
        <v>1554</v>
      </c>
      <c r="G33" t="s">
        <v>1555</v>
      </c>
      <c r="H33" s="85">
        <v>85.727999999999994</v>
      </c>
      <c r="I33" s="85">
        <v>93.441000000000003</v>
      </c>
      <c r="J33" s="85">
        <f>I33-H33</f>
        <v>7.7130000000000081</v>
      </c>
      <c r="K33" s="85">
        <f t="shared" si="2"/>
        <v>0.75047490000000072</v>
      </c>
      <c r="L33" s="3">
        <f t="shared" si="3"/>
        <v>15.009498000000015</v>
      </c>
      <c r="M33">
        <v>22.66</v>
      </c>
      <c r="N33">
        <v>486</v>
      </c>
      <c r="O33">
        <v>3209</v>
      </c>
      <c r="P33">
        <v>164.87</v>
      </c>
      <c r="Q33">
        <f t="shared" si="0"/>
        <v>142.21</v>
      </c>
      <c r="R33" t="s">
        <v>1572</v>
      </c>
      <c r="S33" s="200"/>
      <c r="T33" s="200"/>
    </row>
    <row r="34" spans="1:21" s="111" customFormat="1" x14ac:dyDescent="0.55000000000000004">
      <c r="C34" s="111" t="s">
        <v>1591</v>
      </c>
      <c r="E34" s="111" t="s">
        <v>1553</v>
      </c>
      <c r="F34" s="111" t="s">
        <v>1554</v>
      </c>
      <c r="G34" s="111" t="s">
        <v>1555</v>
      </c>
      <c r="H34" s="111">
        <v>83.203000000000003</v>
      </c>
      <c r="I34" s="111">
        <v>110.36</v>
      </c>
      <c r="J34" s="111">
        <f>I34-H34</f>
        <v>27.156999999999996</v>
      </c>
      <c r="K34" s="111">
        <f t="shared" si="2"/>
        <v>2.6423760999999995</v>
      </c>
      <c r="L34" s="113">
        <f t="shared" si="3"/>
        <v>52.847521999999991</v>
      </c>
      <c r="M34" s="111">
        <v>22.66</v>
      </c>
      <c r="N34" s="111">
        <v>486</v>
      </c>
      <c r="O34" s="111">
        <v>3209</v>
      </c>
      <c r="P34" s="111">
        <v>164.87</v>
      </c>
      <c r="Q34" s="111">
        <f t="shared" si="0"/>
        <v>142.21</v>
      </c>
      <c r="R34" s="111" t="s">
        <v>1593</v>
      </c>
      <c r="S34" s="215"/>
      <c r="T34" s="215"/>
      <c r="U34"/>
    </row>
    <row r="35" spans="1:21" x14ac:dyDescent="0.55000000000000004">
      <c r="A35">
        <v>7</v>
      </c>
      <c r="C35" t="s">
        <v>1620</v>
      </c>
      <c r="E35" t="s">
        <v>1625</v>
      </c>
      <c r="F35" t="s">
        <v>1554</v>
      </c>
      <c r="G35" t="s">
        <v>1555</v>
      </c>
      <c r="H35" t="s">
        <v>325</v>
      </c>
      <c r="J35" s="111"/>
      <c r="K35" s="111"/>
      <c r="L35" s="113"/>
      <c r="M35" s="85">
        <v>37.43</v>
      </c>
      <c r="N35" s="85"/>
      <c r="O35" s="85"/>
      <c r="P35" s="85"/>
      <c r="Q35" s="85"/>
      <c r="S35">
        <v>5</v>
      </c>
      <c r="T35">
        <v>0</v>
      </c>
      <c r="U35">
        <f t="shared" si="4"/>
        <v>0</v>
      </c>
    </row>
    <row r="36" spans="1:21" s="85" customFormat="1" x14ac:dyDescent="0.55000000000000004">
      <c r="A36" s="85">
        <v>8</v>
      </c>
      <c r="B36" s="85">
        <v>17</v>
      </c>
      <c r="C36" s="85" t="s">
        <v>1626</v>
      </c>
      <c r="E36" s="85" t="s">
        <v>1625</v>
      </c>
      <c r="F36" s="85" t="s">
        <v>1554</v>
      </c>
      <c r="G36" s="85" t="s">
        <v>1555</v>
      </c>
      <c r="H36" s="85">
        <v>83.004999999999995</v>
      </c>
      <c r="I36" s="85">
        <v>112.556</v>
      </c>
      <c r="J36" s="85">
        <f t="shared" ref="J36:J74" si="6">I36-H36</f>
        <v>29.551000000000002</v>
      </c>
      <c r="K36" s="85">
        <f t="shared" si="2"/>
        <v>2.8753123</v>
      </c>
      <c r="L36" s="3">
        <f t="shared" ref="L36:L74" si="7">K36*20</f>
        <v>57.506246000000004</v>
      </c>
      <c r="M36" s="85">
        <v>39.06</v>
      </c>
      <c r="N36" s="85">
        <v>335</v>
      </c>
      <c r="O36" s="85">
        <v>1335</v>
      </c>
      <c r="P36" s="85">
        <v>67.81</v>
      </c>
      <c r="Q36" s="85">
        <f t="shared" si="0"/>
        <v>28.75</v>
      </c>
      <c r="S36" s="85">
        <v>12</v>
      </c>
      <c r="T36" s="85">
        <v>5</v>
      </c>
      <c r="U36">
        <f t="shared" si="4"/>
        <v>0.41666666666666669</v>
      </c>
    </row>
    <row r="37" spans="1:21" s="85" customFormat="1" x14ac:dyDescent="0.55000000000000004">
      <c r="B37" s="85">
        <v>18</v>
      </c>
      <c r="C37" s="85" t="s">
        <v>1627</v>
      </c>
      <c r="E37" s="85" t="s">
        <v>1625</v>
      </c>
      <c r="F37" s="85" t="s">
        <v>1554</v>
      </c>
      <c r="G37" s="85" t="s">
        <v>1555</v>
      </c>
      <c r="H37" s="85">
        <v>83.004999999999995</v>
      </c>
      <c r="I37" s="85">
        <v>97.347999999999999</v>
      </c>
      <c r="J37" s="85">
        <f t="shared" si="6"/>
        <v>14.343000000000004</v>
      </c>
      <c r="K37" s="85">
        <f>J37*0.0973</f>
        <v>1.3955739000000003</v>
      </c>
      <c r="L37" s="3">
        <f t="shared" si="7"/>
        <v>27.911478000000006</v>
      </c>
      <c r="M37" s="85">
        <v>39.06</v>
      </c>
      <c r="N37" s="85">
        <v>335</v>
      </c>
      <c r="O37" s="85">
        <v>1706</v>
      </c>
      <c r="P37" s="85">
        <v>86.66</v>
      </c>
      <c r="Q37" s="85">
        <f>P37-M37</f>
        <v>47.599999999999994</v>
      </c>
      <c r="R37" s="85" t="s">
        <v>1630</v>
      </c>
      <c r="S37" s="203"/>
      <c r="T37" s="203"/>
      <c r="U37"/>
    </row>
    <row r="38" spans="1:21" s="85" customFormat="1" x14ac:dyDescent="0.55000000000000004">
      <c r="B38" s="85">
        <v>19</v>
      </c>
      <c r="C38" s="85" t="s">
        <v>1628</v>
      </c>
      <c r="E38" s="85" t="s">
        <v>1625</v>
      </c>
      <c r="F38" s="85" t="s">
        <v>1554</v>
      </c>
      <c r="G38" s="85" t="s">
        <v>1555</v>
      </c>
      <c r="H38" s="85">
        <v>83.004999999999995</v>
      </c>
      <c r="I38" s="85">
        <v>114.28700000000001</v>
      </c>
      <c r="J38" s="85">
        <f t="shared" si="6"/>
        <v>31.282000000000011</v>
      </c>
      <c r="K38" s="85">
        <f>J38*0.0973</f>
        <v>3.0437386000000011</v>
      </c>
      <c r="L38" s="3">
        <f t="shared" si="7"/>
        <v>60.874772000000021</v>
      </c>
      <c r="M38" s="85">
        <v>39.06</v>
      </c>
      <c r="N38" s="85">
        <v>335</v>
      </c>
      <c r="O38" s="85">
        <v>2665</v>
      </c>
      <c r="P38" s="85">
        <v>135.37</v>
      </c>
      <c r="Q38" s="85">
        <f>P38-M38</f>
        <v>96.31</v>
      </c>
      <c r="S38" s="203"/>
      <c r="T38" s="203"/>
      <c r="U38"/>
    </row>
    <row r="39" spans="1:21" s="85" customFormat="1" x14ac:dyDescent="0.55000000000000004">
      <c r="B39" s="85">
        <v>20</v>
      </c>
      <c r="C39" s="85" t="s">
        <v>1629</v>
      </c>
      <c r="E39" s="85" t="s">
        <v>1625</v>
      </c>
      <c r="F39" s="85" t="s">
        <v>1554</v>
      </c>
      <c r="G39" s="85" t="s">
        <v>1555</v>
      </c>
      <c r="H39" s="85">
        <v>83.004999999999995</v>
      </c>
      <c r="I39" s="85">
        <v>98.772999999999996</v>
      </c>
      <c r="J39" s="85">
        <f t="shared" si="6"/>
        <v>15.768000000000001</v>
      </c>
      <c r="K39" s="85">
        <f>J39*0.0973</f>
        <v>1.5342264000000001</v>
      </c>
      <c r="L39" s="3">
        <f t="shared" si="7"/>
        <v>30.684528</v>
      </c>
      <c r="M39" s="85">
        <v>39.06</v>
      </c>
      <c r="N39" s="85">
        <v>335</v>
      </c>
      <c r="O39" s="85">
        <v>3135</v>
      </c>
      <c r="P39" s="85">
        <v>159.25</v>
      </c>
      <c r="Q39" s="85">
        <f>P39-M39</f>
        <v>120.19</v>
      </c>
      <c r="S39" s="203"/>
      <c r="T39" s="203"/>
      <c r="U39"/>
    </row>
    <row r="40" spans="1:21" s="85" customFormat="1" x14ac:dyDescent="0.55000000000000004">
      <c r="B40" s="85">
        <v>21</v>
      </c>
      <c r="C40" s="85" t="s">
        <v>1629</v>
      </c>
      <c r="E40" s="85" t="s">
        <v>1625</v>
      </c>
      <c r="F40" s="85" t="s">
        <v>1554</v>
      </c>
      <c r="G40" s="85" t="s">
        <v>1555</v>
      </c>
      <c r="H40" s="85">
        <v>91.837000000000003</v>
      </c>
      <c r="I40" s="85">
        <v>101.35299999999999</v>
      </c>
      <c r="J40" s="85">
        <f t="shared" si="6"/>
        <v>9.5159999999999911</v>
      </c>
      <c r="K40" s="85">
        <f>J40*0.0973</f>
        <v>0.92590679999999914</v>
      </c>
      <c r="L40" s="3">
        <f t="shared" si="7"/>
        <v>18.518135999999984</v>
      </c>
      <c r="M40" s="85">
        <v>39.06</v>
      </c>
      <c r="N40" s="85">
        <v>335</v>
      </c>
      <c r="O40" s="85">
        <v>3299</v>
      </c>
      <c r="P40" s="85">
        <v>167.58</v>
      </c>
      <c r="Q40" s="85">
        <f>P40-M40</f>
        <v>128.52000000000001</v>
      </c>
      <c r="S40" s="203"/>
      <c r="T40" s="203"/>
      <c r="U40"/>
    </row>
    <row r="41" spans="1:21" s="85" customFormat="1" x14ac:dyDescent="0.55000000000000004">
      <c r="A41" s="85">
        <v>9</v>
      </c>
      <c r="B41" s="85">
        <v>22</v>
      </c>
      <c r="C41" s="85" t="s">
        <v>1631</v>
      </c>
      <c r="E41" s="85" t="s">
        <v>1625</v>
      </c>
      <c r="F41" s="85" t="s">
        <v>1554</v>
      </c>
      <c r="G41" s="85" t="s">
        <v>1555</v>
      </c>
      <c r="H41" s="85">
        <v>84.817999999999998</v>
      </c>
      <c r="I41" s="85">
        <v>97.906999999999996</v>
      </c>
      <c r="J41" s="85">
        <f t="shared" si="6"/>
        <v>13.088999999999999</v>
      </c>
      <c r="K41" s="85">
        <f t="shared" si="2"/>
        <v>1.2735596999999999</v>
      </c>
      <c r="L41" s="3">
        <f t="shared" si="7"/>
        <v>25.471193999999997</v>
      </c>
      <c r="M41" s="85">
        <v>12.56</v>
      </c>
      <c r="N41" s="85">
        <v>33</v>
      </c>
      <c r="O41" s="85">
        <v>1083</v>
      </c>
      <c r="P41" s="85">
        <v>57.65</v>
      </c>
      <c r="Q41" s="85">
        <f t="shared" si="0"/>
        <v>45.089999999999996</v>
      </c>
      <c r="S41" s="85">
        <v>6</v>
      </c>
      <c r="T41" s="85">
        <v>2</v>
      </c>
      <c r="U41">
        <f t="shared" si="4"/>
        <v>0.33333333333333331</v>
      </c>
    </row>
    <row r="42" spans="1:21" s="31" customFormat="1" x14ac:dyDescent="0.55000000000000004">
      <c r="C42" s="31" t="s">
        <v>1632</v>
      </c>
      <c r="E42" s="31" t="s">
        <v>1625</v>
      </c>
      <c r="F42" s="31" t="s">
        <v>1554</v>
      </c>
      <c r="G42" s="31" t="s">
        <v>1555</v>
      </c>
      <c r="H42" s="31">
        <v>78.349000000000004</v>
      </c>
      <c r="I42" s="31">
        <v>89.186000000000007</v>
      </c>
      <c r="J42" s="31">
        <f t="shared" si="6"/>
        <v>10.837000000000003</v>
      </c>
      <c r="K42" s="31">
        <f>J42*0.0973</f>
        <v>1.0544401000000003</v>
      </c>
      <c r="L42" s="32">
        <f t="shared" si="7"/>
        <v>21.088802000000008</v>
      </c>
      <c r="M42" s="31">
        <v>12.56</v>
      </c>
      <c r="N42" s="31">
        <v>33</v>
      </c>
      <c r="O42" s="31">
        <v>1083</v>
      </c>
      <c r="P42" s="31">
        <v>57.65</v>
      </c>
      <c r="Q42" s="31">
        <f>P42-M42</f>
        <v>45.089999999999996</v>
      </c>
      <c r="S42" s="31">
        <v>6</v>
      </c>
      <c r="T42" s="31">
        <v>2</v>
      </c>
      <c r="U42">
        <f t="shared" si="4"/>
        <v>0.33333333333333331</v>
      </c>
    </row>
    <row r="43" spans="1:21" s="85" customFormat="1" x14ac:dyDescent="0.55000000000000004">
      <c r="B43" s="85">
        <v>23</v>
      </c>
      <c r="C43" s="85" t="s">
        <v>1621</v>
      </c>
      <c r="E43" s="85" t="s">
        <v>1625</v>
      </c>
      <c r="F43" s="85" t="s">
        <v>1554</v>
      </c>
      <c r="G43" s="85" t="s">
        <v>1555</v>
      </c>
      <c r="H43" s="85">
        <v>84.817999999999998</v>
      </c>
      <c r="I43" s="85">
        <v>113.839</v>
      </c>
      <c r="J43" s="85">
        <f t="shared" si="6"/>
        <v>29.021000000000001</v>
      </c>
      <c r="K43" s="85">
        <f>J43*0.0973</f>
        <v>2.8237432999999998</v>
      </c>
      <c r="L43" s="3">
        <f t="shared" si="7"/>
        <v>56.474865999999999</v>
      </c>
      <c r="M43" s="85">
        <v>12.56</v>
      </c>
      <c r="N43" s="85">
        <v>33</v>
      </c>
      <c r="O43" s="85">
        <v>2224</v>
      </c>
      <c r="P43" s="85">
        <v>118.39</v>
      </c>
      <c r="Q43" s="85">
        <f>P43-M43</f>
        <v>105.83</v>
      </c>
      <c r="R43" s="85" t="s">
        <v>1633</v>
      </c>
      <c r="S43" s="203"/>
      <c r="T43" s="203"/>
      <c r="U43"/>
    </row>
    <row r="44" spans="1:21" s="85" customFormat="1" x14ac:dyDescent="0.55000000000000004">
      <c r="A44" s="85">
        <v>10</v>
      </c>
      <c r="B44" s="85">
        <v>24</v>
      </c>
      <c r="C44" s="85" t="s">
        <v>1634</v>
      </c>
      <c r="E44" s="85" t="s">
        <v>1625</v>
      </c>
      <c r="F44" s="85" t="s">
        <v>1554</v>
      </c>
      <c r="G44" s="85" t="s">
        <v>1555</v>
      </c>
      <c r="H44" s="85">
        <v>84.66</v>
      </c>
      <c r="I44" s="85">
        <v>97.262</v>
      </c>
      <c r="J44" s="85">
        <f t="shared" si="6"/>
        <v>12.602000000000004</v>
      </c>
      <c r="K44" s="85">
        <f t="shared" si="2"/>
        <v>1.2261746000000004</v>
      </c>
      <c r="L44" s="3">
        <f t="shared" si="7"/>
        <v>24.523492000000008</v>
      </c>
      <c r="M44" s="85" t="s">
        <v>1090</v>
      </c>
      <c r="N44" s="85">
        <v>37</v>
      </c>
      <c r="O44" s="85">
        <v>886</v>
      </c>
      <c r="P44" s="85">
        <v>44.07</v>
      </c>
      <c r="S44" s="85">
        <v>17</v>
      </c>
      <c r="T44" s="85">
        <v>4</v>
      </c>
      <c r="U44">
        <f t="shared" si="4"/>
        <v>0.23529411764705882</v>
      </c>
    </row>
    <row r="45" spans="1:21" s="31" customFormat="1" x14ac:dyDescent="0.55000000000000004">
      <c r="C45" s="31" t="s">
        <v>1635</v>
      </c>
      <c r="E45" s="31" t="s">
        <v>1625</v>
      </c>
      <c r="F45" s="31" t="s">
        <v>1554</v>
      </c>
      <c r="G45" s="31" t="s">
        <v>1555</v>
      </c>
      <c r="H45" s="31">
        <v>84.706999999999994</v>
      </c>
      <c r="I45" s="31">
        <v>99.323999999999998</v>
      </c>
      <c r="J45" s="31">
        <f t="shared" si="6"/>
        <v>14.617000000000004</v>
      </c>
      <c r="K45" s="31">
        <f t="shared" ref="K45:K50" si="8">J45*0.0973</f>
        <v>1.4222341000000005</v>
      </c>
      <c r="L45" s="32">
        <f t="shared" si="7"/>
        <v>28.444682000000011</v>
      </c>
      <c r="M45" s="31" t="s">
        <v>1090</v>
      </c>
      <c r="N45" s="31">
        <v>37</v>
      </c>
      <c r="O45" s="31">
        <v>886</v>
      </c>
      <c r="P45" s="31">
        <v>44.07</v>
      </c>
      <c r="S45" s="232"/>
      <c r="T45" s="232"/>
      <c r="U45"/>
    </row>
    <row r="46" spans="1:21" s="85" customFormat="1" x14ac:dyDescent="0.55000000000000004">
      <c r="B46" s="85">
        <v>25</v>
      </c>
      <c r="C46" s="85" t="s">
        <v>1636</v>
      </c>
      <c r="E46" s="85" t="s">
        <v>1625</v>
      </c>
      <c r="F46" s="85" t="s">
        <v>1554</v>
      </c>
      <c r="G46" s="85" t="s">
        <v>1555</v>
      </c>
      <c r="H46" s="85">
        <v>86.02</v>
      </c>
      <c r="I46" s="85">
        <v>99.491</v>
      </c>
      <c r="J46" s="85">
        <f t="shared" si="6"/>
        <v>13.471000000000004</v>
      </c>
      <c r="K46" s="85">
        <f t="shared" si="8"/>
        <v>1.3107283000000003</v>
      </c>
      <c r="L46" s="3">
        <f t="shared" si="7"/>
        <v>26.214566000000005</v>
      </c>
      <c r="M46" s="85" t="s">
        <v>1090</v>
      </c>
      <c r="N46" s="85">
        <v>37</v>
      </c>
      <c r="O46" s="85">
        <v>1278</v>
      </c>
      <c r="P46" s="85">
        <v>63.57</v>
      </c>
      <c r="S46" s="203"/>
      <c r="T46" s="203"/>
      <c r="U46"/>
    </row>
    <row r="47" spans="1:21" s="31" customFormat="1" x14ac:dyDescent="0.55000000000000004">
      <c r="C47" s="31" t="s">
        <v>1637</v>
      </c>
      <c r="E47" s="31" t="s">
        <v>1625</v>
      </c>
      <c r="F47" s="31" t="s">
        <v>1554</v>
      </c>
      <c r="G47" s="31" t="s">
        <v>1555</v>
      </c>
      <c r="H47" s="31">
        <v>84.66</v>
      </c>
      <c r="I47" s="31">
        <v>91.643000000000001</v>
      </c>
      <c r="J47" s="31">
        <f t="shared" si="6"/>
        <v>6.9830000000000041</v>
      </c>
      <c r="K47" s="31">
        <f t="shared" si="8"/>
        <v>0.67944590000000038</v>
      </c>
      <c r="L47" s="32">
        <f t="shared" si="7"/>
        <v>13.588918000000007</v>
      </c>
      <c r="M47" s="31" t="s">
        <v>1090</v>
      </c>
      <c r="N47" s="31">
        <v>37</v>
      </c>
      <c r="O47" s="31">
        <v>1551</v>
      </c>
      <c r="R47" s="31" t="s">
        <v>1641</v>
      </c>
      <c r="S47" s="232"/>
      <c r="T47" s="232"/>
      <c r="U47"/>
    </row>
    <row r="48" spans="1:21" s="85" customFormat="1" x14ac:dyDescent="0.55000000000000004">
      <c r="B48" s="85">
        <v>26</v>
      </c>
      <c r="C48" s="85" t="s">
        <v>1638</v>
      </c>
      <c r="E48" s="85" t="s">
        <v>1625</v>
      </c>
      <c r="F48" s="85" t="s">
        <v>1554</v>
      </c>
      <c r="G48" s="85" t="s">
        <v>1555</v>
      </c>
      <c r="H48" s="85">
        <v>84.706999999999994</v>
      </c>
      <c r="I48" s="85">
        <v>94.364999999999995</v>
      </c>
      <c r="J48" s="85">
        <f t="shared" si="6"/>
        <v>9.6580000000000013</v>
      </c>
      <c r="K48" s="85">
        <f t="shared" si="8"/>
        <v>0.9397234000000001</v>
      </c>
      <c r="L48" s="3">
        <f t="shared" si="7"/>
        <v>18.794468000000002</v>
      </c>
      <c r="M48" s="85" t="s">
        <v>1090</v>
      </c>
      <c r="N48" s="85">
        <v>37</v>
      </c>
      <c r="O48" s="85">
        <v>1551</v>
      </c>
      <c r="P48" s="85">
        <v>131.52000000000001</v>
      </c>
      <c r="S48" s="203"/>
      <c r="T48" s="203"/>
      <c r="U48"/>
    </row>
    <row r="49" spans="1:21" s="85" customFormat="1" x14ac:dyDescent="0.55000000000000004">
      <c r="B49" s="31">
        <v>27</v>
      </c>
      <c r="C49" s="85" t="s">
        <v>1639</v>
      </c>
      <c r="E49" s="85" t="s">
        <v>1625</v>
      </c>
      <c r="F49" s="85" t="s">
        <v>1554</v>
      </c>
      <c r="G49" s="85" t="s">
        <v>1555</v>
      </c>
      <c r="H49" s="85">
        <v>84.66</v>
      </c>
      <c r="I49" s="31">
        <v>98.951999999999998</v>
      </c>
      <c r="J49" s="85">
        <f t="shared" si="6"/>
        <v>14.292000000000002</v>
      </c>
      <c r="K49" s="85">
        <f t="shared" si="8"/>
        <v>1.3906116000000002</v>
      </c>
      <c r="L49" s="3">
        <f t="shared" si="7"/>
        <v>27.812232000000002</v>
      </c>
      <c r="M49" s="85" t="s">
        <v>1090</v>
      </c>
      <c r="N49" s="85">
        <v>37</v>
      </c>
      <c r="O49" s="85">
        <v>2644</v>
      </c>
      <c r="P49" s="85">
        <v>131.52000000000001</v>
      </c>
      <c r="S49" s="203"/>
      <c r="T49" s="203"/>
      <c r="U49"/>
    </row>
    <row r="50" spans="1:21" s="31" customFormat="1" x14ac:dyDescent="0.55000000000000004">
      <c r="C50" s="31" t="s">
        <v>1640</v>
      </c>
      <c r="E50" s="31" t="s">
        <v>1625</v>
      </c>
      <c r="F50" s="31" t="s">
        <v>1554</v>
      </c>
      <c r="G50" s="31" t="s">
        <v>1555</v>
      </c>
      <c r="H50" s="31">
        <v>84.706999999999994</v>
      </c>
      <c r="I50" s="31">
        <v>99.558999999999997</v>
      </c>
      <c r="J50" s="31">
        <f t="shared" si="6"/>
        <v>14.852000000000004</v>
      </c>
      <c r="K50" s="31">
        <f t="shared" si="8"/>
        <v>1.4450996000000003</v>
      </c>
      <c r="L50" s="32">
        <f t="shared" si="7"/>
        <v>28.901992000000007</v>
      </c>
      <c r="M50" s="31" t="s">
        <v>1090</v>
      </c>
      <c r="N50" s="31">
        <v>37</v>
      </c>
      <c r="O50" s="31">
        <v>2644</v>
      </c>
      <c r="P50" s="31">
        <v>131.52000000000001</v>
      </c>
      <c r="S50" s="232"/>
      <c r="T50" s="232"/>
      <c r="U50"/>
    </row>
    <row r="51" spans="1:21" s="85" customFormat="1" x14ac:dyDescent="0.55000000000000004">
      <c r="A51" s="85">
        <v>11</v>
      </c>
      <c r="B51" s="7">
        <v>28</v>
      </c>
      <c r="C51" s="85" t="s">
        <v>1644</v>
      </c>
      <c r="E51" s="85" t="s">
        <v>1625</v>
      </c>
      <c r="F51" s="85" t="s">
        <v>1554</v>
      </c>
      <c r="G51" s="85" t="s">
        <v>1555</v>
      </c>
      <c r="H51" s="7">
        <v>84.736000000000004</v>
      </c>
      <c r="I51" s="7">
        <v>97.897000000000006</v>
      </c>
      <c r="J51" s="7">
        <f t="shared" si="6"/>
        <v>13.161000000000001</v>
      </c>
      <c r="K51" s="85">
        <f t="shared" si="2"/>
        <v>1.2805653000000001</v>
      </c>
      <c r="L51" s="3">
        <f t="shared" si="7"/>
        <v>25.611306000000003</v>
      </c>
      <c r="M51" s="85">
        <v>82.32</v>
      </c>
      <c r="N51" s="85">
        <v>1633</v>
      </c>
      <c r="O51" s="85">
        <v>2242</v>
      </c>
      <c r="P51" s="85">
        <v>111.59</v>
      </c>
      <c r="Q51" s="85">
        <f t="shared" si="0"/>
        <v>29.27000000000001</v>
      </c>
      <c r="R51" s="85" t="s">
        <v>1642</v>
      </c>
      <c r="S51" s="85">
        <v>15</v>
      </c>
      <c r="T51" s="85">
        <v>3</v>
      </c>
      <c r="U51">
        <f t="shared" si="4"/>
        <v>0.2</v>
      </c>
    </row>
    <row r="52" spans="1:21" s="85" customFormat="1" x14ac:dyDescent="0.55000000000000004">
      <c r="B52" s="7">
        <v>29</v>
      </c>
      <c r="C52" s="85" t="s">
        <v>1645</v>
      </c>
      <c r="E52" s="85" t="s">
        <v>1625</v>
      </c>
      <c r="F52" s="85" t="s">
        <v>1554</v>
      </c>
      <c r="G52" s="85" t="s">
        <v>1555</v>
      </c>
      <c r="H52" s="7">
        <v>84.736000000000004</v>
      </c>
      <c r="I52" s="7">
        <v>90.962999999999994</v>
      </c>
      <c r="J52" s="7">
        <f t="shared" si="6"/>
        <v>6.2269999999999897</v>
      </c>
      <c r="K52" s="85">
        <f>J52*0.0973</f>
        <v>0.60588709999999901</v>
      </c>
      <c r="L52" s="3">
        <f t="shared" si="7"/>
        <v>12.11774199999998</v>
      </c>
      <c r="M52" s="85">
        <v>82.32</v>
      </c>
      <c r="N52" s="85">
        <v>1633</v>
      </c>
      <c r="O52" s="85">
        <v>3053</v>
      </c>
      <c r="P52" s="85">
        <v>151.94999999999999</v>
      </c>
      <c r="Q52" s="85">
        <f>P52-M52</f>
        <v>69.63</v>
      </c>
      <c r="S52" s="203"/>
      <c r="T52" s="203"/>
      <c r="U52"/>
    </row>
    <row r="53" spans="1:21" s="85" customFormat="1" x14ac:dyDescent="0.55000000000000004">
      <c r="B53" s="7"/>
      <c r="C53" s="85" t="s">
        <v>1646</v>
      </c>
      <c r="E53" s="85" t="s">
        <v>1625</v>
      </c>
      <c r="F53" s="85" t="s">
        <v>1554</v>
      </c>
      <c r="G53" s="85" t="s">
        <v>1555</v>
      </c>
      <c r="H53" s="7">
        <v>84.585999999999999</v>
      </c>
      <c r="I53" s="7">
        <v>100.255</v>
      </c>
      <c r="J53" s="7">
        <f t="shared" si="6"/>
        <v>15.668999999999997</v>
      </c>
      <c r="K53" s="85">
        <f t="shared" si="2"/>
        <v>1.5245936999999996</v>
      </c>
      <c r="L53" s="3">
        <f t="shared" si="7"/>
        <v>30.491873999999992</v>
      </c>
      <c r="M53" s="85">
        <v>29.61</v>
      </c>
      <c r="N53" s="85">
        <v>130</v>
      </c>
      <c r="O53" s="85">
        <v>1286</v>
      </c>
      <c r="P53" s="85">
        <v>64.86</v>
      </c>
      <c r="Q53" s="85">
        <f t="shared" si="0"/>
        <v>35.25</v>
      </c>
      <c r="S53" s="85">
        <v>13</v>
      </c>
      <c r="T53" s="85">
        <v>3</v>
      </c>
      <c r="U53">
        <f t="shared" si="4"/>
        <v>0.23076923076923078</v>
      </c>
    </row>
    <row r="54" spans="1:21" s="85" customFormat="1" x14ac:dyDescent="0.55000000000000004">
      <c r="A54" s="85">
        <v>12</v>
      </c>
      <c r="B54" s="7"/>
      <c r="C54" s="85" t="s">
        <v>1647</v>
      </c>
      <c r="E54" s="85" t="s">
        <v>1625</v>
      </c>
      <c r="F54" s="85" t="s">
        <v>1554</v>
      </c>
      <c r="G54" s="85" t="s">
        <v>1555</v>
      </c>
      <c r="H54" s="7">
        <v>84.585999999999999</v>
      </c>
      <c r="I54" s="7">
        <v>110.899</v>
      </c>
      <c r="J54" s="7">
        <f t="shared" si="6"/>
        <v>26.313000000000002</v>
      </c>
      <c r="K54" s="85">
        <f>J54*0.0973</f>
        <v>2.5602549000000003</v>
      </c>
      <c r="L54" s="3">
        <f t="shared" si="7"/>
        <v>51.205098000000007</v>
      </c>
      <c r="M54" s="85">
        <v>29.61</v>
      </c>
      <c r="N54" s="85">
        <v>130</v>
      </c>
      <c r="O54" s="85">
        <v>1647</v>
      </c>
      <c r="P54" s="85">
        <v>83.07</v>
      </c>
      <c r="Q54" s="85">
        <f>P54-M54</f>
        <v>53.459999999999994</v>
      </c>
      <c r="R54" s="85" t="s">
        <v>1643</v>
      </c>
      <c r="S54" s="203"/>
      <c r="T54" s="203"/>
      <c r="U54"/>
    </row>
    <row r="55" spans="1:21" s="85" customFormat="1" x14ac:dyDescent="0.55000000000000004">
      <c r="B55" s="7"/>
      <c r="C55" s="85" t="s">
        <v>1648</v>
      </c>
      <c r="E55" s="85" t="s">
        <v>1625</v>
      </c>
      <c r="F55" s="85" t="s">
        <v>1554</v>
      </c>
      <c r="G55" s="85" t="s">
        <v>1555</v>
      </c>
      <c r="H55" s="7">
        <v>85.97</v>
      </c>
      <c r="I55" s="7">
        <v>99.811999999999998</v>
      </c>
      <c r="J55" s="7">
        <f t="shared" si="6"/>
        <v>13.841999999999999</v>
      </c>
      <c r="K55" s="85">
        <f>J55*0.0973</f>
        <v>1.3468265999999998</v>
      </c>
      <c r="L55" s="3">
        <f t="shared" si="7"/>
        <v>26.936531999999996</v>
      </c>
      <c r="M55" s="85">
        <v>29.61</v>
      </c>
      <c r="N55" s="85">
        <v>130</v>
      </c>
      <c r="O55" s="85">
        <v>2313</v>
      </c>
      <c r="P55" s="85">
        <v>116.66</v>
      </c>
      <c r="Q55" s="85">
        <f>P55-M55</f>
        <v>87.05</v>
      </c>
      <c r="R55" s="85" t="s">
        <v>1650</v>
      </c>
      <c r="S55" s="203"/>
      <c r="T55" s="203"/>
      <c r="U55"/>
    </row>
    <row r="56" spans="1:21" s="111" customFormat="1" x14ac:dyDescent="0.55000000000000004">
      <c r="C56" s="111" t="s">
        <v>1649</v>
      </c>
      <c r="E56" s="111" t="s">
        <v>1625</v>
      </c>
      <c r="F56" s="111" t="s">
        <v>1554</v>
      </c>
      <c r="G56" s="111" t="s">
        <v>1555</v>
      </c>
      <c r="H56" s="111">
        <v>84.585999999999999</v>
      </c>
      <c r="I56" s="111">
        <v>96.018000000000001</v>
      </c>
      <c r="J56" s="111">
        <f t="shared" si="6"/>
        <v>11.432000000000002</v>
      </c>
      <c r="K56" s="111">
        <f>J56*0.0973</f>
        <v>1.1123336000000001</v>
      </c>
      <c r="L56" s="113">
        <f t="shared" si="7"/>
        <v>22.246672000000004</v>
      </c>
      <c r="M56" s="111">
        <v>29.61</v>
      </c>
      <c r="N56" s="111">
        <v>130</v>
      </c>
      <c r="O56" s="111">
        <v>2313</v>
      </c>
      <c r="P56" s="111">
        <v>116.66</v>
      </c>
      <c r="Q56" s="111">
        <f>P56-M56</f>
        <v>87.05</v>
      </c>
      <c r="S56" s="215"/>
      <c r="T56" s="215"/>
      <c r="U56"/>
    </row>
    <row r="57" spans="1:21" s="85" customFormat="1" x14ac:dyDescent="0.55000000000000004">
      <c r="A57" s="85">
        <v>13</v>
      </c>
      <c r="B57" s="7"/>
      <c r="C57" s="85" t="s">
        <v>1651</v>
      </c>
      <c r="E57" s="85" t="s">
        <v>1625</v>
      </c>
      <c r="F57" s="85" t="s">
        <v>1554</v>
      </c>
      <c r="G57" s="85" t="s">
        <v>1555</v>
      </c>
      <c r="H57" s="7">
        <v>83.876999999999995</v>
      </c>
      <c r="I57" s="7">
        <v>99.245999999999995</v>
      </c>
      <c r="J57" s="7">
        <f t="shared" si="6"/>
        <v>15.369</v>
      </c>
      <c r="K57" s="85">
        <f t="shared" si="2"/>
        <v>1.4954037</v>
      </c>
      <c r="L57" s="3">
        <f t="shared" si="7"/>
        <v>29.908073999999999</v>
      </c>
      <c r="M57" s="85">
        <v>13.34</v>
      </c>
      <c r="N57" s="85">
        <v>177</v>
      </c>
      <c r="O57" s="85">
        <v>1298</v>
      </c>
      <c r="P57" s="85">
        <v>66.37</v>
      </c>
      <c r="Q57" s="85">
        <f t="shared" si="0"/>
        <v>53.03</v>
      </c>
      <c r="S57" s="85">
        <v>13</v>
      </c>
      <c r="T57" s="85">
        <v>3</v>
      </c>
      <c r="U57">
        <f t="shared" si="4"/>
        <v>0.23076923076923078</v>
      </c>
    </row>
    <row r="58" spans="1:21" s="111" customFormat="1" x14ac:dyDescent="0.55000000000000004">
      <c r="A58" s="111">
        <v>13</v>
      </c>
      <c r="C58" s="111" t="s">
        <v>1652</v>
      </c>
      <c r="E58" s="111" t="s">
        <v>1625</v>
      </c>
      <c r="F58" s="111" t="s">
        <v>1554</v>
      </c>
      <c r="G58" s="111" t="s">
        <v>1555</v>
      </c>
      <c r="H58" s="111">
        <v>74.763000000000005</v>
      </c>
      <c r="I58" s="111">
        <v>96.99</v>
      </c>
      <c r="J58" s="111">
        <f t="shared" si="6"/>
        <v>22.22699999999999</v>
      </c>
      <c r="K58" s="111">
        <f>J58*0.0973</f>
        <v>2.162687099999999</v>
      </c>
      <c r="L58" s="113">
        <f t="shared" si="7"/>
        <v>43.253741999999981</v>
      </c>
      <c r="M58" s="111">
        <v>13.34</v>
      </c>
      <c r="N58" s="111">
        <v>177</v>
      </c>
      <c r="O58" s="111">
        <v>1298</v>
      </c>
      <c r="P58" s="111">
        <v>66.37</v>
      </c>
      <c r="Q58" s="111">
        <f>P58-M58</f>
        <v>53.03</v>
      </c>
      <c r="S58" s="111">
        <v>13</v>
      </c>
      <c r="T58" s="111">
        <v>3</v>
      </c>
      <c r="U58">
        <f t="shared" si="4"/>
        <v>0.23076923076923078</v>
      </c>
    </row>
    <row r="59" spans="1:21" s="85" customFormat="1" x14ac:dyDescent="0.55000000000000004">
      <c r="B59" s="7"/>
      <c r="C59" s="85" t="s">
        <v>1622</v>
      </c>
      <c r="E59" s="85" t="s">
        <v>1625</v>
      </c>
      <c r="F59" s="85" t="s">
        <v>1554</v>
      </c>
      <c r="G59" s="85" t="s">
        <v>1555</v>
      </c>
      <c r="H59" s="7">
        <v>82.941000000000003</v>
      </c>
      <c r="I59" s="7">
        <v>101.232</v>
      </c>
      <c r="J59" s="7">
        <f t="shared" si="6"/>
        <v>18.290999999999997</v>
      </c>
      <c r="K59" s="85">
        <f>J59*0.0973</f>
        <v>1.7797142999999997</v>
      </c>
      <c r="L59" s="3">
        <f t="shared" si="7"/>
        <v>35.594285999999997</v>
      </c>
      <c r="M59" s="85">
        <v>13.34</v>
      </c>
      <c r="N59" s="85">
        <v>177</v>
      </c>
      <c r="O59" s="85">
        <v>1915</v>
      </c>
      <c r="P59" s="85">
        <v>97.91</v>
      </c>
      <c r="Q59" s="85">
        <f>P59-M59</f>
        <v>84.57</v>
      </c>
      <c r="S59" s="203"/>
      <c r="T59" s="203"/>
      <c r="U59"/>
    </row>
    <row r="60" spans="1:21" s="85" customFormat="1" x14ac:dyDescent="0.55000000000000004">
      <c r="A60" s="85">
        <v>14</v>
      </c>
      <c r="B60" s="7"/>
      <c r="C60" s="85" t="s">
        <v>1623</v>
      </c>
      <c r="E60" s="85" t="s">
        <v>1625</v>
      </c>
      <c r="F60" s="85" t="s">
        <v>1554</v>
      </c>
      <c r="G60" s="85" t="s">
        <v>1555</v>
      </c>
      <c r="H60" s="7">
        <v>80.572000000000003</v>
      </c>
      <c r="I60" s="7">
        <v>107.899</v>
      </c>
      <c r="J60" s="7">
        <f t="shared" si="6"/>
        <v>27.326999999999998</v>
      </c>
      <c r="K60" s="85">
        <f t="shared" si="2"/>
        <v>2.6589170999999996</v>
      </c>
      <c r="L60" s="3">
        <f t="shared" si="7"/>
        <v>53.178341999999994</v>
      </c>
      <c r="M60" s="85">
        <v>4.3099999999999996</v>
      </c>
      <c r="N60" s="85">
        <v>65</v>
      </c>
      <c r="O60" s="85">
        <v>602</v>
      </c>
      <c r="P60" s="85">
        <v>27.87</v>
      </c>
      <c r="Q60" s="85">
        <f t="shared" si="0"/>
        <v>23.560000000000002</v>
      </c>
      <c r="S60" s="85">
        <v>14</v>
      </c>
      <c r="T60" s="85">
        <v>4</v>
      </c>
      <c r="U60">
        <f t="shared" si="4"/>
        <v>0.2857142857142857</v>
      </c>
    </row>
    <row r="61" spans="1:21" s="85" customFormat="1" x14ac:dyDescent="0.55000000000000004">
      <c r="B61" s="7"/>
      <c r="C61" s="85" t="s">
        <v>1623</v>
      </c>
      <c r="E61" s="85" t="s">
        <v>1625</v>
      </c>
      <c r="F61" s="85" t="s">
        <v>1554</v>
      </c>
      <c r="G61" s="85" t="s">
        <v>1555</v>
      </c>
      <c r="H61" s="7">
        <v>80.572000000000003</v>
      </c>
      <c r="I61" s="7">
        <v>97.759</v>
      </c>
      <c r="J61" s="7">
        <f t="shared" si="6"/>
        <v>17.186999999999998</v>
      </c>
      <c r="K61" s="85">
        <f>J61*0.0973</f>
        <v>1.6722950999999997</v>
      </c>
      <c r="L61" s="3">
        <f t="shared" si="7"/>
        <v>33.445901999999997</v>
      </c>
      <c r="M61" s="85">
        <v>4.3099999999999996</v>
      </c>
      <c r="N61" s="85">
        <v>65</v>
      </c>
      <c r="O61" s="85">
        <v>1211</v>
      </c>
      <c r="P61" s="85">
        <v>56.06</v>
      </c>
      <c r="Q61" s="85">
        <f>P61-M61</f>
        <v>51.75</v>
      </c>
      <c r="R61" s="85" t="s">
        <v>1653</v>
      </c>
      <c r="S61" s="203"/>
      <c r="T61" s="203"/>
      <c r="U61"/>
    </row>
    <row r="62" spans="1:21" s="85" customFormat="1" x14ac:dyDescent="0.55000000000000004">
      <c r="B62" s="7"/>
      <c r="C62" s="85" t="s">
        <v>1623</v>
      </c>
      <c r="E62" s="85" t="s">
        <v>1625</v>
      </c>
      <c r="F62" s="85" t="s">
        <v>1554</v>
      </c>
      <c r="G62" s="85" t="s">
        <v>1555</v>
      </c>
      <c r="H62" s="7">
        <v>80.572000000000003</v>
      </c>
      <c r="I62" s="7">
        <v>87.412000000000006</v>
      </c>
      <c r="J62" s="7">
        <f t="shared" si="6"/>
        <v>6.8400000000000034</v>
      </c>
      <c r="K62" s="85">
        <f>J62*0.0973</f>
        <v>0.66553200000000035</v>
      </c>
      <c r="L62" s="3">
        <f t="shared" si="7"/>
        <v>13.310640000000006</v>
      </c>
      <c r="M62" s="85">
        <v>4.3099999999999996</v>
      </c>
      <c r="N62" s="85">
        <v>65</v>
      </c>
      <c r="O62" s="85">
        <v>1728</v>
      </c>
      <c r="P62" s="85">
        <v>80</v>
      </c>
      <c r="Q62" s="85">
        <f>P62-M62</f>
        <v>75.69</v>
      </c>
      <c r="S62" s="203"/>
      <c r="T62" s="203"/>
      <c r="U62"/>
    </row>
    <row r="63" spans="1:21" s="85" customFormat="1" x14ac:dyDescent="0.55000000000000004">
      <c r="C63" s="85" t="s">
        <v>1623</v>
      </c>
      <c r="E63" s="85" t="s">
        <v>1625</v>
      </c>
      <c r="F63" s="85" t="s">
        <v>1554</v>
      </c>
      <c r="G63" s="85" t="s">
        <v>1555</v>
      </c>
      <c r="H63" s="7">
        <v>80.572000000000003</v>
      </c>
      <c r="I63" s="7">
        <v>87.850999999999999</v>
      </c>
      <c r="J63" s="7">
        <f t="shared" si="6"/>
        <v>7.2789999999999964</v>
      </c>
      <c r="K63" s="85">
        <f>J63*0.0973</f>
        <v>0.70824669999999967</v>
      </c>
      <c r="L63" s="3">
        <f t="shared" si="7"/>
        <v>14.164933999999993</v>
      </c>
      <c r="M63" s="85">
        <v>4.3099999999999996</v>
      </c>
      <c r="N63" s="85">
        <v>65</v>
      </c>
      <c r="O63" s="85">
        <v>2222</v>
      </c>
      <c r="P63" s="85">
        <v>102.87</v>
      </c>
      <c r="Q63" s="85">
        <f>P63-M63</f>
        <v>98.56</v>
      </c>
      <c r="S63" s="203"/>
      <c r="T63" s="203"/>
      <c r="U63"/>
    </row>
    <row r="64" spans="1:21" s="85" customFormat="1" x14ac:dyDescent="0.55000000000000004">
      <c r="A64" s="85">
        <v>15</v>
      </c>
      <c r="C64" s="85" t="s">
        <v>1654</v>
      </c>
      <c r="E64" s="85" t="s">
        <v>1625</v>
      </c>
      <c r="F64" s="85" t="s">
        <v>1554</v>
      </c>
      <c r="G64" s="85" t="s">
        <v>1555</v>
      </c>
      <c r="H64" s="7">
        <v>84.293000000000006</v>
      </c>
      <c r="I64" s="7">
        <v>93.394999999999996</v>
      </c>
      <c r="J64" s="7">
        <f t="shared" si="6"/>
        <v>9.1019999999999897</v>
      </c>
      <c r="K64" s="85">
        <f t="shared" si="2"/>
        <v>0.88562459999999898</v>
      </c>
      <c r="L64" s="3">
        <f t="shared" si="7"/>
        <v>17.71249199999998</v>
      </c>
      <c r="M64" s="85">
        <v>81.45</v>
      </c>
      <c r="N64" s="85">
        <v>1454</v>
      </c>
      <c r="O64" s="85">
        <v>2290</v>
      </c>
      <c r="P64" s="85">
        <v>116.94</v>
      </c>
      <c r="Q64" s="85">
        <f t="shared" si="0"/>
        <v>35.489999999999995</v>
      </c>
      <c r="S64" s="85">
        <v>10</v>
      </c>
      <c r="T64" s="85">
        <v>2</v>
      </c>
      <c r="U64">
        <f t="shared" si="4"/>
        <v>0.2</v>
      </c>
    </row>
    <row r="65" spans="1:21" s="111" customFormat="1" x14ac:dyDescent="0.55000000000000004">
      <c r="A65" s="111">
        <v>15</v>
      </c>
      <c r="C65" s="111" t="s">
        <v>1655</v>
      </c>
      <c r="E65" s="111" t="s">
        <v>1625</v>
      </c>
      <c r="F65" s="111" t="s">
        <v>1554</v>
      </c>
      <c r="G65" s="111" t="s">
        <v>1555</v>
      </c>
      <c r="H65" s="111">
        <v>81.218000000000004</v>
      </c>
      <c r="I65" s="111">
        <v>86.923000000000002</v>
      </c>
      <c r="J65" s="111">
        <f t="shared" si="6"/>
        <v>5.7049999999999983</v>
      </c>
      <c r="K65" s="111">
        <f>J65*0.0973</f>
        <v>0.55509649999999977</v>
      </c>
      <c r="L65" s="113">
        <f t="shared" si="7"/>
        <v>11.101929999999996</v>
      </c>
      <c r="M65" s="111">
        <v>81.45</v>
      </c>
      <c r="N65" s="111">
        <v>1454</v>
      </c>
      <c r="O65" s="111">
        <v>2290</v>
      </c>
      <c r="P65" s="111">
        <v>116.94</v>
      </c>
      <c r="Q65" s="111">
        <f>P65-M65</f>
        <v>35.489999999999995</v>
      </c>
      <c r="S65" s="111">
        <v>10</v>
      </c>
      <c r="T65" s="111">
        <v>2</v>
      </c>
      <c r="U65">
        <f t="shared" si="4"/>
        <v>0.2</v>
      </c>
    </row>
    <row r="66" spans="1:21" s="85" customFormat="1" x14ac:dyDescent="0.55000000000000004">
      <c r="C66" s="85" t="s">
        <v>1624</v>
      </c>
      <c r="E66" s="85" t="s">
        <v>1625</v>
      </c>
      <c r="F66" s="85" t="s">
        <v>1554</v>
      </c>
      <c r="G66" s="85" t="s">
        <v>1555</v>
      </c>
      <c r="H66" s="7">
        <v>81.296000000000006</v>
      </c>
      <c r="I66" s="7">
        <v>95.921999999999997</v>
      </c>
      <c r="J66" s="7">
        <f t="shared" si="6"/>
        <v>14.625999999999991</v>
      </c>
      <c r="K66" s="85">
        <f>J66*0.0973</f>
        <v>1.4231097999999991</v>
      </c>
      <c r="L66" s="3">
        <f t="shared" si="7"/>
        <v>28.462195999999981</v>
      </c>
      <c r="M66" s="85">
        <v>81.45</v>
      </c>
      <c r="N66" s="85">
        <v>1454</v>
      </c>
      <c r="O66" s="85">
        <v>2736</v>
      </c>
      <c r="P66" s="85">
        <v>139.72</v>
      </c>
      <c r="Q66" s="85">
        <f>P66-M66</f>
        <v>58.269999999999996</v>
      </c>
      <c r="S66" s="203"/>
      <c r="T66" s="203"/>
      <c r="U66"/>
    </row>
    <row r="67" spans="1:21" s="85" customFormat="1" x14ac:dyDescent="0.55000000000000004">
      <c r="A67" s="85">
        <v>16</v>
      </c>
      <c r="C67" s="85" t="s">
        <v>1657</v>
      </c>
      <c r="E67" s="85" t="s">
        <v>1625</v>
      </c>
      <c r="F67" s="85" t="s">
        <v>1554</v>
      </c>
      <c r="G67" s="85" t="s">
        <v>1555</v>
      </c>
      <c r="H67" s="7">
        <v>76.876999999999995</v>
      </c>
      <c r="I67" s="7">
        <v>97.367999999999995</v>
      </c>
      <c r="J67" s="7">
        <f t="shared" si="6"/>
        <v>20.491</v>
      </c>
      <c r="K67" s="85">
        <f t="shared" si="2"/>
        <v>1.9937742999999999</v>
      </c>
      <c r="L67" s="3">
        <f t="shared" si="7"/>
        <v>39.875485999999995</v>
      </c>
      <c r="M67" s="85">
        <v>38.51</v>
      </c>
      <c r="N67" s="85">
        <v>649</v>
      </c>
      <c r="O67" s="85">
        <v>1221</v>
      </c>
      <c r="P67" s="85">
        <v>60.35</v>
      </c>
      <c r="Q67" s="85">
        <f t="shared" si="0"/>
        <v>21.840000000000003</v>
      </c>
      <c r="S67" s="85">
        <v>18</v>
      </c>
      <c r="T67" s="85">
        <v>8</v>
      </c>
      <c r="U67">
        <f t="shared" ref="U67" si="9">T67/S67</f>
        <v>0.44444444444444442</v>
      </c>
    </row>
    <row r="68" spans="1:21" s="85" customFormat="1" x14ac:dyDescent="0.55000000000000004">
      <c r="C68" s="85" t="s">
        <v>1658</v>
      </c>
      <c r="E68" s="85" t="s">
        <v>1625</v>
      </c>
      <c r="F68" s="85" t="s">
        <v>1554</v>
      </c>
      <c r="G68" s="85" t="s">
        <v>1555</v>
      </c>
      <c r="H68" s="7">
        <v>76.876999999999995</v>
      </c>
      <c r="I68" s="7">
        <v>101.578</v>
      </c>
      <c r="J68" s="7">
        <f t="shared" si="6"/>
        <v>24.701000000000008</v>
      </c>
      <c r="K68" s="85">
        <f t="shared" ref="K68:K74" si="10">J68*0.0973</f>
        <v>2.4034073000000005</v>
      </c>
      <c r="L68" s="3">
        <f t="shared" si="7"/>
        <v>48.068146000000013</v>
      </c>
      <c r="M68" s="85">
        <v>38.51</v>
      </c>
      <c r="N68" s="85">
        <v>649</v>
      </c>
      <c r="O68" s="85">
        <v>1491</v>
      </c>
      <c r="P68" s="85">
        <v>73.7</v>
      </c>
      <c r="Q68" s="85">
        <f t="shared" ref="Q68:Q74" si="11">P68-M68</f>
        <v>35.190000000000005</v>
      </c>
      <c r="R68" s="85" t="s">
        <v>1656</v>
      </c>
      <c r="S68" s="203"/>
      <c r="T68" s="203"/>
      <c r="U68"/>
    </row>
    <row r="69" spans="1:21" s="85" customFormat="1" x14ac:dyDescent="0.55000000000000004">
      <c r="C69" s="85" t="s">
        <v>1659</v>
      </c>
      <c r="E69" s="85" t="s">
        <v>1625</v>
      </c>
      <c r="F69" s="85" t="s">
        <v>1554</v>
      </c>
      <c r="G69" s="85" t="s">
        <v>1555</v>
      </c>
      <c r="H69" s="7">
        <v>73.980999999999995</v>
      </c>
      <c r="I69" s="7">
        <v>96.078000000000003</v>
      </c>
      <c r="J69" s="7">
        <f t="shared" si="6"/>
        <v>22.097000000000008</v>
      </c>
      <c r="K69" s="85">
        <f t="shared" si="10"/>
        <v>2.1500381000000006</v>
      </c>
      <c r="L69" s="3">
        <f t="shared" si="7"/>
        <v>43.000762000000009</v>
      </c>
      <c r="M69" s="85">
        <v>38.51</v>
      </c>
      <c r="N69" s="85">
        <v>649</v>
      </c>
      <c r="O69" s="85">
        <v>2183</v>
      </c>
      <c r="P69" s="85">
        <v>107.91</v>
      </c>
      <c r="Q69" s="85">
        <f t="shared" si="11"/>
        <v>69.400000000000006</v>
      </c>
      <c r="R69" s="85" t="s">
        <v>1666</v>
      </c>
      <c r="S69" s="203"/>
      <c r="T69" s="203"/>
      <c r="U69"/>
    </row>
    <row r="70" spans="1:21" s="85" customFormat="1" x14ac:dyDescent="0.55000000000000004">
      <c r="C70" s="85" t="s">
        <v>1660</v>
      </c>
      <c r="E70" s="85" t="s">
        <v>1625</v>
      </c>
      <c r="F70" s="85" t="s">
        <v>1554</v>
      </c>
      <c r="G70" s="85" t="s">
        <v>1555</v>
      </c>
      <c r="H70" s="7">
        <v>76.876999999999995</v>
      </c>
      <c r="I70" s="7">
        <v>93.081000000000003</v>
      </c>
      <c r="J70" s="7">
        <f t="shared" si="6"/>
        <v>16.204000000000008</v>
      </c>
      <c r="K70" s="85">
        <f t="shared" si="10"/>
        <v>1.5766492000000008</v>
      </c>
      <c r="L70" s="3">
        <f t="shared" si="7"/>
        <v>31.532984000000013</v>
      </c>
      <c r="M70" s="85">
        <v>38.51</v>
      </c>
      <c r="N70" s="85">
        <v>649</v>
      </c>
      <c r="O70" s="85">
        <v>2662</v>
      </c>
      <c r="P70" s="85">
        <v>131.58000000000001</v>
      </c>
      <c r="Q70" s="85">
        <f t="shared" si="11"/>
        <v>93.070000000000022</v>
      </c>
      <c r="S70" s="203"/>
      <c r="T70" s="203"/>
      <c r="U70"/>
    </row>
    <row r="71" spans="1:21" s="85" customFormat="1" x14ac:dyDescent="0.55000000000000004">
      <c r="C71" s="85" t="s">
        <v>1661</v>
      </c>
      <c r="E71" s="85" t="s">
        <v>1625</v>
      </c>
      <c r="F71" s="85" t="s">
        <v>1554</v>
      </c>
      <c r="G71" s="85" t="s">
        <v>1555</v>
      </c>
      <c r="H71" s="7">
        <v>81.706999999999994</v>
      </c>
      <c r="I71" s="7">
        <v>118.599</v>
      </c>
      <c r="J71" s="7">
        <f t="shared" si="6"/>
        <v>36.89200000000001</v>
      </c>
      <c r="K71" s="85">
        <f t="shared" si="10"/>
        <v>3.5895916000000008</v>
      </c>
      <c r="L71" s="3">
        <f t="shared" si="7"/>
        <v>71.791832000000014</v>
      </c>
      <c r="M71" s="85">
        <v>38.51</v>
      </c>
      <c r="N71" s="85">
        <v>649</v>
      </c>
      <c r="O71" s="85">
        <v>3381</v>
      </c>
      <c r="P71" s="85">
        <v>167.12</v>
      </c>
      <c r="Q71" s="85">
        <f t="shared" si="11"/>
        <v>128.61000000000001</v>
      </c>
      <c r="R71" s="85" t="s">
        <v>1665</v>
      </c>
      <c r="S71" s="203"/>
      <c r="T71" s="203"/>
      <c r="U71"/>
    </row>
    <row r="72" spans="1:21" s="85" customFormat="1" x14ac:dyDescent="0.55000000000000004">
      <c r="C72" s="85" t="s">
        <v>1662</v>
      </c>
      <c r="E72" s="85" t="s">
        <v>1625</v>
      </c>
      <c r="F72" s="85" t="s">
        <v>1554</v>
      </c>
      <c r="G72" s="85" t="s">
        <v>1555</v>
      </c>
      <c r="H72" s="7">
        <v>81.706999999999994</v>
      </c>
      <c r="I72" s="7">
        <v>97.486000000000004</v>
      </c>
      <c r="J72" s="7">
        <f t="shared" si="6"/>
        <v>15.779000000000011</v>
      </c>
      <c r="K72" s="85">
        <f t="shared" si="10"/>
        <v>1.5352967000000011</v>
      </c>
      <c r="L72" s="3">
        <f t="shared" si="7"/>
        <v>30.70593400000002</v>
      </c>
      <c r="M72" s="85">
        <v>38.51</v>
      </c>
      <c r="N72" s="85">
        <v>649</v>
      </c>
      <c r="O72" s="85">
        <v>3908</v>
      </c>
      <c r="P72" s="85">
        <v>193.17</v>
      </c>
      <c r="Q72" s="85">
        <f t="shared" si="11"/>
        <v>154.66</v>
      </c>
      <c r="S72" s="203"/>
      <c r="T72" s="203"/>
      <c r="U72"/>
    </row>
    <row r="73" spans="1:21" s="85" customFormat="1" x14ac:dyDescent="0.55000000000000004">
      <c r="C73" s="85" t="s">
        <v>1663</v>
      </c>
      <c r="E73" s="85" t="s">
        <v>1625</v>
      </c>
      <c r="F73" s="85" t="s">
        <v>1554</v>
      </c>
      <c r="G73" s="85" t="s">
        <v>1555</v>
      </c>
      <c r="H73" s="7">
        <v>81.706999999999994</v>
      </c>
      <c r="I73" s="7">
        <v>97.045000000000002</v>
      </c>
      <c r="J73" s="7">
        <f t="shared" si="6"/>
        <v>15.338000000000008</v>
      </c>
      <c r="K73" s="85">
        <f t="shared" si="10"/>
        <v>1.4923874000000008</v>
      </c>
      <c r="L73" s="3">
        <f t="shared" si="7"/>
        <v>29.847748000000017</v>
      </c>
      <c r="M73" s="85">
        <v>38.51</v>
      </c>
      <c r="N73" s="85">
        <v>649</v>
      </c>
      <c r="O73" s="85">
        <v>4167</v>
      </c>
      <c r="P73" s="85">
        <v>205.97</v>
      </c>
      <c r="Q73" s="85">
        <f t="shared" si="11"/>
        <v>167.46</v>
      </c>
      <c r="S73" s="203"/>
      <c r="T73" s="203"/>
      <c r="U73"/>
    </row>
    <row r="74" spans="1:21" s="85" customFormat="1" x14ac:dyDescent="0.55000000000000004">
      <c r="C74" s="85" t="s">
        <v>1664</v>
      </c>
      <c r="E74" s="85" t="s">
        <v>1625</v>
      </c>
      <c r="F74" s="85" t="s">
        <v>1554</v>
      </c>
      <c r="G74" s="85" t="s">
        <v>1555</v>
      </c>
      <c r="H74" s="7">
        <v>81.706999999999994</v>
      </c>
      <c r="I74" s="7">
        <v>104.33199999999999</v>
      </c>
      <c r="J74" s="7">
        <f t="shared" si="6"/>
        <v>22.625</v>
      </c>
      <c r="K74" s="85">
        <f t="shared" si="10"/>
        <v>2.2014125</v>
      </c>
      <c r="L74" s="3">
        <f t="shared" si="7"/>
        <v>44.02825</v>
      </c>
      <c r="M74" s="85">
        <v>38.51</v>
      </c>
      <c r="N74" s="85">
        <v>649</v>
      </c>
      <c r="O74" s="85">
        <v>4424</v>
      </c>
      <c r="P74" s="85">
        <v>218.68</v>
      </c>
      <c r="Q74" s="85">
        <f t="shared" si="11"/>
        <v>180.17000000000002</v>
      </c>
      <c r="S74" s="203"/>
      <c r="T74" s="203"/>
      <c r="U74"/>
    </row>
    <row r="81" spans="5:52" x14ac:dyDescent="0.55000000000000004">
      <c r="S81">
        <f>SUM(S2:S80)</f>
        <v>222</v>
      </c>
      <c r="T81">
        <f>SUM(T2:T80)</f>
        <v>66</v>
      </c>
      <c r="U81">
        <f>(SUM(U2,U10,U15,U17,U23,U27,U35:U36,U41:U42,U44,U51,U53,U57:U58,U60,U64:U65,U67))/(COUNT(U2,U10,U15,U17,U23,U27,U35:U36,U41:U42,U44,U51,U53,U57:U58,U60,U64:U65,U67))*100</f>
        <v>28.4337970251283</v>
      </c>
      <c r="V81" s="3">
        <f xml:space="preserve"> STDEV(U2,U10,U15,U17,U23,U27,U35:U36,U41:U42,U44,U51,U53,U57:U58,U60,U64:U65,U67)/SQRT(COUNT(U2,U10,U15,U17,U23,U27,U35:U36,U41:U42,U44,U51,U53,U57:U58,U60,U64:U65,U67))*100</f>
        <v>2.9287877131818698</v>
      </c>
    </row>
    <row r="82" spans="5:52" x14ac:dyDescent="0.55000000000000004">
      <c r="K82" t="s">
        <v>225</v>
      </c>
      <c r="L82" s="3">
        <f>(SUM(L2,L4,L6,L8,L10,L13,L15,L17,L19,L21,L23,L25,L27,L29,L31,L33,L36:L41,L43:L44,L46,L48:L49,L51:L55,L57:L64,L66:L74))/(COUNT(L2,L4,L6,L8,L10,L13,L15,L17,L19,L21,L23,L25,L27,L29,L31,L33,L36:L41,L43:L44,L46,L48:L49,L51:L55,L57:L64,L66:L74))</f>
        <v>30.130116571428566</v>
      </c>
      <c r="T82">
        <f>(T81/S81)*100</f>
        <v>29.72972972972973</v>
      </c>
    </row>
    <row r="83" spans="5:52" x14ac:dyDescent="0.55000000000000004">
      <c r="K83" t="s">
        <v>226</v>
      </c>
      <c r="L83" s="3">
        <f xml:space="preserve"> STDEV(L2,L4,L6,L8,L10,L13,L15,L17,L19,L21,L23,L25,L27,L29,L31,L33,L36:L41,L43:L44,L46,L48:L49,L51:L55,L57:L64,L66:L74)/SQRT(COUNT(L2,L4,L6,L8,L10,L13,L15,L17,L19,L21,L23,L25,L27,L29,L31,L33,L36:L41,L43:L44,L46,L48:L49,L51:L55,L57:L64,L66:L74))</f>
        <v>2.4169830087930819</v>
      </c>
    </row>
    <row r="90" spans="5:52" x14ac:dyDescent="0.55000000000000004">
      <c r="E90">
        <v>45.53834599999999</v>
      </c>
      <c r="F90">
        <v>15.252747999999986</v>
      </c>
      <c r="G90">
        <v>11.407451999999989</v>
      </c>
      <c r="H90">
        <v>68.571201999999985</v>
      </c>
      <c r="I90">
        <v>34.516202000000014</v>
      </c>
      <c r="J90" s="85">
        <v>11.773299999999994</v>
      </c>
      <c r="K90">
        <v>38.131869999999999</v>
      </c>
      <c r="L90">
        <v>15.35004800000001</v>
      </c>
      <c r="M90">
        <v>7.3539340000000211</v>
      </c>
      <c r="N90" s="85">
        <v>32.786208000000023</v>
      </c>
      <c r="O90">
        <v>0.28995400000000177</v>
      </c>
      <c r="P90">
        <v>30.009266000000011</v>
      </c>
      <c r="Q90">
        <v>5.2717140000000065</v>
      </c>
      <c r="R90">
        <v>1.2454400000000012</v>
      </c>
      <c r="S90">
        <v>14.838249999999999</v>
      </c>
      <c r="T90">
        <v>15.009498000000015</v>
      </c>
      <c r="U90" s="3">
        <v>57.506246000000004</v>
      </c>
      <c r="V90" s="3">
        <v>27.911478000000006</v>
      </c>
      <c r="W90" s="3">
        <v>60.874772000000021</v>
      </c>
      <c r="X90" s="3">
        <v>30.684528</v>
      </c>
      <c r="Y90" s="3">
        <v>18.518135999999984</v>
      </c>
      <c r="Z90" s="3">
        <v>25.471193999999997</v>
      </c>
      <c r="AA90" s="3">
        <v>56.474865999999999</v>
      </c>
      <c r="AB90" s="3">
        <v>24.523492000000008</v>
      </c>
      <c r="AC90" s="3">
        <v>26.214566000000005</v>
      </c>
      <c r="AD90" s="3">
        <v>18.794468000000002</v>
      </c>
      <c r="AE90" s="3">
        <v>27.812232000000002</v>
      </c>
      <c r="AF90" s="3">
        <v>25.611306000000003</v>
      </c>
      <c r="AG90" s="3">
        <v>12.11774199999998</v>
      </c>
      <c r="AH90" s="3">
        <v>30.491873999999992</v>
      </c>
      <c r="AI90" s="3">
        <v>51.205098000000007</v>
      </c>
      <c r="AJ90" s="3">
        <v>26.936531999999996</v>
      </c>
      <c r="AK90" s="3">
        <v>29.908073999999999</v>
      </c>
      <c r="AL90" s="3">
        <v>35.594285999999997</v>
      </c>
      <c r="AM90" s="3">
        <v>53.178341999999994</v>
      </c>
      <c r="AN90" s="3">
        <v>33.445901999999997</v>
      </c>
      <c r="AO90" s="3">
        <v>13.310640000000006</v>
      </c>
      <c r="AP90" s="3">
        <v>14.164933999999993</v>
      </c>
      <c r="AQ90" s="3">
        <v>17.71249199999998</v>
      </c>
      <c r="AR90" s="3">
        <v>28.462195999999981</v>
      </c>
      <c r="AS90" s="3">
        <v>39.875485999999995</v>
      </c>
      <c r="AT90" s="3">
        <v>48.068146000000013</v>
      </c>
      <c r="AU90" s="3">
        <v>43.000762000000009</v>
      </c>
      <c r="AV90" s="3">
        <v>31.532984000000013</v>
      </c>
      <c r="AW90" s="3">
        <v>71.791832000000014</v>
      </c>
      <c r="AX90" s="3">
        <v>30.70593400000002</v>
      </c>
      <c r="AY90" s="3">
        <v>29.847748000000017</v>
      </c>
      <c r="AZ90" s="3">
        <v>44.02825</v>
      </c>
    </row>
    <row r="91" spans="5:52" x14ac:dyDescent="0.55000000000000004">
      <c r="E91" s="111"/>
    </row>
    <row r="92" spans="5:52" x14ac:dyDescent="0.55000000000000004">
      <c r="O92" s="111"/>
      <c r="AA92" s="32"/>
    </row>
    <row r="93" spans="5:52" x14ac:dyDescent="0.55000000000000004">
      <c r="E93" s="111"/>
    </row>
    <row r="94" spans="5:52" x14ac:dyDescent="0.55000000000000004">
      <c r="O94" s="111"/>
      <c r="AA94" s="32"/>
      <c r="AG94" s="113"/>
    </row>
    <row r="95" spans="5:52" x14ac:dyDescent="0.55000000000000004">
      <c r="E95" s="111"/>
    </row>
    <row r="96" spans="5:52" x14ac:dyDescent="0.55000000000000004">
      <c r="O96" s="111"/>
      <c r="AG96" s="113"/>
    </row>
    <row r="97" spans="5:33" x14ac:dyDescent="0.55000000000000004">
      <c r="E97" s="111"/>
      <c r="AA97" s="32"/>
    </row>
    <row r="98" spans="5:33" x14ac:dyDescent="0.55000000000000004">
      <c r="O98" s="111"/>
    </row>
    <row r="99" spans="5:33" x14ac:dyDescent="0.55000000000000004">
      <c r="E99" s="111"/>
    </row>
    <row r="100" spans="5:33" x14ac:dyDescent="0.55000000000000004">
      <c r="E100" s="111"/>
      <c r="O100" s="111"/>
    </row>
    <row r="102" spans="5:33" x14ac:dyDescent="0.55000000000000004">
      <c r="O102" s="111"/>
    </row>
    <row r="103" spans="5:33" x14ac:dyDescent="0.55000000000000004">
      <c r="AG103" s="113"/>
    </row>
    <row r="104" spans="5:33" x14ac:dyDescent="0.55000000000000004">
      <c r="E104" s="31"/>
    </row>
    <row r="106" spans="5:33" x14ac:dyDescent="0.55000000000000004">
      <c r="E106" s="31"/>
    </row>
    <row r="108" spans="5:33" x14ac:dyDescent="0.55000000000000004">
      <c r="E108" s="31"/>
    </row>
    <row r="110" spans="5:33" x14ac:dyDescent="0.55000000000000004">
      <c r="O110" s="32"/>
    </row>
  </sheetData>
  <pageMargins left="0.7" right="0.7" top="0.75" bottom="0.75" header="0.3" footer="0.3"/>
  <pageSetup paperSize="9" orientation="portrait" horizontalDpi="4294967293" verticalDpi="0"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V59"/>
  <sheetViews>
    <sheetView zoomScale="85" zoomScaleNormal="85" workbookViewId="0">
      <selection activeCell="U57" sqref="U57:V57"/>
    </sheetView>
  </sheetViews>
  <sheetFormatPr defaultRowHeight="14.4" x14ac:dyDescent="0.55000000000000004"/>
  <cols>
    <col min="1" max="1" width="4.26171875" customWidth="1"/>
    <col min="2" max="2" width="5.15625" customWidth="1"/>
    <col min="3" max="3" width="14.3125" customWidth="1"/>
    <col min="4" max="4" width="3.1015625" customWidth="1"/>
    <col min="5" max="5" width="10.20703125" customWidth="1"/>
    <col min="6" max="6" width="6.47265625" customWidth="1"/>
  </cols>
  <sheetData>
    <row r="1" spans="1:21" ht="57.6" x14ac:dyDescent="0.55000000000000004">
      <c r="A1" t="s">
        <v>922</v>
      </c>
      <c r="B1" s="3" t="s">
        <v>1556</v>
      </c>
      <c r="C1" s="2" t="s">
        <v>0</v>
      </c>
      <c r="D1" s="2" t="s">
        <v>1</v>
      </c>
      <c r="E1" s="2" t="s">
        <v>90</v>
      </c>
      <c r="F1" s="2" t="s">
        <v>88</v>
      </c>
      <c r="G1" s="2" t="s">
        <v>1412</v>
      </c>
      <c r="H1" s="2" t="s">
        <v>2</v>
      </c>
      <c r="I1" s="2" t="s">
        <v>3</v>
      </c>
      <c r="J1" s="2" t="s">
        <v>11</v>
      </c>
      <c r="K1" s="2" t="s">
        <v>12</v>
      </c>
      <c r="L1" s="2" t="s">
        <v>1267</v>
      </c>
      <c r="M1" s="2" t="s">
        <v>19</v>
      </c>
      <c r="N1" s="2" t="s">
        <v>10</v>
      </c>
      <c r="O1" s="2" t="s">
        <v>8</v>
      </c>
      <c r="P1" s="2" t="s">
        <v>9</v>
      </c>
      <c r="Q1" s="2" t="s">
        <v>123</v>
      </c>
      <c r="R1" s="2" t="s">
        <v>5</v>
      </c>
      <c r="S1" s="3" t="s">
        <v>355</v>
      </c>
      <c r="T1" s="3" t="s">
        <v>450</v>
      </c>
    </row>
    <row r="2" spans="1:21" x14ac:dyDescent="0.55000000000000004">
      <c r="A2">
        <v>1</v>
      </c>
      <c r="B2">
        <v>1</v>
      </c>
      <c r="C2" t="s">
        <v>1594</v>
      </c>
      <c r="E2" t="s">
        <v>1553</v>
      </c>
      <c r="F2" t="s">
        <v>1554</v>
      </c>
      <c r="G2" t="s">
        <v>1595</v>
      </c>
      <c r="H2">
        <v>79.313000000000002</v>
      </c>
      <c r="I2">
        <v>101.51</v>
      </c>
      <c r="J2">
        <f>I2-H2</f>
        <v>22.197000000000003</v>
      </c>
      <c r="K2">
        <f>J2*0.0973</f>
        <v>2.1597681000000004</v>
      </c>
      <c r="L2" s="3">
        <f>K2*20</f>
        <v>43.19536200000001</v>
      </c>
      <c r="M2">
        <v>16.95</v>
      </c>
      <c r="N2">
        <v>103</v>
      </c>
      <c r="O2">
        <v>1273</v>
      </c>
      <c r="P2">
        <v>61.31</v>
      </c>
      <c r="Q2">
        <f>P2-M2</f>
        <v>44.36</v>
      </c>
      <c r="S2">
        <v>1</v>
      </c>
      <c r="T2">
        <v>1</v>
      </c>
      <c r="U2">
        <f>T2/S2</f>
        <v>1</v>
      </c>
    </row>
    <row r="3" spans="1:21" x14ac:dyDescent="0.55000000000000004">
      <c r="A3">
        <v>2</v>
      </c>
      <c r="B3">
        <v>2</v>
      </c>
      <c r="C3" t="s">
        <v>1596</v>
      </c>
      <c r="E3" t="s">
        <v>1553</v>
      </c>
      <c r="F3" t="s">
        <v>1554</v>
      </c>
      <c r="G3" t="s">
        <v>1595</v>
      </c>
      <c r="H3">
        <v>86.456000000000003</v>
      </c>
      <c r="I3">
        <v>92.962999999999994</v>
      </c>
      <c r="J3">
        <f t="shared" ref="J3:J30" si="0">I3-H3</f>
        <v>6.5069999999999908</v>
      </c>
      <c r="K3">
        <f t="shared" ref="K3:K30" si="1">J3*0.0973</f>
        <v>0.63313109999999906</v>
      </c>
      <c r="L3" s="3">
        <f t="shared" ref="L3:L30" si="2">K3*20</f>
        <v>12.662621999999981</v>
      </c>
      <c r="M3" t="s">
        <v>1090</v>
      </c>
      <c r="N3">
        <v>76</v>
      </c>
      <c r="O3">
        <v>613</v>
      </c>
      <c r="P3">
        <v>30.74</v>
      </c>
      <c r="R3" t="s">
        <v>1602</v>
      </c>
      <c r="S3">
        <v>11</v>
      </c>
      <c r="T3">
        <v>3</v>
      </c>
      <c r="U3">
        <f t="shared" ref="U3:U38" si="3">T3/S3</f>
        <v>0.27272727272727271</v>
      </c>
    </row>
    <row r="4" spans="1:21" x14ac:dyDescent="0.55000000000000004">
      <c r="B4">
        <v>3</v>
      </c>
      <c r="C4" t="s">
        <v>1596</v>
      </c>
      <c r="E4" t="s">
        <v>1553</v>
      </c>
      <c r="F4" t="s">
        <v>1554</v>
      </c>
      <c r="G4" t="s">
        <v>1595</v>
      </c>
      <c r="H4">
        <v>86.456000000000003</v>
      </c>
      <c r="I4">
        <v>90.3</v>
      </c>
      <c r="J4">
        <f>I4-H4</f>
        <v>3.8439999999999941</v>
      </c>
      <c r="K4">
        <f t="shared" si="1"/>
        <v>0.37402119999999944</v>
      </c>
      <c r="L4" s="3">
        <f t="shared" si="2"/>
        <v>7.4804239999999886</v>
      </c>
      <c r="M4" t="s">
        <v>1090</v>
      </c>
      <c r="N4">
        <v>76</v>
      </c>
      <c r="O4">
        <v>956</v>
      </c>
      <c r="P4">
        <v>47.94</v>
      </c>
      <c r="S4" s="200"/>
      <c r="T4" s="200"/>
    </row>
    <row r="5" spans="1:21" x14ac:dyDescent="0.55000000000000004">
      <c r="B5">
        <v>4</v>
      </c>
      <c r="C5" t="s">
        <v>1596</v>
      </c>
      <c r="E5" t="s">
        <v>1553</v>
      </c>
      <c r="F5" t="s">
        <v>1554</v>
      </c>
      <c r="G5" t="s">
        <v>1595</v>
      </c>
      <c r="H5">
        <v>86.456000000000003</v>
      </c>
      <c r="I5">
        <v>92.468999999999994</v>
      </c>
      <c r="J5">
        <f>I5-H5</f>
        <v>6.012999999999991</v>
      </c>
      <c r="K5">
        <f t="shared" si="1"/>
        <v>0.58506489999999911</v>
      </c>
      <c r="L5" s="3">
        <f t="shared" si="2"/>
        <v>11.701297999999982</v>
      </c>
      <c r="M5" t="s">
        <v>1090</v>
      </c>
      <c r="N5">
        <v>76</v>
      </c>
      <c r="O5">
        <v>1656</v>
      </c>
      <c r="P5">
        <v>80.040000000000006</v>
      </c>
      <c r="S5" s="200"/>
      <c r="T5" s="200"/>
    </row>
    <row r="6" spans="1:21" x14ac:dyDescent="0.55000000000000004">
      <c r="A6">
        <v>3</v>
      </c>
      <c r="B6">
        <v>5</v>
      </c>
      <c r="C6" t="s">
        <v>1597</v>
      </c>
      <c r="E6" t="s">
        <v>1553</v>
      </c>
      <c r="F6" t="s">
        <v>1554</v>
      </c>
      <c r="G6" t="s">
        <v>1595</v>
      </c>
      <c r="H6" t="s">
        <v>1098</v>
      </c>
      <c r="L6" s="3"/>
      <c r="M6">
        <v>18.670000000000002</v>
      </c>
      <c r="R6" t="s">
        <v>1603</v>
      </c>
      <c r="S6">
        <v>10</v>
      </c>
      <c r="T6">
        <v>1</v>
      </c>
      <c r="U6">
        <f t="shared" si="3"/>
        <v>0.1</v>
      </c>
    </row>
    <row r="7" spans="1:21" x14ac:dyDescent="0.55000000000000004">
      <c r="A7">
        <v>4</v>
      </c>
      <c r="C7" t="s">
        <v>1597</v>
      </c>
      <c r="E7" t="s">
        <v>1553</v>
      </c>
      <c r="F7" t="s">
        <v>1554</v>
      </c>
      <c r="G7" t="s">
        <v>1595</v>
      </c>
      <c r="H7" t="s">
        <v>1605</v>
      </c>
      <c r="L7" s="3"/>
      <c r="M7">
        <v>68.709999999999994</v>
      </c>
      <c r="S7">
        <v>2</v>
      </c>
      <c r="T7">
        <v>0</v>
      </c>
      <c r="U7">
        <f t="shared" si="3"/>
        <v>0</v>
      </c>
    </row>
    <row r="8" spans="1:21" x14ac:dyDescent="0.55000000000000004">
      <c r="A8">
        <v>5</v>
      </c>
      <c r="B8">
        <v>6</v>
      </c>
      <c r="C8" t="s">
        <v>1604</v>
      </c>
      <c r="E8" t="s">
        <v>1553</v>
      </c>
      <c r="F8" t="s">
        <v>1554</v>
      </c>
      <c r="G8" t="s">
        <v>1595</v>
      </c>
      <c r="H8">
        <v>77.156999999999996</v>
      </c>
      <c r="I8">
        <v>95.224999999999994</v>
      </c>
      <c r="J8">
        <f>I8-H8</f>
        <v>18.067999999999998</v>
      </c>
      <c r="K8">
        <f t="shared" si="1"/>
        <v>1.7580163999999998</v>
      </c>
      <c r="L8" s="3">
        <f t="shared" si="2"/>
        <v>35.160327999999993</v>
      </c>
      <c r="M8">
        <v>193.4</v>
      </c>
      <c r="N8">
        <v>4502</v>
      </c>
      <c r="O8">
        <v>5223</v>
      </c>
      <c r="P8">
        <v>260.07</v>
      </c>
      <c r="Q8">
        <f>P8-M8</f>
        <v>66.669999999999987</v>
      </c>
      <c r="S8">
        <v>7</v>
      </c>
      <c r="T8">
        <v>1</v>
      </c>
      <c r="U8">
        <f t="shared" si="3"/>
        <v>0.14285714285714285</v>
      </c>
    </row>
    <row r="9" spans="1:21" x14ac:dyDescent="0.55000000000000004">
      <c r="C9" t="s">
        <v>1598</v>
      </c>
      <c r="E9" t="s">
        <v>1553</v>
      </c>
      <c r="F9" t="s">
        <v>1554</v>
      </c>
      <c r="G9" t="s">
        <v>1595</v>
      </c>
      <c r="H9" t="s">
        <v>47</v>
      </c>
      <c r="L9" s="3"/>
      <c r="Q9">
        <f t="shared" ref="Q9:Q30" si="4">P9-M9</f>
        <v>0</v>
      </c>
      <c r="R9" t="s">
        <v>1606</v>
      </c>
    </row>
    <row r="10" spans="1:21" x14ac:dyDescent="0.55000000000000004">
      <c r="A10">
        <v>6</v>
      </c>
      <c r="B10">
        <v>7</v>
      </c>
      <c r="C10" t="s">
        <v>1599</v>
      </c>
      <c r="E10" t="s">
        <v>1553</v>
      </c>
      <c r="F10" t="s">
        <v>1554</v>
      </c>
      <c r="G10" t="s">
        <v>1595</v>
      </c>
      <c r="H10">
        <v>76.781000000000006</v>
      </c>
      <c r="I10">
        <v>88.653999999999996</v>
      </c>
      <c r="J10">
        <f t="shared" si="0"/>
        <v>11.87299999999999</v>
      </c>
      <c r="K10">
        <f t="shared" si="1"/>
        <v>1.1552428999999991</v>
      </c>
      <c r="L10" s="3">
        <f t="shared" si="2"/>
        <v>23.104857999999982</v>
      </c>
      <c r="M10">
        <v>16.23</v>
      </c>
      <c r="N10">
        <v>258</v>
      </c>
      <c r="O10">
        <v>1253</v>
      </c>
      <c r="P10">
        <v>63.55</v>
      </c>
      <c r="Q10">
        <f t="shared" si="4"/>
        <v>47.319999999999993</v>
      </c>
      <c r="S10">
        <v>15</v>
      </c>
      <c r="T10">
        <v>1</v>
      </c>
      <c r="U10">
        <f t="shared" si="3"/>
        <v>6.6666666666666666E-2</v>
      </c>
    </row>
    <row r="11" spans="1:21" x14ac:dyDescent="0.55000000000000004">
      <c r="A11">
        <v>7</v>
      </c>
      <c r="B11">
        <v>8</v>
      </c>
      <c r="C11" t="s">
        <v>1608</v>
      </c>
      <c r="E11" t="s">
        <v>1553</v>
      </c>
      <c r="F11" t="s">
        <v>1554</v>
      </c>
      <c r="G11" t="s">
        <v>1595</v>
      </c>
      <c r="H11">
        <v>88.114000000000004</v>
      </c>
      <c r="I11">
        <v>97.863</v>
      </c>
      <c r="J11">
        <f t="shared" si="0"/>
        <v>9.7489999999999952</v>
      </c>
      <c r="K11">
        <f t="shared" si="1"/>
        <v>0.94857769999999952</v>
      </c>
      <c r="L11" s="3">
        <f t="shared" si="2"/>
        <v>18.97155399999999</v>
      </c>
      <c r="M11">
        <v>23.88</v>
      </c>
      <c r="N11">
        <v>2</v>
      </c>
      <c r="O11">
        <v>3046</v>
      </c>
      <c r="P11">
        <v>149.37</v>
      </c>
      <c r="Q11">
        <f t="shared" si="4"/>
        <v>125.49000000000001</v>
      </c>
      <c r="R11" t="s">
        <v>1607</v>
      </c>
      <c r="S11">
        <v>4</v>
      </c>
      <c r="T11">
        <v>1</v>
      </c>
      <c r="U11">
        <f t="shared" si="3"/>
        <v>0.25</v>
      </c>
    </row>
    <row r="12" spans="1:21" x14ac:dyDescent="0.55000000000000004">
      <c r="B12">
        <v>9</v>
      </c>
      <c r="C12" t="s">
        <v>1609</v>
      </c>
      <c r="E12" t="s">
        <v>1553</v>
      </c>
      <c r="F12" t="s">
        <v>1554</v>
      </c>
      <c r="G12" t="s">
        <v>1595</v>
      </c>
      <c r="H12">
        <v>84.477999999999994</v>
      </c>
      <c r="I12">
        <v>101.46</v>
      </c>
      <c r="J12">
        <f>I12-H12</f>
        <v>16.981999999999999</v>
      </c>
      <c r="K12">
        <f t="shared" si="1"/>
        <v>1.6523485999999998</v>
      </c>
      <c r="L12" s="3">
        <f t="shared" si="2"/>
        <v>33.046971999999997</v>
      </c>
      <c r="M12">
        <v>23.88</v>
      </c>
      <c r="N12">
        <v>2</v>
      </c>
      <c r="O12">
        <v>3046</v>
      </c>
      <c r="P12">
        <v>149.37</v>
      </c>
      <c r="Q12">
        <f>P12-M12</f>
        <v>125.49000000000001</v>
      </c>
      <c r="R12" t="s">
        <v>1607</v>
      </c>
    </row>
    <row r="13" spans="1:21" s="6" customFormat="1" x14ac:dyDescent="0.55000000000000004">
      <c r="A13" s="6">
        <v>8</v>
      </c>
      <c r="C13" s="6" t="s">
        <v>1600</v>
      </c>
      <c r="E13" s="6" t="s">
        <v>1553</v>
      </c>
      <c r="F13" s="6" t="s">
        <v>1554</v>
      </c>
      <c r="G13" s="6" t="s">
        <v>1595</v>
      </c>
      <c r="H13" s="6">
        <v>77.073999999999998</v>
      </c>
      <c r="I13" s="6">
        <v>76.463999999999999</v>
      </c>
      <c r="J13" s="6">
        <f t="shared" si="0"/>
        <v>-0.60999999999999943</v>
      </c>
      <c r="K13" s="6">
        <f t="shared" si="1"/>
        <v>-5.9352999999999941E-2</v>
      </c>
      <c r="L13" s="12">
        <f t="shared" si="2"/>
        <v>-1.1870599999999989</v>
      </c>
      <c r="M13" s="6" t="s">
        <v>1090</v>
      </c>
      <c r="N13" s="6">
        <v>44</v>
      </c>
      <c r="O13" s="6">
        <v>676</v>
      </c>
      <c r="P13" s="6">
        <v>33.61</v>
      </c>
      <c r="S13" s="6">
        <v>7</v>
      </c>
      <c r="T13" s="6">
        <v>1</v>
      </c>
      <c r="U13">
        <f t="shared" si="3"/>
        <v>0.14285714285714285</v>
      </c>
    </row>
    <row r="14" spans="1:21" x14ac:dyDescent="0.55000000000000004">
      <c r="A14">
        <v>9</v>
      </c>
      <c r="B14">
        <v>10</v>
      </c>
      <c r="C14" t="s">
        <v>1611</v>
      </c>
      <c r="E14" t="s">
        <v>1553</v>
      </c>
      <c r="F14" t="s">
        <v>1554</v>
      </c>
      <c r="G14" t="s">
        <v>1595</v>
      </c>
      <c r="H14">
        <v>76.147000000000006</v>
      </c>
      <c r="I14">
        <v>79.518000000000001</v>
      </c>
      <c r="J14">
        <f t="shared" si="0"/>
        <v>3.3709999999999951</v>
      </c>
      <c r="K14">
        <f t="shared" si="1"/>
        <v>0.32799829999999952</v>
      </c>
      <c r="L14" s="3">
        <f t="shared" si="2"/>
        <v>6.5599659999999904</v>
      </c>
      <c r="M14">
        <v>13.92</v>
      </c>
      <c r="N14">
        <v>529</v>
      </c>
      <c r="O14">
        <v>1365</v>
      </c>
      <c r="P14">
        <v>67.62</v>
      </c>
      <c r="Q14">
        <f t="shared" si="4"/>
        <v>53.7</v>
      </c>
      <c r="S14">
        <v>17</v>
      </c>
      <c r="T14">
        <v>4</v>
      </c>
      <c r="U14">
        <f t="shared" si="3"/>
        <v>0.23529411764705882</v>
      </c>
    </row>
    <row r="15" spans="1:21" x14ac:dyDescent="0.55000000000000004">
      <c r="B15">
        <v>11</v>
      </c>
      <c r="C15" t="s">
        <v>1610</v>
      </c>
      <c r="E15" t="s">
        <v>1553</v>
      </c>
      <c r="F15" t="s">
        <v>1554</v>
      </c>
      <c r="G15" t="s">
        <v>1595</v>
      </c>
      <c r="H15">
        <v>76.510000000000005</v>
      </c>
      <c r="I15">
        <v>90.686000000000007</v>
      </c>
      <c r="J15">
        <f>I15-H15</f>
        <v>14.176000000000002</v>
      </c>
      <c r="K15">
        <f t="shared" si="1"/>
        <v>1.3793248000000002</v>
      </c>
      <c r="L15" s="3">
        <f t="shared" si="2"/>
        <v>27.586496000000004</v>
      </c>
      <c r="M15">
        <v>13.92</v>
      </c>
      <c r="N15">
        <v>529</v>
      </c>
      <c r="O15">
        <v>1498</v>
      </c>
      <c r="P15">
        <v>74.209999999999994</v>
      </c>
      <c r="Q15">
        <f>P15-M15</f>
        <v>60.289999999999992</v>
      </c>
      <c r="S15" s="200"/>
      <c r="T15" s="200"/>
    </row>
    <row r="16" spans="1:21" x14ac:dyDescent="0.55000000000000004">
      <c r="B16">
        <v>12</v>
      </c>
      <c r="C16" t="s">
        <v>1612</v>
      </c>
      <c r="E16" t="s">
        <v>1553</v>
      </c>
      <c r="F16" t="s">
        <v>1554</v>
      </c>
      <c r="G16" t="s">
        <v>1595</v>
      </c>
      <c r="H16">
        <v>76.147000000000006</v>
      </c>
      <c r="I16">
        <v>85.783000000000001</v>
      </c>
      <c r="J16">
        <f>I16-H16</f>
        <v>9.6359999999999957</v>
      </c>
      <c r="K16">
        <f t="shared" si="1"/>
        <v>0.93758279999999961</v>
      </c>
      <c r="L16" s="3">
        <f t="shared" si="2"/>
        <v>18.751655999999993</v>
      </c>
      <c r="M16">
        <v>13.92</v>
      </c>
      <c r="N16">
        <v>529</v>
      </c>
      <c r="O16">
        <v>2446</v>
      </c>
      <c r="P16">
        <v>121.17</v>
      </c>
      <c r="Q16">
        <f>P16-M16</f>
        <v>107.25</v>
      </c>
      <c r="R16" t="s">
        <v>1613</v>
      </c>
      <c r="S16" s="200"/>
      <c r="T16" s="200"/>
    </row>
    <row r="17" spans="2:21" x14ac:dyDescent="0.55000000000000004">
      <c r="B17">
        <v>13</v>
      </c>
      <c r="C17" t="s">
        <v>1601</v>
      </c>
      <c r="E17" t="s">
        <v>1553</v>
      </c>
      <c r="F17" t="s">
        <v>1554</v>
      </c>
      <c r="G17" t="s">
        <v>1595</v>
      </c>
      <c r="H17">
        <v>88.957999999999998</v>
      </c>
      <c r="I17">
        <v>115.342</v>
      </c>
      <c r="J17">
        <f t="shared" si="0"/>
        <v>26.384</v>
      </c>
      <c r="K17">
        <f t="shared" si="1"/>
        <v>2.5671632</v>
      </c>
      <c r="L17" s="3">
        <f t="shared" si="2"/>
        <v>51.343263999999998</v>
      </c>
      <c r="M17">
        <v>46.29</v>
      </c>
      <c r="N17">
        <v>993</v>
      </c>
      <c r="O17">
        <v>1401</v>
      </c>
      <c r="P17">
        <v>68.489999999999995</v>
      </c>
      <c r="Q17">
        <f t="shared" si="4"/>
        <v>22.199999999999996</v>
      </c>
      <c r="S17">
        <v>11</v>
      </c>
      <c r="T17">
        <v>1</v>
      </c>
      <c r="U17">
        <f t="shared" si="3"/>
        <v>9.0909090909090912E-2</v>
      </c>
    </row>
    <row r="18" spans="2:21" x14ac:dyDescent="0.55000000000000004">
      <c r="B18">
        <v>14</v>
      </c>
      <c r="C18" t="s">
        <v>1616</v>
      </c>
      <c r="E18" t="s">
        <v>1553</v>
      </c>
      <c r="F18" t="s">
        <v>1554</v>
      </c>
      <c r="G18" t="s">
        <v>1595</v>
      </c>
      <c r="H18">
        <v>78.314999999999998</v>
      </c>
      <c r="I18">
        <v>95.168999999999997</v>
      </c>
      <c r="J18">
        <f t="shared" si="0"/>
        <v>16.853999999999999</v>
      </c>
      <c r="K18">
        <f t="shared" si="1"/>
        <v>1.6398941999999999</v>
      </c>
      <c r="L18" s="3">
        <f t="shared" si="2"/>
        <v>32.797883999999996</v>
      </c>
      <c r="M18">
        <v>60.82</v>
      </c>
      <c r="N18">
        <v>261</v>
      </c>
      <c r="O18">
        <v>1848</v>
      </c>
      <c r="P18">
        <v>90.93</v>
      </c>
      <c r="Q18">
        <f t="shared" si="4"/>
        <v>30.110000000000007</v>
      </c>
      <c r="S18" s="200"/>
      <c r="T18" s="200"/>
    </row>
    <row r="19" spans="2:21" ht="15.9" customHeight="1" x14ac:dyDescent="0.55000000000000004">
      <c r="B19">
        <v>15</v>
      </c>
      <c r="C19" t="s">
        <v>1614</v>
      </c>
      <c r="E19" t="s">
        <v>1553</v>
      </c>
      <c r="F19" t="s">
        <v>1554</v>
      </c>
      <c r="G19" t="s">
        <v>1595</v>
      </c>
      <c r="H19">
        <v>84.057000000000002</v>
      </c>
      <c r="I19">
        <v>91.760999999999996</v>
      </c>
      <c r="J19">
        <f>I19-H19</f>
        <v>7.7039999999999935</v>
      </c>
      <c r="K19">
        <f t="shared" si="1"/>
        <v>0.74959919999999935</v>
      </c>
      <c r="L19" s="3">
        <f t="shared" si="2"/>
        <v>14.991983999999988</v>
      </c>
      <c r="M19">
        <v>60.82</v>
      </c>
      <c r="N19">
        <v>261</v>
      </c>
      <c r="O19">
        <v>3595</v>
      </c>
      <c r="P19">
        <v>176.9</v>
      </c>
      <c r="Q19">
        <f>P19-M19</f>
        <v>116.08000000000001</v>
      </c>
      <c r="S19" s="200"/>
      <c r="T19" s="200"/>
    </row>
    <row r="20" spans="2:21" s="111" customFormat="1" x14ac:dyDescent="0.55000000000000004">
      <c r="C20" s="111" t="s">
        <v>1615</v>
      </c>
      <c r="E20" s="111" t="s">
        <v>1553</v>
      </c>
      <c r="F20" s="111" t="s">
        <v>1554</v>
      </c>
      <c r="G20" s="111" t="s">
        <v>1595</v>
      </c>
      <c r="H20" s="111">
        <v>78.314999999999998</v>
      </c>
      <c r="I20" s="111">
        <v>88.186999999999998</v>
      </c>
      <c r="J20" s="111">
        <f>I20-H20</f>
        <v>9.8719999999999999</v>
      </c>
      <c r="K20" s="111">
        <f t="shared" si="1"/>
        <v>0.9605456</v>
      </c>
      <c r="L20" s="113">
        <f t="shared" si="2"/>
        <v>19.210912</v>
      </c>
      <c r="M20" s="111">
        <v>60.82</v>
      </c>
      <c r="N20" s="111">
        <v>261</v>
      </c>
      <c r="O20" s="111">
        <v>3595</v>
      </c>
      <c r="P20" s="111">
        <v>176.9</v>
      </c>
      <c r="Q20" s="111">
        <f>P20-M20</f>
        <v>116.08000000000001</v>
      </c>
      <c r="R20" s="111" t="s">
        <v>1619</v>
      </c>
      <c r="S20" s="215"/>
      <c r="T20" s="215"/>
      <c r="U20"/>
    </row>
    <row r="21" spans="2:21" x14ac:dyDescent="0.55000000000000004">
      <c r="B21">
        <v>16</v>
      </c>
      <c r="C21" t="s">
        <v>1617</v>
      </c>
      <c r="E21" t="s">
        <v>1553</v>
      </c>
      <c r="F21" t="s">
        <v>1554</v>
      </c>
      <c r="G21" t="s">
        <v>1595</v>
      </c>
      <c r="H21">
        <v>84.004000000000005</v>
      </c>
      <c r="I21">
        <v>93.58</v>
      </c>
      <c r="J21">
        <f>I21-H21</f>
        <v>9.5759999999999934</v>
      </c>
      <c r="K21">
        <f t="shared" si="1"/>
        <v>0.93174479999999937</v>
      </c>
      <c r="L21" s="3">
        <f t="shared" si="2"/>
        <v>18.634895999999987</v>
      </c>
      <c r="M21">
        <v>60.82</v>
      </c>
      <c r="N21">
        <v>261</v>
      </c>
      <c r="O21">
        <v>4823</v>
      </c>
      <c r="P21">
        <v>237.33</v>
      </c>
      <c r="Q21">
        <f>P21-M21</f>
        <v>176.51000000000002</v>
      </c>
      <c r="S21" s="200"/>
      <c r="T21" s="200"/>
    </row>
    <row r="22" spans="2:21" s="111" customFormat="1" x14ac:dyDescent="0.55000000000000004">
      <c r="C22" s="111" t="s">
        <v>1618</v>
      </c>
      <c r="E22" s="111" t="s">
        <v>1553</v>
      </c>
      <c r="F22" s="111" t="s">
        <v>1554</v>
      </c>
      <c r="G22" s="111" t="s">
        <v>1595</v>
      </c>
      <c r="H22" s="111">
        <v>84.912000000000006</v>
      </c>
      <c r="I22" s="111">
        <v>109.407</v>
      </c>
      <c r="J22" s="111">
        <f>I22-H22</f>
        <v>24.49499999999999</v>
      </c>
      <c r="K22" s="111">
        <f t="shared" si="1"/>
        <v>2.3833634999999989</v>
      </c>
      <c r="L22" s="113">
        <f t="shared" si="2"/>
        <v>47.667269999999974</v>
      </c>
      <c r="M22" s="111">
        <v>60.82</v>
      </c>
      <c r="N22" s="111">
        <v>261</v>
      </c>
      <c r="O22" s="111">
        <v>4823</v>
      </c>
      <c r="P22" s="111">
        <v>237.33</v>
      </c>
      <c r="Q22" s="111">
        <f>P22-M22</f>
        <v>176.51000000000002</v>
      </c>
      <c r="S22" s="215"/>
      <c r="T22" s="215"/>
      <c r="U22"/>
    </row>
    <row r="23" spans="2:21" x14ac:dyDescent="0.55000000000000004">
      <c r="C23" t="s">
        <v>1673</v>
      </c>
      <c r="E23" s="7" t="s">
        <v>1625</v>
      </c>
      <c r="F23" s="7" t="s">
        <v>1554</v>
      </c>
      <c r="G23" s="7" t="s">
        <v>1595</v>
      </c>
      <c r="H23" s="7" t="s">
        <v>18</v>
      </c>
      <c r="L23" s="3"/>
      <c r="M23">
        <v>63.16</v>
      </c>
      <c r="S23">
        <v>1</v>
      </c>
      <c r="T23">
        <v>0</v>
      </c>
      <c r="U23">
        <f t="shared" si="3"/>
        <v>0</v>
      </c>
    </row>
    <row r="24" spans="2:21" x14ac:dyDescent="0.55000000000000004">
      <c r="C24" t="s">
        <v>1674</v>
      </c>
      <c r="E24" s="7" t="s">
        <v>1625</v>
      </c>
      <c r="F24" s="7" t="s">
        <v>1554</v>
      </c>
      <c r="G24" s="7" t="s">
        <v>1595</v>
      </c>
      <c r="H24" s="7" t="s">
        <v>18</v>
      </c>
      <c r="L24" s="3"/>
      <c r="M24" s="111">
        <v>97.52</v>
      </c>
      <c r="S24">
        <v>6</v>
      </c>
      <c r="T24">
        <v>0</v>
      </c>
      <c r="U24">
        <f t="shared" si="3"/>
        <v>0</v>
      </c>
    </row>
    <row r="25" spans="2:21" x14ac:dyDescent="0.55000000000000004">
      <c r="C25" t="s">
        <v>1667</v>
      </c>
      <c r="E25" s="7" t="s">
        <v>1625</v>
      </c>
      <c r="F25" s="7" t="s">
        <v>1554</v>
      </c>
      <c r="G25" s="7" t="s">
        <v>1595</v>
      </c>
      <c r="H25" s="7" t="s">
        <v>1098</v>
      </c>
      <c r="L25" s="3"/>
      <c r="M25">
        <v>88.32</v>
      </c>
      <c r="S25">
        <v>7</v>
      </c>
      <c r="T25">
        <v>1</v>
      </c>
      <c r="U25">
        <f t="shared" si="3"/>
        <v>0.14285714285714285</v>
      </c>
    </row>
    <row r="26" spans="2:21" x14ac:dyDescent="0.55000000000000004">
      <c r="B26">
        <v>17</v>
      </c>
      <c r="C26" t="s">
        <v>1668</v>
      </c>
      <c r="E26" s="7" t="s">
        <v>1625</v>
      </c>
      <c r="F26" s="7" t="s">
        <v>1554</v>
      </c>
      <c r="G26" s="7" t="s">
        <v>1595</v>
      </c>
      <c r="H26">
        <v>97.176000000000002</v>
      </c>
      <c r="I26">
        <v>119.04</v>
      </c>
      <c r="J26">
        <f t="shared" si="0"/>
        <v>21.864000000000004</v>
      </c>
      <c r="K26">
        <f t="shared" si="1"/>
        <v>2.1273672000000006</v>
      </c>
      <c r="L26" s="3">
        <f t="shared" si="2"/>
        <v>42.54734400000001</v>
      </c>
      <c r="M26" t="s">
        <v>1090</v>
      </c>
      <c r="N26">
        <v>1</v>
      </c>
      <c r="O26">
        <v>1778</v>
      </c>
      <c r="P26">
        <v>88.66</v>
      </c>
      <c r="S26">
        <v>9</v>
      </c>
      <c r="T26">
        <v>1</v>
      </c>
      <c r="U26">
        <f t="shared" si="3"/>
        <v>0.1111111111111111</v>
      </c>
    </row>
    <row r="27" spans="2:21" x14ac:dyDescent="0.55000000000000004">
      <c r="C27" t="s">
        <v>1669</v>
      </c>
      <c r="E27" s="7" t="s">
        <v>1625</v>
      </c>
      <c r="F27" s="7" t="s">
        <v>1554</v>
      </c>
      <c r="G27" s="7" t="s">
        <v>1595</v>
      </c>
      <c r="H27" s="7" t="s">
        <v>18</v>
      </c>
      <c r="L27" s="3"/>
      <c r="M27">
        <v>35.17</v>
      </c>
      <c r="S27">
        <v>13</v>
      </c>
      <c r="T27">
        <v>0</v>
      </c>
      <c r="U27">
        <f t="shared" si="3"/>
        <v>0</v>
      </c>
    </row>
    <row r="28" spans="2:21" x14ac:dyDescent="0.55000000000000004">
      <c r="C28" t="s">
        <v>1675</v>
      </c>
      <c r="E28" s="7" t="s">
        <v>1625</v>
      </c>
      <c r="F28" s="7" t="s">
        <v>1554</v>
      </c>
      <c r="G28" s="7" t="s">
        <v>1595</v>
      </c>
      <c r="H28" s="7" t="s">
        <v>18</v>
      </c>
      <c r="L28" s="3"/>
      <c r="M28">
        <v>17.579999999999998</v>
      </c>
      <c r="S28">
        <v>4</v>
      </c>
      <c r="T28">
        <v>0</v>
      </c>
      <c r="U28">
        <f t="shared" si="3"/>
        <v>0</v>
      </c>
    </row>
    <row r="29" spans="2:21" x14ac:dyDescent="0.55000000000000004">
      <c r="C29" t="s">
        <v>1676</v>
      </c>
      <c r="E29" s="7" t="s">
        <v>1625</v>
      </c>
      <c r="F29" s="7" t="s">
        <v>1554</v>
      </c>
      <c r="G29" s="7" t="s">
        <v>1595</v>
      </c>
      <c r="H29" s="7" t="s">
        <v>18</v>
      </c>
      <c r="L29" s="3"/>
      <c r="S29">
        <v>2</v>
      </c>
      <c r="T29">
        <v>0</v>
      </c>
      <c r="U29">
        <f t="shared" si="3"/>
        <v>0</v>
      </c>
    </row>
    <row r="30" spans="2:21" x14ac:dyDescent="0.55000000000000004">
      <c r="B30">
        <v>18</v>
      </c>
      <c r="C30" t="s">
        <v>1677</v>
      </c>
      <c r="E30" s="7" t="s">
        <v>1625</v>
      </c>
      <c r="F30" s="7" t="s">
        <v>1554</v>
      </c>
      <c r="G30" s="7" t="s">
        <v>1595</v>
      </c>
      <c r="H30">
        <v>70.069999999999993</v>
      </c>
      <c r="I30">
        <v>90.929000000000002</v>
      </c>
      <c r="J30">
        <f t="shared" si="0"/>
        <v>20.859000000000009</v>
      </c>
      <c r="K30">
        <f t="shared" si="1"/>
        <v>2.0295807000000008</v>
      </c>
      <c r="L30" s="3">
        <f t="shared" si="2"/>
        <v>40.591614000000014</v>
      </c>
      <c r="M30">
        <v>155.36000000000001</v>
      </c>
      <c r="N30">
        <v>3744</v>
      </c>
      <c r="O30">
        <v>4153</v>
      </c>
      <c r="P30">
        <v>206.26</v>
      </c>
      <c r="Q30">
        <f t="shared" si="4"/>
        <v>50.899999999999977</v>
      </c>
      <c r="S30">
        <v>4</v>
      </c>
      <c r="T30">
        <v>2</v>
      </c>
      <c r="U30">
        <f t="shared" si="3"/>
        <v>0.5</v>
      </c>
    </row>
    <row r="31" spans="2:21" x14ac:dyDescent="0.55000000000000004">
      <c r="B31">
        <v>19</v>
      </c>
      <c r="C31" t="s">
        <v>1678</v>
      </c>
      <c r="E31" s="7" t="s">
        <v>1625</v>
      </c>
      <c r="F31" s="7" t="s">
        <v>1554</v>
      </c>
      <c r="G31" s="7" t="s">
        <v>1595</v>
      </c>
      <c r="H31">
        <v>80.691000000000003</v>
      </c>
      <c r="I31">
        <v>85.200999999999993</v>
      </c>
      <c r="J31">
        <f t="shared" ref="J31" si="5">I31-H31</f>
        <v>4.5099999999999909</v>
      </c>
      <c r="K31">
        <f t="shared" ref="K31" si="6">J31*0.0973</f>
        <v>0.43882299999999913</v>
      </c>
      <c r="L31" s="3">
        <f t="shared" ref="L31" si="7">K31*20</f>
        <v>8.7764599999999824</v>
      </c>
      <c r="M31">
        <v>155.26</v>
      </c>
      <c r="N31">
        <v>3744</v>
      </c>
      <c r="O31">
        <v>4805</v>
      </c>
      <c r="P31">
        <v>238.64</v>
      </c>
      <c r="Q31">
        <f t="shared" ref="Q31" si="8">P31-M31</f>
        <v>83.38</v>
      </c>
      <c r="S31" s="200"/>
      <c r="T31" s="200"/>
    </row>
    <row r="32" spans="2:21" s="111" customFormat="1" x14ac:dyDescent="0.55000000000000004">
      <c r="C32" s="111" t="s">
        <v>1679</v>
      </c>
      <c r="E32" s="111" t="s">
        <v>1625</v>
      </c>
      <c r="F32" s="111" t="s">
        <v>1554</v>
      </c>
      <c r="G32" s="111" t="s">
        <v>1595</v>
      </c>
      <c r="H32" s="111">
        <v>78.995000000000005</v>
      </c>
      <c r="I32" s="111">
        <v>84.504000000000005</v>
      </c>
      <c r="J32" s="111">
        <f t="shared" ref="J32" si="9">I32-H32</f>
        <v>5.5090000000000003</v>
      </c>
      <c r="K32" s="111">
        <f t="shared" ref="K32" si="10">J32*0.0973</f>
        <v>0.53602570000000005</v>
      </c>
      <c r="L32" s="113">
        <f t="shared" ref="L32" si="11">K32*20</f>
        <v>10.720514000000001</v>
      </c>
      <c r="M32" s="111">
        <v>155.26</v>
      </c>
      <c r="N32" s="111">
        <v>3744</v>
      </c>
      <c r="O32" s="111">
        <v>4805</v>
      </c>
      <c r="P32" s="111">
        <v>238.64</v>
      </c>
      <c r="Q32" s="111">
        <f t="shared" ref="Q32" si="12">P32-M32</f>
        <v>83.38</v>
      </c>
      <c r="S32" s="215"/>
      <c r="T32" s="215"/>
      <c r="U32"/>
    </row>
    <row r="33" spans="2:21" x14ac:dyDescent="0.55000000000000004">
      <c r="C33" t="s">
        <v>1670</v>
      </c>
      <c r="E33" s="7" t="s">
        <v>1625</v>
      </c>
      <c r="F33" s="7" t="s">
        <v>1554</v>
      </c>
      <c r="G33" s="7" t="s">
        <v>1595</v>
      </c>
      <c r="H33" s="7" t="s">
        <v>18</v>
      </c>
      <c r="L33" s="3"/>
      <c r="M33">
        <v>16.100000000000001</v>
      </c>
      <c r="S33">
        <v>9</v>
      </c>
      <c r="T33">
        <v>0</v>
      </c>
      <c r="U33">
        <f t="shared" si="3"/>
        <v>0</v>
      </c>
    </row>
    <row r="34" spans="2:21" x14ac:dyDescent="0.55000000000000004">
      <c r="C34" t="s">
        <v>1671</v>
      </c>
      <c r="E34" s="7" t="s">
        <v>1625</v>
      </c>
      <c r="F34" s="7" t="s">
        <v>1554</v>
      </c>
      <c r="G34" s="7" t="s">
        <v>1595</v>
      </c>
      <c r="H34" s="7" t="s">
        <v>1098</v>
      </c>
      <c r="L34" s="3"/>
      <c r="M34">
        <v>384.17</v>
      </c>
      <c r="S34">
        <v>9</v>
      </c>
      <c r="T34">
        <v>1</v>
      </c>
      <c r="U34">
        <f t="shared" si="3"/>
        <v>0.1111111111111111</v>
      </c>
    </row>
    <row r="35" spans="2:21" x14ac:dyDescent="0.55000000000000004">
      <c r="C35" t="s">
        <v>1672</v>
      </c>
      <c r="E35" s="7" t="s">
        <v>1625</v>
      </c>
      <c r="F35" s="7" t="s">
        <v>1554</v>
      </c>
      <c r="G35" s="7" t="s">
        <v>1595</v>
      </c>
      <c r="H35" s="7" t="s">
        <v>18</v>
      </c>
      <c r="L35" s="3"/>
      <c r="M35">
        <v>42.77</v>
      </c>
      <c r="S35">
        <v>9</v>
      </c>
      <c r="T35">
        <v>0</v>
      </c>
      <c r="U35">
        <f t="shared" si="3"/>
        <v>0</v>
      </c>
    </row>
    <row r="36" spans="2:21" x14ac:dyDescent="0.55000000000000004">
      <c r="B36">
        <v>20</v>
      </c>
      <c r="C36" t="s">
        <v>1682</v>
      </c>
      <c r="E36" s="7" t="s">
        <v>1625</v>
      </c>
      <c r="F36" s="7" t="s">
        <v>1554</v>
      </c>
      <c r="G36" s="7" t="s">
        <v>1595</v>
      </c>
      <c r="H36">
        <v>96.114000000000004</v>
      </c>
      <c r="I36">
        <v>104.068</v>
      </c>
      <c r="J36">
        <f t="shared" ref="J36:J56" si="13">I36-H36</f>
        <v>7.9539999999999935</v>
      </c>
      <c r="K36">
        <f t="shared" ref="K36:K56" si="14">J36*0.0973</f>
        <v>0.7739241999999994</v>
      </c>
      <c r="L36" s="3">
        <f t="shared" ref="L36:L56" si="15">K36*20</f>
        <v>15.478483999999987</v>
      </c>
      <c r="M36">
        <v>39.17</v>
      </c>
      <c r="N36">
        <v>784</v>
      </c>
      <c r="O36">
        <v>2141</v>
      </c>
      <c r="P36">
        <v>107.84</v>
      </c>
      <c r="Q36">
        <f t="shared" ref="Q36:Q56" si="16">P36-M36</f>
        <v>68.67</v>
      </c>
      <c r="S36">
        <v>6</v>
      </c>
      <c r="T36">
        <v>2</v>
      </c>
      <c r="U36">
        <f t="shared" si="3"/>
        <v>0.33333333333333331</v>
      </c>
    </row>
    <row r="37" spans="2:21" s="111" customFormat="1" x14ac:dyDescent="0.55000000000000004">
      <c r="C37" s="111" t="s">
        <v>1683</v>
      </c>
      <c r="E37" s="111" t="s">
        <v>1625</v>
      </c>
      <c r="F37" s="111" t="s">
        <v>1554</v>
      </c>
      <c r="G37" s="111" t="s">
        <v>1595</v>
      </c>
      <c r="H37" s="111">
        <v>84.36</v>
      </c>
      <c r="I37" s="111">
        <v>94.558999999999997</v>
      </c>
      <c r="J37" s="111">
        <f t="shared" ref="J37" si="17">I37-H37</f>
        <v>10.198999999999998</v>
      </c>
      <c r="K37" s="111">
        <f t="shared" ref="K37" si="18">J37*0.0973</f>
        <v>0.99236269999999982</v>
      </c>
      <c r="L37" s="113">
        <f t="shared" ref="L37" si="19">K37*20</f>
        <v>19.847253999999996</v>
      </c>
      <c r="M37" s="111">
        <v>39.17</v>
      </c>
      <c r="N37" s="111">
        <v>784</v>
      </c>
      <c r="O37" s="111">
        <v>2141</v>
      </c>
      <c r="P37" s="111">
        <v>107.84</v>
      </c>
      <c r="Q37" s="111">
        <f t="shared" ref="Q37" si="20">P37-M37</f>
        <v>68.67</v>
      </c>
      <c r="S37" s="111">
        <v>6</v>
      </c>
      <c r="T37" s="111">
        <v>2</v>
      </c>
      <c r="U37">
        <f t="shared" si="3"/>
        <v>0.33333333333333331</v>
      </c>
    </row>
    <row r="38" spans="2:21" x14ac:dyDescent="0.55000000000000004">
      <c r="B38">
        <v>21</v>
      </c>
      <c r="C38" t="s">
        <v>1685</v>
      </c>
      <c r="E38" s="7" t="s">
        <v>1625</v>
      </c>
      <c r="F38" s="7" t="s">
        <v>1554</v>
      </c>
      <c r="G38" s="7" t="s">
        <v>1595</v>
      </c>
      <c r="H38">
        <v>80.363</v>
      </c>
      <c r="I38">
        <v>98.831000000000003</v>
      </c>
      <c r="J38">
        <f t="shared" si="13"/>
        <v>18.468000000000004</v>
      </c>
      <c r="K38">
        <f t="shared" si="14"/>
        <v>1.7969364000000003</v>
      </c>
      <c r="L38" s="3">
        <f t="shared" si="15"/>
        <v>35.938728000000005</v>
      </c>
      <c r="M38">
        <v>154.63999999999999</v>
      </c>
      <c r="N38">
        <v>2418</v>
      </c>
      <c r="O38">
        <v>4324</v>
      </c>
      <c r="P38">
        <v>213.76</v>
      </c>
      <c r="Q38">
        <f t="shared" si="16"/>
        <v>59.120000000000005</v>
      </c>
      <c r="S38">
        <v>8</v>
      </c>
      <c r="T38">
        <v>3</v>
      </c>
      <c r="U38">
        <f t="shared" si="3"/>
        <v>0.375</v>
      </c>
    </row>
    <row r="39" spans="2:21" x14ac:dyDescent="0.55000000000000004">
      <c r="B39">
        <v>22</v>
      </c>
      <c r="C39" t="s">
        <v>1684</v>
      </c>
      <c r="E39" s="7" t="s">
        <v>1625</v>
      </c>
      <c r="F39" s="7" t="s">
        <v>1554</v>
      </c>
      <c r="G39" s="7" t="s">
        <v>1595</v>
      </c>
      <c r="H39">
        <v>80.363</v>
      </c>
      <c r="I39">
        <v>96.664000000000001</v>
      </c>
      <c r="J39">
        <f t="shared" ref="J39" si="21">I39-H39</f>
        <v>16.301000000000002</v>
      </c>
      <c r="K39">
        <f t="shared" ref="K39" si="22">J39*0.0973</f>
        <v>1.5860873000000002</v>
      </c>
      <c r="L39" s="3">
        <f t="shared" ref="L39" si="23">K39*20</f>
        <v>31.721746000000003</v>
      </c>
      <c r="M39">
        <v>154.63999999999999</v>
      </c>
      <c r="N39">
        <v>2418</v>
      </c>
      <c r="O39">
        <v>5151</v>
      </c>
      <c r="P39">
        <v>254.64</v>
      </c>
      <c r="Q39">
        <f t="shared" ref="Q39" si="24">P39-M39</f>
        <v>100</v>
      </c>
      <c r="R39" t="s">
        <v>1687</v>
      </c>
      <c r="S39" s="200"/>
      <c r="T39" s="200"/>
    </row>
    <row r="40" spans="2:21" x14ac:dyDescent="0.55000000000000004">
      <c r="B40">
        <v>23</v>
      </c>
      <c r="C40" t="s">
        <v>1686</v>
      </c>
      <c r="E40" s="7" t="s">
        <v>1625</v>
      </c>
      <c r="F40" s="7" t="s">
        <v>1554</v>
      </c>
      <c r="G40" s="7" t="s">
        <v>1595</v>
      </c>
      <c r="H40">
        <v>80.363</v>
      </c>
      <c r="I40">
        <v>93.802999999999997</v>
      </c>
      <c r="J40">
        <f t="shared" ref="J40" si="25">I40-H40</f>
        <v>13.439999999999998</v>
      </c>
      <c r="K40">
        <f t="shared" ref="K40" si="26">J40*0.0973</f>
        <v>1.3077119999999998</v>
      </c>
      <c r="L40" s="3">
        <f t="shared" ref="L40" si="27">K40*20</f>
        <v>26.154239999999994</v>
      </c>
      <c r="M40">
        <v>154.63999999999999</v>
      </c>
      <c r="N40">
        <v>2418</v>
      </c>
      <c r="O40">
        <v>5398</v>
      </c>
      <c r="P40">
        <v>266.85000000000002</v>
      </c>
      <c r="Q40">
        <f t="shared" ref="Q40" si="28">P40-M40</f>
        <v>112.21000000000004</v>
      </c>
      <c r="S40" s="200"/>
      <c r="T40" s="200"/>
    </row>
    <row r="41" spans="2:21" x14ac:dyDescent="0.55000000000000004">
      <c r="J41">
        <f t="shared" si="13"/>
        <v>0</v>
      </c>
      <c r="K41">
        <f t="shared" si="14"/>
        <v>0</v>
      </c>
      <c r="L41" s="3">
        <f t="shared" si="15"/>
        <v>0</v>
      </c>
      <c r="Q41">
        <f t="shared" si="16"/>
        <v>0</v>
      </c>
    </row>
    <row r="42" spans="2:21" x14ac:dyDescent="0.55000000000000004">
      <c r="J42">
        <f t="shared" si="13"/>
        <v>0</v>
      </c>
      <c r="K42">
        <f t="shared" si="14"/>
        <v>0</v>
      </c>
      <c r="L42" s="3">
        <f t="shared" si="15"/>
        <v>0</v>
      </c>
      <c r="Q42">
        <f t="shared" si="16"/>
        <v>0</v>
      </c>
    </row>
    <row r="43" spans="2:21" x14ac:dyDescent="0.55000000000000004">
      <c r="J43">
        <f t="shared" si="13"/>
        <v>0</v>
      </c>
      <c r="K43">
        <f t="shared" si="14"/>
        <v>0</v>
      </c>
      <c r="L43" s="3">
        <f t="shared" si="15"/>
        <v>0</v>
      </c>
      <c r="Q43">
        <f t="shared" si="16"/>
        <v>0</v>
      </c>
    </row>
    <row r="44" spans="2:21" x14ac:dyDescent="0.55000000000000004">
      <c r="J44">
        <f t="shared" si="13"/>
        <v>0</v>
      </c>
      <c r="K44">
        <f t="shared" si="14"/>
        <v>0</v>
      </c>
      <c r="L44" s="3">
        <f t="shared" si="15"/>
        <v>0</v>
      </c>
      <c r="Q44">
        <f t="shared" si="16"/>
        <v>0</v>
      </c>
    </row>
    <row r="45" spans="2:21" x14ac:dyDescent="0.55000000000000004">
      <c r="J45">
        <f t="shared" si="13"/>
        <v>0</v>
      </c>
      <c r="K45">
        <f t="shared" si="14"/>
        <v>0</v>
      </c>
      <c r="L45" s="3">
        <f t="shared" si="15"/>
        <v>0</v>
      </c>
      <c r="Q45">
        <f t="shared" si="16"/>
        <v>0</v>
      </c>
    </row>
    <row r="46" spans="2:21" x14ac:dyDescent="0.55000000000000004">
      <c r="J46">
        <f t="shared" si="13"/>
        <v>0</v>
      </c>
      <c r="K46">
        <f t="shared" si="14"/>
        <v>0</v>
      </c>
      <c r="L46" s="3">
        <f t="shared" si="15"/>
        <v>0</v>
      </c>
      <c r="Q46">
        <f t="shared" si="16"/>
        <v>0</v>
      </c>
    </row>
    <row r="47" spans="2:21" x14ac:dyDescent="0.55000000000000004">
      <c r="J47">
        <f t="shared" si="13"/>
        <v>0</v>
      </c>
      <c r="K47">
        <f t="shared" si="14"/>
        <v>0</v>
      </c>
      <c r="L47" s="3">
        <f t="shared" si="15"/>
        <v>0</v>
      </c>
      <c r="Q47">
        <f t="shared" si="16"/>
        <v>0</v>
      </c>
    </row>
    <row r="48" spans="2:21" x14ac:dyDescent="0.55000000000000004">
      <c r="J48">
        <f t="shared" si="13"/>
        <v>0</v>
      </c>
      <c r="K48">
        <f t="shared" si="14"/>
        <v>0</v>
      </c>
      <c r="L48" s="3">
        <f t="shared" si="15"/>
        <v>0</v>
      </c>
      <c r="Q48">
        <f t="shared" si="16"/>
        <v>0</v>
      </c>
    </row>
    <row r="49" spans="10:22" x14ac:dyDescent="0.55000000000000004">
      <c r="J49">
        <f t="shared" si="13"/>
        <v>0</v>
      </c>
      <c r="K49">
        <f t="shared" si="14"/>
        <v>0</v>
      </c>
      <c r="L49" s="3">
        <f t="shared" si="15"/>
        <v>0</v>
      </c>
      <c r="Q49">
        <f t="shared" si="16"/>
        <v>0</v>
      </c>
    </row>
    <row r="50" spans="10:22" x14ac:dyDescent="0.55000000000000004">
      <c r="J50">
        <f t="shared" si="13"/>
        <v>0</v>
      </c>
      <c r="K50">
        <f t="shared" si="14"/>
        <v>0</v>
      </c>
      <c r="L50" s="3">
        <f t="shared" si="15"/>
        <v>0</v>
      </c>
      <c r="Q50">
        <f t="shared" si="16"/>
        <v>0</v>
      </c>
    </row>
    <row r="51" spans="10:22" x14ac:dyDescent="0.55000000000000004">
      <c r="J51">
        <f t="shared" si="13"/>
        <v>0</v>
      </c>
      <c r="K51">
        <f t="shared" si="14"/>
        <v>0</v>
      </c>
      <c r="L51" s="3">
        <f t="shared" si="15"/>
        <v>0</v>
      </c>
      <c r="Q51">
        <f t="shared" si="16"/>
        <v>0</v>
      </c>
    </row>
    <row r="52" spans="10:22" x14ac:dyDescent="0.55000000000000004">
      <c r="J52">
        <f t="shared" si="13"/>
        <v>0</v>
      </c>
      <c r="K52">
        <f t="shared" si="14"/>
        <v>0</v>
      </c>
      <c r="L52" s="3">
        <f t="shared" si="15"/>
        <v>0</v>
      </c>
      <c r="Q52">
        <f t="shared" si="16"/>
        <v>0</v>
      </c>
    </row>
    <row r="53" spans="10:22" x14ac:dyDescent="0.55000000000000004">
      <c r="J53">
        <f t="shared" si="13"/>
        <v>0</v>
      </c>
      <c r="K53">
        <f t="shared" si="14"/>
        <v>0</v>
      </c>
      <c r="L53" s="3">
        <f t="shared" si="15"/>
        <v>0</v>
      </c>
      <c r="Q53">
        <f t="shared" si="16"/>
        <v>0</v>
      </c>
    </row>
    <row r="54" spans="10:22" x14ac:dyDescent="0.55000000000000004">
      <c r="J54">
        <f t="shared" si="13"/>
        <v>0</v>
      </c>
      <c r="K54">
        <f t="shared" si="14"/>
        <v>0</v>
      </c>
      <c r="L54" s="3">
        <f t="shared" si="15"/>
        <v>0</v>
      </c>
      <c r="Q54">
        <f t="shared" si="16"/>
        <v>0</v>
      </c>
    </row>
    <row r="55" spans="10:22" x14ac:dyDescent="0.55000000000000004">
      <c r="J55">
        <f t="shared" si="13"/>
        <v>0</v>
      </c>
      <c r="K55">
        <f t="shared" si="14"/>
        <v>0</v>
      </c>
      <c r="L55" s="3">
        <f t="shared" si="15"/>
        <v>0</v>
      </c>
      <c r="Q55">
        <f t="shared" si="16"/>
        <v>0</v>
      </c>
    </row>
    <row r="56" spans="10:22" x14ac:dyDescent="0.55000000000000004">
      <c r="J56">
        <f t="shared" si="13"/>
        <v>0</v>
      </c>
      <c r="K56">
        <f t="shared" si="14"/>
        <v>0</v>
      </c>
      <c r="L56" s="3">
        <f t="shared" si="15"/>
        <v>0</v>
      </c>
      <c r="Q56">
        <f t="shared" si="16"/>
        <v>0</v>
      </c>
    </row>
    <row r="57" spans="10:22" x14ac:dyDescent="0.55000000000000004">
      <c r="S57">
        <f>SUM(S2:S56)</f>
        <v>178</v>
      </c>
      <c r="T57">
        <f>SUM(T2:T56)</f>
        <v>26</v>
      </c>
      <c r="U57">
        <f>(SUM(U2:U3,U6:U8,U10:U11,U13:U14,U17,U23:U30,U33:U38))/(COUNT(U2:U3,U6:U8,U10:U11,U13:U14,U17,U23:U30,U33:U38))*100</f>
        <v>17.533572772543362</v>
      </c>
      <c r="V57" s="3">
        <f xml:space="preserve"> STDEV(U2:U3,U6:U8,U10:U11,U13:U14,U17,U23:U30,U33:U38)/SQRT(COUNT(U2:U3,U6:U8,U10:U11,U13:U14,U17,U23:U30,U33:U38))*100</f>
        <v>4.6154526337171538</v>
      </c>
    </row>
    <row r="58" spans="10:22" x14ac:dyDescent="0.55000000000000004">
      <c r="K58" t="s">
        <v>225</v>
      </c>
      <c r="L58" s="3">
        <f>(SUM(L2:L5,L8,L10:L12,L14:L16,L17:L19,L21,L26,L30:L31,L36,L38:L40))/(COUNT(L2:L5,L8,L10:L12,L14:L16,L17:L19,L21,L26,L30:L31,L36,L38:L40))</f>
        <v>25.327189999999995</v>
      </c>
      <c r="T58">
        <f>(T57/S57)*100</f>
        <v>14.606741573033707</v>
      </c>
    </row>
    <row r="59" spans="10:22" x14ac:dyDescent="0.55000000000000004">
      <c r="K59" t="s">
        <v>226</v>
      </c>
      <c r="L59" s="3">
        <f xml:space="preserve"> STDEV(L2:L5,L8,L10:L12,L14:L16,L17:L19,L21,L26,L30:L31,L36,L38:L40)/SQRT(COUNT(L2:L5,L8,L10:L12,L14:L16,L17:L19,L21,L26,L30:L31,L36,L38:L40))</f>
        <v>2.7621803951220278</v>
      </c>
    </row>
  </sheetData>
  <pageMargins left="0.7" right="0.7" top="0.75" bottom="0.75" header="0.3" footer="0.3"/>
  <pageSetup paperSize="9" orientation="portrait" horizontalDpi="4294967293" verticalDpi="0"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240532-16F1-4CB3-9203-7CADD68A8F66}">
  <dimension ref="A1:T95"/>
  <sheetViews>
    <sheetView topLeftCell="A40" zoomScale="85" zoomScaleNormal="85" workbookViewId="0">
      <selection activeCell="W58" sqref="W58"/>
    </sheetView>
  </sheetViews>
  <sheetFormatPr defaultRowHeight="14.4" x14ac:dyDescent="0.55000000000000004"/>
  <cols>
    <col min="1" max="1" width="3.83984375" customWidth="1"/>
    <col min="2" max="2" width="3.41796875" customWidth="1"/>
    <col min="3" max="3" width="13.05078125" customWidth="1"/>
    <col min="4" max="4" width="10.3125" customWidth="1"/>
    <col min="5" max="5" width="11.20703125" customWidth="1"/>
  </cols>
  <sheetData>
    <row r="1" spans="1:20" ht="57.6" x14ac:dyDescent="0.55000000000000004">
      <c r="A1" t="s">
        <v>922</v>
      </c>
      <c r="B1" s="3" t="s">
        <v>973</v>
      </c>
      <c r="C1" s="2" t="s">
        <v>0</v>
      </c>
      <c r="D1" s="2" t="s">
        <v>90</v>
      </c>
      <c r="E1" s="2" t="s">
        <v>88</v>
      </c>
      <c r="F1" s="2" t="s">
        <v>2</v>
      </c>
      <c r="G1" s="2" t="s">
        <v>3</v>
      </c>
      <c r="H1" s="2" t="s">
        <v>11</v>
      </c>
      <c r="I1" s="2" t="s">
        <v>12</v>
      </c>
      <c r="J1" s="2" t="s">
        <v>1267</v>
      </c>
      <c r="K1" s="2" t="s">
        <v>19</v>
      </c>
      <c r="L1" s="2" t="s">
        <v>10</v>
      </c>
      <c r="M1" s="2" t="s">
        <v>8</v>
      </c>
      <c r="N1" s="2" t="s">
        <v>9</v>
      </c>
      <c r="O1" s="2" t="s">
        <v>123</v>
      </c>
      <c r="P1" s="2" t="s">
        <v>5</v>
      </c>
      <c r="Q1" s="3" t="s">
        <v>355</v>
      </c>
      <c r="R1" s="3" t="s">
        <v>450</v>
      </c>
    </row>
    <row r="2" spans="1:20" x14ac:dyDescent="0.55000000000000004">
      <c r="A2">
        <v>1</v>
      </c>
      <c r="B2">
        <v>1</v>
      </c>
      <c r="C2" t="s">
        <v>1703</v>
      </c>
      <c r="D2" t="s">
        <v>1694</v>
      </c>
      <c r="E2" t="s">
        <v>1697</v>
      </c>
      <c r="F2" s="7">
        <v>82.049000000000007</v>
      </c>
      <c r="G2" s="7">
        <v>94.054000000000002</v>
      </c>
      <c r="H2" s="7">
        <f t="shared" ref="H2" si="0">G2-F2</f>
        <v>12.004999999999995</v>
      </c>
      <c r="I2" s="7">
        <f t="shared" ref="I2" si="1">H2*0.0973</f>
        <v>1.1680864999999996</v>
      </c>
      <c r="J2" s="19">
        <f t="shared" ref="J2" si="2">I2*20</f>
        <v>23.361729999999991</v>
      </c>
      <c r="K2" s="7">
        <v>71.930000000000007</v>
      </c>
      <c r="L2" s="7">
        <v>1420</v>
      </c>
      <c r="M2" s="7">
        <v>2007</v>
      </c>
      <c r="N2" s="7">
        <v>100.04</v>
      </c>
      <c r="O2">
        <f>N2-K2</f>
        <v>28.11</v>
      </c>
      <c r="Q2" s="7">
        <v>7</v>
      </c>
      <c r="R2" s="7">
        <v>2</v>
      </c>
      <c r="S2">
        <f>R2/Q2</f>
        <v>0.2857142857142857</v>
      </c>
    </row>
    <row r="3" spans="1:20" s="111" customFormat="1" x14ac:dyDescent="0.55000000000000004">
      <c r="C3" s="111" t="s">
        <v>1704</v>
      </c>
      <c r="D3" s="111" t="s">
        <v>1694</v>
      </c>
      <c r="E3" s="111" t="s">
        <v>1697</v>
      </c>
      <c r="F3" s="111">
        <v>71.456000000000003</v>
      </c>
      <c r="G3" s="111">
        <v>89.135999999999996</v>
      </c>
      <c r="H3" s="111">
        <f t="shared" ref="H3" si="3">G3-F3</f>
        <v>17.679999999999993</v>
      </c>
      <c r="I3" s="111">
        <f t="shared" ref="I3" si="4">H3*0.0973</f>
        <v>1.7202639999999993</v>
      </c>
      <c r="J3" s="113">
        <f t="shared" ref="J3" si="5">I3*20</f>
        <v>34.405279999999991</v>
      </c>
      <c r="K3" s="111">
        <v>71.930000000000007</v>
      </c>
      <c r="L3" s="111">
        <v>1420</v>
      </c>
      <c r="M3" s="111">
        <v>2007</v>
      </c>
      <c r="N3" s="111">
        <v>100.04</v>
      </c>
      <c r="O3" s="111">
        <f>N3-K3</f>
        <v>28.11</v>
      </c>
      <c r="Q3" s="111">
        <v>7</v>
      </c>
      <c r="R3" s="111">
        <v>2</v>
      </c>
      <c r="S3">
        <f t="shared" ref="S3:S34" si="6">R3/Q3</f>
        <v>0.2857142857142857</v>
      </c>
    </row>
    <row r="4" spans="1:20" s="7" customFormat="1" x14ac:dyDescent="0.55000000000000004">
      <c r="B4" s="7">
        <v>2</v>
      </c>
      <c r="C4" s="7" t="s">
        <v>1693</v>
      </c>
      <c r="D4" s="7" t="s">
        <v>1694</v>
      </c>
      <c r="E4" s="7" t="s">
        <v>1697</v>
      </c>
      <c r="F4" s="7">
        <v>71.456000000000003</v>
      </c>
      <c r="G4" s="7">
        <v>88.614000000000004</v>
      </c>
      <c r="H4" s="7">
        <f t="shared" ref="H4" si="7">G4-F4</f>
        <v>17.158000000000001</v>
      </c>
      <c r="I4" s="7">
        <f t="shared" ref="I4" si="8">H4*0.0973</f>
        <v>1.6694734</v>
      </c>
      <c r="J4" s="19">
        <f t="shared" ref="J4" si="9">I4*20</f>
        <v>33.389468000000001</v>
      </c>
      <c r="K4" s="7">
        <v>71.930000000000007</v>
      </c>
      <c r="L4" s="7">
        <v>1420</v>
      </c>
      <c r="M4" s="7">
        <v>6070</v>
      </c>
      <c r="N4" s="7">
        <v>320.57</v>
      </c>
      <c r="O4" s="7">
        <f>N4-K4</f>
        <v>248.64</v>
      </c>
      <c r="P4" s="7" t="s">
        <v>1705</v>
      </c>
      <c r="Q4" s="233"/>
      <c r="R4" s="233"/>
      <c r="S4"/>
    </row>
    <row r="5" spans="1:20" x14ac:dyDescent="0.55000000000000004">
      <c r="B5">
        <v>3</v>
      </c>
      <c r="C5" t="s">
        <v>1706</v>
      </c>
      <c r="D5" t="s">
        <v>1694</v>
      </c>
      <c r="E5" t="s">
        <v>1697</v>
      </c>
      <c r="F5" s="7">
        <v>87.414000000000001</v>
      </c>
      <c r="G5" s="7">
        <v>94.611999999999995</v>
      </c>
      <c r="H5" s="7">
        <f t="shared" ref="H5" si="10">G5-F5</f>
        <v>7.1979999999999933</v>
      </c>
      <c r="I5" s="7">
        <f t="shared" ref="I5" si="11">H5*0.0973</f>
        <v>0.70036539999999936</v>
      </c>
      <c r="J5" s="19">
        <f t="shared" ref="J5" si="12">I5*20</f>
        <v>14.007307999999988</v>
      </c>
      <c r="K5" s="7">
        <v>71.930000000000007</v>
      </c>
      <c r="L5" s="7">
        <v>1420</v>
      </c>
      <c r="M5" s="7">
        <v>7370</v>
      </c>
      <c r="N5" s="7">
        <v>367.37</v>
      </c>
      <c r="O5">
        <f>N5-K5</f>
        <v>295.44</v>
      </c>
      <c r="Q5" s="7">
        <v>5</v>
      </c>
      <c r="R5" s="7">
        <v>1</v>
      </c>
      <c r="S5">
        <f t="shared" si="6"/>
        <v>0.2</v>
      </c>
    </row>
    <row r="6" spans="1:20" s="111" customFormat="1" x14ac:dyDescent="0.55000000000000004">
      <c r="C6" s="111" t="s">
        <v>1707</v>
      </c>
      <c r="D6" s="111" t="s">
        <v>1694</v>
      </c>
      <c r="E6" s="111" t="s">
        <v>1697</v>
      </c>
      <c r="F6" s="111">
        <v>71.456000000000003</v>
      </c>
      <c r="G6" s="111">
        <v>84.356999999999999</v>
      </c>
      <c r="H6" s="111">
        <f t="shared" ref="H6" si="13">G6-F6</f>
        <v>12.900999999999996</v>
      </c>
      <c r="I6" s="111">
        <f t="shared" ref="I6" si="14">H6*0.0973</f>
        <v>1.2552672999999996</v>
      </c>
      <c r="J6" s="113">
        <f t="shared" ref="J6" si="15">I6*20</f>
        <v>25.105345999999994</v>
      </c>
      <c r="K6" s="111">
        <v>71.930000000000007</v>
      </c>
      <c r="L6" s="111">
        <v>1420</v>
      </c>
      <c r="M6" s="111">
        <v>7370</v>
      </c>
      <c r="N6" s="111">
        <v>367.37</v>
      </c>
      <c r="O6" s="111">
        <f>N6-K6</f>
        <v>295.44</v>
      </c>
      <c r="P6" s="111" t="s">
        <v>1708</v>
      </c>
      <c r="Q6" s="111">
        <v>5</v>
      </c>
      <c r="R6" s="111">
        <v>1</v>
      </c>
      <c r="S6">
        <f t="shared" si="6"/>
        <v>0.2</v>
      </c>
    </row>
    <row r="7" spans="1:20" x14ac:dyDescent="0.55000000000000004">
      <c r="A7">
        <v>2</v>
      </c>
      <c r="B7">
        <v>4</v>
      </c>
      <c r="C7" t="s">
        <v>1688</v>
      </c>
      <c r="D7" t="s">
        <v>1694</v>
      </c>
      <c r="E7" t="s">
        <v>1697</v>
      </c>
      <c r="F7" s="7">
        <v>87.158000000000001</v>
      </c>
      <c r="G7" s="7">
        <v>103.36799999999999</v>
      </c>
      <c r="H7" s="7">
        <f t="shared" ref="H7:H86" si="16">G7-F7</f>
        <v>16.209999999999994</v>
      </c>
      <c r="I7" s="7">
        <f t="shared" ref="I7:I86" si="17">H7*0.0973</f>
        <v>1.5772329999999994</v>
      </c>
      <c r="J7" s="19">
        <f t="shared" ref="J7:J86" si="18">I7*20</f>
        <v>31.54465999999999</v>
      </c>
      <c r="K7" s="7">
        <v>75.2</v>
      </c>
      <c r="L7" s="7">
        <v>1189</v>
      </c>
      <c r="M7" s="7">
        <v>2252</v>
      </c>
      <c r="N7" s="7">
        <v>113.51</v>
      </c>
      <c r="O7">
        <f t="shared" ref="O7:O86" si="19">N7-K7</f>
        <v>38.31</v>
      </c>
      <c r="Q7" s="7">
        <v>10</v>
      </c>
      <c r="R7" s="7">
        <v>2</v>
      </c>
      <c r="S7">
        <f t="shared" si="6"/>
        <v>0.2</v>
      </c>
    </row>
    <row r="8" spans="1:20" x14ac:dyDescent="0.55000000000000004">
      <c r="B8">
        <v>5</v>
      </c>
      <c r="C8" t="s">
        <v>1695</v>
      </c>
      <c r="D8" t="s">
        <v>1694</v>
      </c>
      <c r="E8" t="s">
        <v>1697</v>
      </c>
      <c r="F8" s="7">
        <v>76.5</v>
      </c>
      <c r="G8" s="7">
        <v>81.034999999999997</v>
      </c>
      <c r="H8" s="7">
        <f t="shared" ref="H8" si="20">G8-F8</f>
        <v>4.5349999999999966</v>
      </c>
      <c r="I8" s="7">
        <f t="shared" ref="I8" si="21">H8*0.0973</f>
        <v>0.44125549999999963</v>
      </c>
      <c r="J8" s="19">
        <f t="shared" ref="J8" si="22">I8*20</f>
        <v>8.8251099999999933</v>
      </c>
      <c r="K8" s="7">
        <v>75.2</v>
      </c>
      <c r="L8" s="7">
        <v>1189</v>
      </c>
      <c r="M8" s="7">
        <v>4224</v>
      </c>
      <c r="N8" s="7">
        <v>212.91</v>
      </c>
      <c r="O8">
        <f t="shared" ref="O8" si="23">N8-K8</f>
        <v>137.70999999999998</v>
      </c>
      <c r="Q8" s="200"/>
      <c r="R8" s="200"/>
    </row>
    <row r="9" spans="1:20" s="111" customFormat="1" x14ac:dyDescent="0.55000000000000004">
      <c r="C9" s="111" t="s">
        <v>1696</v>
      </c>
      <c r="D9" s="111" t="s">
        <v>1694</v>
      </c>
      <c r="E9" s="111" t="s">
        <v>1697</v>
      </c>
      <c r="F9" s="111">
        <v>87.158000000000001</v>
      </c>
      <c r="G9" s="111">
        <v>98.230999999999995</v>
      </c>
      <c r="H9" s="111">
        <f t="shared" ref="H9" si="24">G9-F9</f>
        <v>11.072999999999993</v>
      </c>
      <c r="I9" s="111">
        <f t="shared" ref="I9" si="25">H9*0.0973</f>
        <v>1.0774028999999994</v>
      </c>
      <c r="J9" s="113">
        <f t="shared" ref="J9" si="26">I9*20</f>
        <v>21.548057999999987</v>
      </c>
      <c r="K9" s="111">
        <v>75.2</v>
      </c>
      <c r="L9" s="111">
        <v>1189</v>
      </c>
      <c r="M9" s="111">
        <v>4224</v>
      </c>
      <c r="N9" s="111">
        <v>212.91</v>
      </c>
      <c r="O9" s="111">
        <f t="shared" ref="O9" si="27">N9-K9</f>
        <v>137.70999999999998</v>
      </c>
      <c r="Q9" s="215"/>
      <c r="R9" s="215"/>
      <c r="S9"/>
    </row>
    <row r="10" spans="1:20" x14ac:dyDescent="0.55000000000000004">
      <c r="A10">
        <v>3</v>
      </c>
      <c r="B10">
        <v>6</v>
      </c>
      <c r="C10" t="s">
        <v>1689</v>
      </c>
      <c r="D10" t="s">
        <v>1694</v>
      </c>
      <c r="E10" t="s">
        <v>1697</v>
      </c>
      <c r="F10" s="7">
        <v>84.186000000000007</v>
      </c>
      <c r="G10" s="7">
        <v>91.85</v>
      </c>
      <c r="H10" s="7">
        <f t="shared" si="16"/>
        <v>7.6639999999999873</v>
      </c>
      <c r="I10" s="7">
        <f t="shared" si="17"/>
        <v>0.74570719999999879</v>
      </c>
      <c r="J10" s="19">
        <f t="shared" si="18"/>
        <v>14.914143999999975</v>
      </c>
      <c r="K10" s="7">
        <v>37.520000000000003</v>
      </c>
      <c r="L10" s="7">
        <v>531</v>
      </c>
      <c r="M10" s="7">
        <v>3947</v>
      </c>
      <c r="N10" s="7">
        <v>201.49</v>
      </c>
      <c r="O10">
        <f t="shared" si="19"/>
        <v>163.97</v>
      </c>
      <c r="Q10" s="7">
        <v>10</v>
      </c>
      <c r="R10" s="7">
        <v>1</v>
      </c>
      <c r="S10">
        <f t="shared" si="6"/>
        <v>0.1</v>
      </c>
    </row>
    <row r="11" spans="1:20" s="111" customFormat="1" x14ac:dyDescent="0.55000000000000004">
      <c r="A11" s="111">
        <v>4</v>
      </c>
      <c r="C11" s="111" t="s">
        <v>1710</v>
      </c>
      <c r="D11" s="111" t="s">
        <v>1694</v>
      </c>
      <c r="E11" s="111" t="s">
        <v>1697</v>
      </c>
      <c r="F11" s="111">
        <v>79.180999999999997</v>
      </c>
      <c r="G11" s="111">
        <v>88.031000000000006</v>
      </c>
      <c r="H11" s="111">
        <f t="shared" si="16"/>
        <v>8.8500000000000085</v>
      </c>
      <c r="I11" s="111">
        <f t="shared" si="17"/>
        <v>0.86110500000000079</v>
      </c>
      <c r="J11" s="113">
        <f t="shared" si="18"/>
        <v>17.222100000000015</v>
      </c>
      <c r="K11" s="111">
        <v>90.17</v>
      </c>
      <c r="L11" s="111">
        <v>501</v>
      </c>
      <c r="M11" s="111">
        <v>3523</v>
      </c>
      <c r="N11" s="111">
        <v>182.67</v>
      </c>
      <c r="O11" s="111">
        <f t="shared" si="19"/>
        <v>92.499999999999986</v>
      </c>
      <c r="P11" s="111" t="s">
        <v>1709</v>
      </c>
      <c r="Q11" s="111">
        <v>9</v>
      </c>
      <c r="R11" s="111">
        <v>2</v>
      </c>
      <c r="S11">
        <f t="shared" si="6"/>
        <v>0.22222222222222221</v>
      </c>
    </row>
    <row r="12" spans="1:20" x14ac:dyDescent="0.55000000000000004">
      <c r="A12">
        <v>4</v>
      </c>
      <c r="B12">
        <v>7</v>
      </c>
      <c r="C12" t="s">
        <v>1711</v>
      </c>
      <c r="D12" t="s">
        <v>1694</v>
      </c>
      <c r="E12" t="s">
        <v>1697</v>
      </c>
      <c r="F12" s="7">
        <v>77.02</v>
      </c>
      <c r="G12" s="7">
        <v>88.436999999999998</v>
      </c>
      <c r="H12" s="7">
        <f t="shared" ref="H12" si="28">G12-F12</f>
        <v>11.417000000000002</v>
      </c>
      <c r="I12" s="7">
        <f t="shared" ref="I12" si="29">H12*0.0973</f>
        <v>1.1108741000000002</v>
      </c>
      <c r="J12" s="19">
        <f t="shared" ref="J12" si="30">I12*20</f>
        <v>22.217482000000004</v>
      </c>
      <c r="K12" s="7">
        <v>90.17</v>
      </c>
      <c r="L12" s="7">
        <v>501</v>
      </c>
      <c r="M12" s="7">
        <v>3523</v>
      </c>
      <c r="N12" s="7">
        <v>182.67</v>
      </c>
      <c r="O12">
        <f t="shared" ref="O12" si="31">N12-K12</f>
        <v>92.499999999999986</v>
      </c>
      <c r="P12" t="s">
        <v>1709</v>
      </c>
      <c r="Q12" s="7">
        <v>9</v>
      </c>
      <c r="R12" s="7">
        <v>2</v>
      </c>
      <c r="S12">
        <f t="shared" si="6"/>
        <v>0.22222222222222221</v>
      </c>
    </row>
    <row r="13" spans="1:20" s="7" customFormat="1" x14ac:dyDescent="0.55000000000000004">
      <c r="B13" s="7">
        <v>8</v>
      </c>
      <c r="C13" s="7" t="s">
        <v>1698</v>
      </c>
      <c r="D13" s="7" t="s">
        <v>1694</v>
      </c>
      <c r="E13" s="7" t="s">
        <v>1697</v>
      </c>
      <c r="F13" s="7">
        <v>77.364000000000004</v>
      </c>
      <c r="G13" s="7">
        <v>89.134</v>
      </c>
      <c r="H13" s="7">
        <f t="shared" ref="H13" si="32">G13-F13</f>
        <v>11.769999999999996</v>
      </c>
      <c r="I13" s="7">
        <f t="shared" ref="I13" si="33">H13*0.0973</f>
        <v>1.1452209999999996</v>
      </c>
      <c r="J13" s="19">
        <f t="shared" ref="J13" si="34">I13*20</f>
        <v>22.904419999999991</v>
      </c>
      <c r="K13" s="7">
        <v>90.17</v>
      </c>
      <c r="L13" s="7">
        <v>501</v>
      </c>
      <c r="M13" s="7">
        <v>4968</v>
      </c>
      <c r="N13" s="7">
        <v>257.60000000000002</v>
      </c>
      <c r="O13" s="7">
        <f t="shared" ref="O13" si="35">N13-K13</f>
        <v>167.43</v>
      </c>
      <c r="Q13" s="233"/>
      <c r="R13" s="233"/>
      <c r="S13"/>
    </row>
    <row r="14" spans="1:20" s="111" customFormat="1" x14ac:dyDescent="0.55000000000000004">
      <c r="C14" s="111" t="s">
        <v>1699</v>
      </c>
      <c r="D14" s="111" t="s">
        <v>1694</v>
      </c>
      <c r="E14" s="111" t="s">
        <v>1697</v>
      </c>
      <c r="F14" s="111">
        <v>77.02</v>
      </c>
      <c r="G14" s="111">
        <v>87.664000000000001</v>
      </c>
      <c r="H14" s="111">
        <f t="shared" ref="H14" si="36">G14-F14</f>
        <v>10.644000000000005</v>
      </c>
      <c r="I14" s="111">
        <f t="shared" ref="I14" si="37">H14*0.0973</f>
        <v>1.0356612000000005</v>
      </c>
      <c r="J14" s="113">
        <f t="shared" ref="J14" si="38">I14*20</f>
        <v>20.713224000000011</v>
      </c>
      <c r="K14" s="111">
        <v>90.17</v>
      </c>
      <c r="L14" s="111">
        <v>501</v>
      </c>
      <c r="M14" s="111">
        <v>4968</v>
      </c>
      <c r="N14" s="111">
        <v>257.60000000000002</v>
      </c>
      <c r="O14" s="111">
        <f t="shared" ref="O14" si="39">N14-K14</f>
        <v>167.43</v>
      </c>
      <c r="Q14" s="215"/>
      <c r="R14" s="215"/>
      <c r="S14"/>
    </row>
    <row r="15" spans="1:20" x14ac:dyDescent="0.55000000000000004">
      <c r="A15">
        <v>5</v>
      </c>
      <c r="B15">
        <v>9</v>
      </c>
      <c r="C15" t="s">
        <v>1701</v>
      </c>
      <c r="D15" t="s">
        <v>1694</v>
      </c>
      <c r="E15" t="s">
        <v>1697</v>
      </c>
      <c r="F15" s="7">
        <v>86.638999999999996</v>
      </c>
      <c r="G15" s="7">
        <v>95.340999999999994</v>
      </c>
      <c r="H15" s="7">
        <f t="shared" si="16"/>
        <v>8.7019999999999982</v>
      </c>
      <c r="I15" s="7">
        <f t="shared" si="17"/>
        <v>0.84670459999999981</v>
      </c>
      <c r="J15" s="19">
        <f t="shared" si="18"/>
        <v>16.934091999999996</v>
      </c>
      <c r="K15" s="7">
        <v>64.94</v>
      </c>
      <c r="L15" s="7">
        <v>676</v>
      </c>
      <c r="M15" s="7">
        <v>4507</v>
      </c>
      <c r="N15" s="7">
        <v>229.03</v>
      </c>
      <c r="O15">
        <f t="shared" si="19"/>
        <v>164.09</v>
      </c>
      <c r="Q15" s="7">
        <v>8</v>
      </c>
      <c r="R15" s="7">
        <v>2</v>
      </c>
      <c r="S15">
        <f t="shared" si="6"/>
        <v>0.25</v>
      </c>
      <c r="T15" t="s">
        <v>1700</v>
      </c>
    </row>
    <row r="16" spans="1:20" s="110" customFormat="1" x14ac:dyDescent="0.55000000000000004">
      <c r="C16" s="110" t="s">
        <v>1702</v>
      </c>
      <c r="D16" s="110" t="s">
        <v>1694</v>
      </c>
      <c r="E16" s="110" t="s">
        <v>1697</v>
      </c>
      <c r="F16" s="110">
        <v>93.427000000000007</v>
      </c>
      <c r="G16" s="110">
        <v>100.73</v>
      </c>
      <c r="H16" s="110">
        <f t="shared" ref="H16" si="40">G16-F16</f>
        <v>7.3029999999999973</v>
      </c>
      <c r="I16" s="110">
        <f t="shared" ref="I16" si="41">H16*0.0973</f>
        <v>0.71058189999999977</v>
      </c>
      <c r="J16" s="175">
        <f t="shared" ref="J16" si="42">I16*20</f>
        <v>14.211637999999995</v>
      </c>
      <c r="K16" s="110">
        <v>64.94</v>
      </c>
      <c r="L16" s="110">
        <v>676</v>
      </c>
      <c r="M16" s="110">
        <v>4507</v>
      </c>
      <c r="N16" s="110">
        <v>229.03</v>
      </c>
      <c r="O16" s="110">
        <f t="shared" ref="O16" si="43">N16-K16</f>
        <v>164.09</v>
      </c>
      <c r="Q16" s="234"/>
      <c r="R16" s="234"/>
      <c r="S16"/>
      <c r="T16" s="110" t="s">
        <v>1700</v>
      </c>
    </row>
    <row r="17" spans="1:19" x14ac:dyDescent="0.55000000000000004">
      <c r="A17">
        <v>6</v>
      </c>
      <c r="B17">
        <v>10</v>
      </c>
      <c r="C17" t="s">
        <v>1712</v>
      </c>
      <c r="D17" t="s">
        <v>1694</v>
      </c>
      <c r="E17" t="s">
        <v>1697</v>
      </c>
      <c r="F17" s="7">
        <v>92.492000000000004</v>
      </c>
      <c r="G17" s="7">
        <v>109.81</v>
      </c>
      <c r="H17" s="7">
        <f t="shared" si="16"/>
        <v>17.317999999999998</v>
      </c>
      <c r="I17" s="7">
        <f t="shared" si="17"/>
        <v>1.6850413999999998</v>
      </c>
      <c r="J17" s="19">
        <f t="shared" si="18"/>
        <v>33.700827999999994</v>
      </c>
      <c r="K17" s="7">
        <v>71</v>
      </c>
      <c r="L17" s="7">
        <v>996</v>
      </c>
      <c r="M17" s="7">
        <v>2440</v>
      </c>
      <c r="N17" s="7">
        <v>124.45</v>
      </c>
      <c r="O17">
        <f t="shared" si="19"/>
        <v>53.45</v>
      </c>
      <c r="Q17">
        <v>7</v>
      </c>
      <c r="R17">
        <v>2</v>
      </c>
      <c r="S17">
        <f t="shared" si="6"/>
        <v>0.2857142857142857</v>
      </c>
    </row>
    <row r="18" spans="1:19" s="110" customFormat="1" x14ac:dyDescent="0.55000000000000004">
      <c r="C18" s="110" t="s">
        <v>1713</v>
      </c>
      <c r="D18" s="110" t="s">
        <v>1694</v>
      </c>
      <c r="E18" s="110" t="s">
        <v>1697</v>
      </c>
      <c r="F18" s="110">
        <v>88.822999999999993</v>
      </c>
      <c r="G18" s="110">
        <v>102.227</v>
      </c>
      <c r="H18" s="110">
        <f t="shared" ref="H18" si="44">G18-F18</f>
        <v>13.404000000000011</v>
      </c>
      <c r="I18" s="110">
        <f t="shared" ref="I18" si="45">H18*0.0973</f>
        <v>1.304209200000001</v>
      </c>
      <c r="J18" s="175">
        <f t="shared" ref="J18" si="46">I18*20</f>
        <v>26.084184000000018</v>
      </c>
      <c r="K18" s="110">
        <v>71</v>
      </c>
      <c r="L18" s="110">
        <v>996</v>
      </c>
      <c r="M18" s="110">
        <v>2440</v>
      </c>
      <c r="N18" s="110">
        <v>124.45</v>
      </c>
      <c r="O18" s="110">
        <f t="shared" ref="O18" si="47">N18-K18</f>
        <v>53.45</v>
      </c>
      <c r="Q18" s="234"/>
      <c r="R18" s="234"/>
      <c r="S18"/>
    </row>
    <row r="19" spans="1:19" x14ac:dyDescent="0.55000000000000004">
      <c r="C19" t="s">
        <v>1714</v>
      </c>
      <c r="D19" t="s">
        <v>1694</v>
      </c>
      <c r="E19" t="s">
        <v>1697</v>
      </c>
      <c r="F19" t="s">
        <v>325</v>
      </c>
      <c r="H19" s="7"/>
      <c r="I19" s="7"/>
      <c r="J19" s="19"/>
      <c r="K19" s="7"/>
      <c r="M19" s="7"/>
      <c r="N19" s="7"/>
      <c r="Q19">
        <v>4</v>
      </c>
      <c r="R19">
        <v>0</v>
      </c>
      <c r="S19">
        <f t="shared" si="6"/>
        <v>0</v>
      </c>
    </row>
    <row r="20" spans="1:19" x14ac:dyDescent="0.55000000000000004">
      <c r="A20">
        <v>7</v>
      </c>
      <c r="B20">
        <v>11</v>
      </c>
      <c r="C20" t="s">
        <v>1690</v>
      </c>
      <c r="D20" t="s">
        <v>1694</v>
      </c>
      <c r="E20" t="s">
        <v>1697</v>
      </c>
      <c r="F20">
        <v>87.38</v>
      </c>
      <c r="G20">
        <v>98.686999999999998</v>
      </c>
      <c r="H20" s="7">
        <f t="shared" ref="H20" si="48">G20-F20</f>
        <v>11.307000000000002</v>
      </c>
      <c r="I20" s="7">
        <f t="shared" ref="I20" si="49">H20*0.0973</f>
        <v>1.1001711000000003</v>
      </c>
      <c r="J20" s="19">
        <f t="shared" ref="J20" si="50">I20*20</f>
        <v>22.003422000000008</v>
      </c>
      <c r="K20" s="7">
        <v>85.71</v>
      </c>
      <c r="L20">
        <v>1765</v>
      </c>
      <c r="M20" s="7">
        <v>3509</v>
      </c>
      <c r="N20" s="7">
        <v>171.57</v>
      </c>
      <c r="O20">
        <f t="shared" ref="O20" si="51">N20-K20</f>
        <v>85.86</v>
      </c>
      <c r="Q20">
        <v>9</v>
      </c>
      <c r="R20">
        <v>1</v>
      </c>
      <c r="S20">
        <f t="shared" si="6"/>
        <v>0.1111111111111111</v>
      </c>
    </row>
    <row r="21" spans="1:19" x14ac:dyDescent="0.55000000000000004">
      <c r="A21">
        <v>8</v>
      </c>
      <c r="B21">
        <v>12</v>
      </c>
      <c r="C21" t="s">
        <v>1727</v>
      </c>
      <c r="D21" t="s">
        <v>1694</v>
      </c>
      <c r="E21" t="s">
        <v>1697</v>
      </c>
      <c r="F21">
        <v>84.948999999999998</v>
      </c>
      <c r="G21">
        <v>102.47199999999999</v>
      </c>
      <c r="H21" s="7">
        <f t="shared" si="16"/>
        <v>17.522999999999996</v>
      </c>
      <c r="I21" s="7">
        <f t="shared" si="17"/>
        <v>1.7049878999999997</v>
      </c>
      <c r="J21" s="19">
        <f t="shared" si="18"/>
        <v>34.099757999999994</v>
      </c>
      <c r="K21" s="7">
        <v>53.91</v>
      </c>
      <c r="L21">
        <v>270</v>
      </c>
      <c r="M21" s="7">
        <v>1930</v>
      </c>
      <c r="N21" s="7">
        <v>96.87</v>
      </c>
      <c r="O21">
        <f t="shared" si="19"/>
        <v>42.960000000000008</v>
      </c>
      <c r="Q21">
        <v>11</v>
      </c>
      <c r="R21">
        <v>4</v>
      </c>
      <c r="S21">
        <f t="shared" si="6"/>
        <v>0.36363636363636365</v>
      </c>
    </row>
    <row r="22" spans="1:19" s="110" customFormat="1" x14ac:dyDescent="0.55000000000000004">
      <c r="C22" s="110" t="s">
        <v>1726</v>
      </c>
      <c r="D22" s="110" t="s">
        <v>1694</v>
      </c>
      <c r="E22" s="110" t="s">
        <v>1697</v>
      </c>
      <c r="F22" s="110">
        <v>77.697999999999993</v>
      </c>
      <c r="G22" s="110">
        <v>97.105000000000004</v>
      </c>
      <c r="H22" s="110">
        <f t="shared" ref="H22" si="52">G22-F22</f>
        <v>19.407000000000011</v>
      </c>
      <c r="I22" s="110">
        <f t="shared" ref="I22" si="53">H22*0.0973</f>
        <v>1.888301100000001</v>
      </c>
      <c r="J22" s="175">
        <f t="shared" ref="J22" si="54">I22*20</f>
        <v>37.766022000000021</v>
      </c>
      <c r="K22" s="110">
        <v>53.91</v>
      </c>
      <c r="L22" s="110">
        <v>270</v>
      </c>
      <c r="M22" s="110">
        <v>1930</v>
      </c>
      <c r="N22" s="110">
        <v>96.87</v>
      </c>
      <c r="O22" s="110">
        <f t="shared" ref="O22" si="55">N22-K22</f>
        <v>42.960000000000008</v>
      </c>
      <c r="Q22" s="110">
        <v>11</v>
      </c>
      <c r="R22" s="110">
        <v>4</v>
      </c>
      <c r="S22" s="110">
        <f t="shared" ref="S22" si="56">R22/Q22</f>
        <v>0.36363636363636365</v>
      </c>
    </row>
    <row r="23" spans="1:19" x14ac:dyDescent="0.55000000000000004">
      <c r="B23">
        <v>13</v>
      </c>
      <c r="C23" t="s">
        <v>1715</v>
      </c>
      <c r="D23" t="s">
        <v>1694</v>
      </c>
      <c r="E23" t="s">
        <v>1697</v>
      </c>
      <c r="F23">
        <v>84.948999999999998</v>
      </c>
      <c r="G23">
        <v>99.307000000000002</v>
      </c>
      <c r="H23" s="7">
        <f t="shared" ref="H23" si="57">G23-F23</f>
        <v>14.358000000000004</v>
      </c>
      <c r="I23" s="7">
        <f t="shared" ref="I23" si="58">H23*0.0973</f>
        <v>1.3970334000000004</v>
      </c>
      <c r="J23" s="19">
        <f t="shared" ref="J23" si="59">I23*20</f>
        <v>27.940668000000009</v>
      </c>
      <c r="K23" s="7">
        <v>53.91</v>
      </c>
      <c r="L23">
        <v>270</v>
      </c>
      <c r="M23" s="7">
        <v>2447</v>
      </c>
      <c r="N23" s="7">
        <v>122.82</v>
      </c>
      <c r="O23">
        <f t="shared" ref="O23" si="60">N23-K23</f>
        <v>68.91</v>
      </c>
      <c r="P23" t="s">
        <v>1728</v>
      </c>
      <c r="Q23" s="200"/>
      <c r="R23" s="200"/>
    </row>
    <row r="24" spans="1:19" s="110" customFormat="1" x14ac:dyDescent="0.55000000000000004">
      <c r="C24" s="110" t="s">
        <v>1716</v>
      </c>
      <c r="D24" s="110" t="s">
        <v>1694</v>
      </c>
      <c r="E24" s="110" t="s">
        <v>1697</v>
      </c>
      <c r="F24" s="110">
        <v>87.26</v>
      </c>
      <c r="G24" s="110">
        <v>113.76900000000001</v>
      </c>
      <c r="H24" s="110">
        <f t="shared" ref="H24" si="61">G24-F24</f>
        <v>26.509</v>
      </c>
      <c r="I24" s="110">
        <f t="shared" ref="I24" si="62">H24*0.0973</f>
        <v>2.5793257000000001</v>
      </c>
      <c r="J24" s="175">
        <f t="shared" ref="J24" si="63">I24*20</f>
        <v>51.586514000000001</v>
      </c>
      <c r="K24" s="110">
        <v>53.91</v>
      </c>
      <c r="L24" s="110">
        <v>270</v>
      </c>
      <c r="M24" s="110">
        <v>2447</v>
      </c>
      <c r="N24" s="110">
        <v>122.82</v>
      </c>
      <c r="O24" s="110">
        <f t="shared" ref="O24" si="64">N24-K24</f>
        <v>68.91</v>
      </c>
      <c r="Q24" s="234"/>
      <c r="R24" s="234"/>
    </row>
    <row r="25" spans="1:19" x14ac:dyDescent="0.55000000000000004">
      <c r="B25">
        <v>14</v>
      </c>
      <c r="C25" t="s">
        <v>1717</v>
      </c>
      <c r="D25" t="s">
        <v>1694</v>
      </c>
      <c r="E25" t="s">
        <v>1697</v>
      </c>
      <c r="F25">
        <v>82.950999999999993</v>
      </c>
      <c r="G25">
        <v>103.167</v>
      </c>
      <c r="H25" s="7">
        <f t="shared" ref="H25" si="65">G25-F25</f>
        <v>20.216000000000008</v>
      </c>
      <c r="I25" s="7">
        <f t="shared" ref="I25" si="66">H25*0.0973</f>
        <v>1.9670168000000008</v>
      </c>
      <c r="J25" s="19">
        <f t="shared" ref="J25" si="67">I25*20</f>
        <v>39.340336000000015</v>
      </c>
      <c r="K25" s="7">
        <v>53.91</v>
      </c>
      <c r="L25">
        <v>270</v>
      </c>
      <c r="M25" s="7">
        <v>2216</v>
      </c>
      <c r="N25" s="7">
        <v>111.23</v>
      </c>
      <c r="O25">
        <f t="shared" ref="O25" si="68">N25-K25</f>
        <v>57.320000000000007</v>
      </c>
      <c r="Q25" s="200"/>
      <c r="R25" s="200"/>
    </row>
    <row r="26" spans="1:19" x14ac:dyDescent="0.55000000000000004">
      <c r="B26" s="7">
        <v>15</v>
      </c>
      <c r="C26" t="s">
        <v>1718</v>
      </c>
      <c r="D26" t="s">
        <v>1694</v>
      </c>
      <c r="E26" t="s">
        <v>1697</v>
      </c>
      <c r="F26">
        <v>82.950999999999993</v>
      </c>
      <c r="G26" s="7">
        <v>105.43899999999999</v>
      </c>
      <c r="H26" s="7">
        <f t="shared" ref="H26" si="69">G26-F26</f>
        <v>22.488</v>
      </c>
      <c r="I26" s="7">
        <f t="shared" ref="I26" si="70">H26*0.0973</f>
        <v>2.1880823999999999</v>
      </c>
      <c r="J26" s="19">
        <f t="shared" ref="J26" si="71">I26*20</f>
        <v>43.761647999999994</v>
      </c>
      <c r="K26" s="7">
        <v>53.91</v>
      </c>
      <c r="L26">
        <v>270</v>
      </c>
      <c r="M26" s="7">
        <v>3903</v>
      </c>
      <c r="N26" s="7">
        <v>195.9</v>
      </c>
      <c r="O26">
        <f t="shared" ref="O26" si="72">N26-K26</f>
        <v>141.99</v>
      </c>
      <c r="P26" t="s">
        <v>1729</v>
      </c>
      <c r="Q26" s="200"/>
      <c r="R26" s="200"/>
    </row>
    <row r="27" spans="1:19" s="110" customFormat="1" x14ac:dyDescent="0.55000000000000004">
      <c r="B27" s="7"/>
      <c r="C27" s="110" t="s">
        <v>1719</v>
      </c>
      <c r="D27" s="110" t="s">
        <v>1694</v>
      </c>
      <c r="E27" s="110" t="s">
        <v>1697</v>
      </c>
      <c r="F27" s="110">
        <v>90.158000000000001</v>
      </c>
      <c r="G27" s="110">
        <v>101.254</v>
      </c>
      <c r="H27" s="110">
        <f t="shared" ref="H27" si="73">G27-F27</f>
        <v>11.096000000000004</v>
      </c>
      <c r="I27" s="110">
        <f t="shared" ref="I27" si="74">H27*0.0973</f>
        <v>1.0796408000000004</v>
      </c>
      <c r="J27" s="175">
        <f t="shared" ref="J27" si="75">I27*20</f>
        <v>21.592816000000006</v>
      </c>
      <c r="K27" s="110">
        <v>53.91</v>
      </c>
      <c r="L27" s="110">
        <v>270</v>
      </c>
      <c r="M27" s="110">
        <v>3903</v>
      </c>
      <c r="N27" s="110">
        <v>195.9</v>
      </c>
      <c r="O27" s="110">
        <f t="shared" ref="O27" si="76">N27-K27</f>
        <v>141.99</v>
      </c>
      <c r="P27" s="110" t="s">
        <v>1730</v>
      </c>
      <c r="Q27" s="234"/>
      <c r="R27" s="234"/>
    </row>
    <row r="28" spans="1:19" x14ac:dyDescent="0.55000000000000004">
      <c r="B28" s="7">
        <v>16</v>
      </c>
      <c r="C28" t="s">
        <v>1720</v>
      </c>
      <c r="D28" t="s">
        <v>1694</v>
      </c>
      <c r="E28" t="s">
        <v>1697</v>
      </c>
      <c r="F28">
        <v>82.950999999999993</v>
      </c>
      <c r="G28">
        <v>96.156999999999996</v>
      </c>
      <c r="H28" s="7">
        <f t="shared" ref="H28" si="77">G28-F28</f>
        <v>13.206000000000003</v>
      </c>
      <c r="I28" s="7">
        <f t="shared" ref="I28" si="78">H28*0.0973</f>
        <v>1.2849438000000002</v>
      </c>
      <c r="J28" s="19">
        <f t="shared" ref="J28" si="79">I28*20</f>
        <v>25.698876000000006</v>
      </c>
      <c r="K28" s="7">
        <v>53.91</v>
      </c>
      <c r="L28">
        <v>270</v>
      </c>
      <c r="M28" s="7">
        <v>4733</v>
      </c>
      <c r="N28" s="7">
        <v>237.56</v>
      </c>
      <c r="O28">
        <f t="shared" ref="O28" si="80">N28-K28</f>
        <v>183.65</v>
      </c>
      <c r="Q28" s="200"/>
      <c r="R28" s="200"/>
    </row>
    <row r="29" spans="1:19" s="110" customFormat="1" x14ac:dyDescent="0.55000000000000004">
      <c r="B29" s="7"/>
      <c r="C29" s="110" t="s">
        <v>1721</v>
      </c>
      <c r="D29" s="110" t="s">
        <v>1694</v>
      </c>
      <c r="E29" s="110" t="s">
        <v>1697</v>
      </c>
      <c r="F29" s="110">
        <v>90.158000000000001</v>
      </c>
      <c r="G29" s="110">
        <v>99.638999999999996</v>
      </c>
      <c r="H29" s="110">
        <f t="shared" ref="H29" si="81">G29-F29</f>
        <v>9.4809999999999945</v>
      </c>
      <c r="I29" s="110">
        <f t="shared" ref="I29" si="82">H29*0.0973</f>
        <v>0.92250129999999941</v>
      </c>
      <c r="J29" s="175">
        <f t="shared" ref="J29" si="83">I29*20</f>
        <v>18.450025999999987</v>
      </c>
      <c r="K29" s="110">
        <v>53.91</v>
      </c>
      <c r="L29" s="110">
        <v>270</v>
      </c>
      <c r="M29" s="110">
        <v>4733</v>
      </c>
      <c r="N29" s="110">
        <v>237.56</v>
      </c>
      <c r="O29" s="110">
        <f t="shared" ref="O29" si="84">N29-K29</f>
        <v>183.65</v>
      </c>
      <c r="Q29" s="234"/>
      <c r="R29" s="234"/>
    </row>
    <row r="30" spans="1:19" x14ac:dyDescent="0.55000000000000004">
      <c r="A30">
        <v>9</v>
      </c>
      <c r="B30" s="7">
        <v>17</v>
      </c>
      <c r="C30" t="s">
        <v>1691</v>
      </c>
      <c r="D30" t="s">
        <v>1694</v>
      </c>
      <c r="E30" t="s">
        <v>1697</v>
      </c>
      <c r="F30">
        <v>86.817999999999998</v>
      </c>
      <c r="G30">
        <v>101.02800000000001</v>
      </c>
      <c r="H30" s="7">
        <f t="shared" si="16"/>
        <v>14.210000000000008</v>
      </c>
      <c r="I30" s="7">
        <f t="shared" si="17"/>
        <v>1.3826330000000007</v>
      </c>
      <c r="J30" s="19">
        <f t="shared" si="18"/>
        <v>27.652660000000012</v>
      </c>
      <c r="K30" s="7">
        <v>44.77</v>
      </c>
      <c r="L30">
        <v>532</v>
      </c>
      <c r="M30" s="7">
        <v>1843</v>
      </c>
      <c r="N30" s="7">
        <v>95.07</v>
      </c>
      <c r="O30">
        <f t="shared" si="19"/>
        <v>50.29999999999999</v>
      </c>
      <c r="P30" t="s">
        <v>1036</v>
      </c>
      <c r="Q30">
        <v>18</v>
      </c>
      <c r="R30">
        <v>2</v>
      </c>
      <c r="S30">
        <f t="shared" si="6"/>
        <v>0.1111111111111111</v>
      </c>
    </row>
    <row r="31" spans="1:19" x14ac:dyDescent="0.55000000000000004">
      <c r="B31" s="7">
        <v>18</v>
      </c>
      <c r="C31" t="s">
        <v>1691</v>
      </c>
      <c r="D31" t="s">
        <v>1694</v>
      </c>
      <c r="E31" t="s">
        <v>1697</v>
      </c>
      <c r="F31">
        <v>86.817999999999998</v>
      </c>
      <c r="G31">
        <v>95.394999999999996</v>
      </c>
      <c r="H31" s="7">
        <f t="shared" si="16"/>
        <v>8.5769999999999982</v>
      </c>
      <c r="I31" s="7">
        <f t="shared" ref="I31" si="85">H31*0.0973</f>
        <v>0.83454209999999984</v>
      </c>
      <c r="J31" s="19">
        <f t="shared" ref="J31" si="86">I31*20</f>
        <v>16.690841999999996</v>
      </c>
      <c r="K31" s="7">
        <v>44.77</v>
      </c>
      <c r="L31">
        <v>532</v>
      </c>
      <c r="M31" s="7">
        <v>4254</v>
      </c>
      <c r="N31" s="7">
        <v>219.43</v>
      </c>
      <c r="O31">
        <f t="shared" ref="O31" si="87">N31-K31</f>
        <v>174.66</v>
      </c>
      <c r="Q31" s="200"/>
      <c r="R31" s="200"/>
    </row>
    <row r="32" spans="1:19" x14ac:dyDescent="0.55000000000000004">
      <c r="A32">
        <v>10</v>
      </c>
      <c r="B32" s="7">
        <v>19</v>
      </c>
      <c r="C32" t="s">
        <v>1722</v>
      </c>
      <c r="D32" t="s">
        <v>1694</v>
      </c>
      <c r="E32" t="s">
        <v>1697</v>
      </c>
      <c r="F32">
        <v>79.369</v>
      </c>
      <c r="G32">
        <v>95.763000000000005</v>
      </c>
      <c r="H32" s="7">
        <f t="shared" si="16"/>
        <v>16.394000000000005</v>
      </c>
      <c r="I32" s="7">
        <f t="shared" si="17"/>
        <v>1.5951362000000004</v>
      </c>
      <c r="J32" s="19">
        <f t="shared" si="18"/>
        <v>31.90272400000001</v>
      </c>
      <c r="K32" s="7">
        <v>116.99</v>
      </c>
      <c r="L32">
        <v>2272</v>
      </c>
      <c r="M32" s="7">
        <v>6160</v>
      </c>
      <c r="N32" s="7">
        <v>293.8</v>
      </c>
      <c r="O32">
        <f t="shared" si="19"/>
        <v>176.81</v>
      </c>
      <c r="Q32">
        <v>9</v>
      </c>
      <c r="R32">
        <v>1</v>
      </c>
      <c r="S32">
        <f t="shared" si="6"/>
        <v>0.1111111111111111</v>
      </c>
    </row>
    <row r="33" spans="1:20" s="110" customFormat="1" x14ac:dyDescent="0.55000000000000004">
      <c r="C33" s="110" t="s">
        <v>1723</v>
      </c>
      <c r="D33" s="110" t="s">
        <v>1694</v>
      </c>
      <c r="E33" s="110" t="s">
        <v>1697</v>
      </c>
      <c r="F33" s="110">
        <v>85.77</v>
      </c>
      <c r="G33" s="110">
        <v>108.367</v>
      </c>
      <c r="H33" s="110">
        <f t="shared" si="16"/>
        <v>22.597000000000008</v>
      </c>
      <c r="I33" s="110">
        <f t="shared" ref="I33" si="88">H33*0.0973</f>
        <v>2.1986881000000009</v>
      </c>
      <c r="J33" s="175">
        <f t="shared" ref="J33" si="89">I33*20</f>
        <v>43.973762000000022</v>
      </c>
      <c r="K33" s="110">
        <v>116.99</v>
      </c>
      <c r="L33" s="110">
        <v>2272</v>
      </c>
      <c r="M33" s="110">
        <v>6160</v>
      </c>
      <c r="N33" s="110">
        <v>293.8</v>
      </c>
      <c r="O33" s="110">
        <f t="shared" ref="O33" si="90">N33-K33</f>
        <v>176.81</v>
      </c>
      <c r="Q33" s="234"/>
      <c r="R33" s="234"/>
    </row>
    <row r="34" spans="1:20" x14ac:dyDescent="0.55000000000000004">
      <c r="A34">
        <v>11</v>
      </c>
      <c r="C34" t="s">
        <v>1692</v>
      </c>
      <c r="D34" t="s">
        <v>1694</v>
      </c>
      <c r="E34" t="s">
        <v>1697</v>
      </c>
      <c r="F34" t="s">
        <v>325</v>
      </c>
      <c r="H34" s="7"/>
      <c r="I34" s="7"/>
      <c r="J34" s="19"/>
      <c r="K34" s="7">
        <v>74.87</v>
      </c>
      <c r="Q34" s="11">
        <v>4</v>
      </c>
      <c r="R34" s="11">
        <v>0</v>
      </c>
      <c r="S34">
        <f t="shared" si="6"/>
        <v>0</v>
      </c>
    </row>
    <row r="35" spans="1:20" x14ac:dyDescent="0.55000000000000004">
      <c r="A35">
        <v>12</v>
      </c>
      <c r="C35" t="s">
        <v>1731</v>
      </c>
      <c r="D35" t="s">
        <v>1738</v>
      </c>
      <c r="E35" t="s">
        <v>1697</v>
      </c>
      <c r="F35" t="s">
        <v>325</v>
      </c>
      <c r="H35" s="7"/>
      <c r="I35" s="7"/>
      <c r="J35" s="19"/>
      <c r="K35" s="7">
        <v>28.91</v>
      </c>
      <c r="Q35" s="11">
        <v>11</v>
      </c>
      <c r="R35" s="11">
        <v>0</v>
      </c>
      <c r="S35">
        <f t="shared" ref="S35:S86" si="91">R35/(Q35+R35)</f>
        <v>0</v>
      </c>
    </row>
    <row r="36" spans="1:20" x14ac:dyDescent="0.55000000000000004">
      <c r="A36">
        <v>13</v>
      </c>
      <c r="C36" t="s">
        <v>1732</v>
      </c>
      <c r="D36" t="s">
        <v>1738</v>
      </c>
      <c r="E36" t="s">
        <v>1697</v>
      </c>
      <c r="F36" t="s">
        <v>325</v>
      </c>
      <c r="H36" s="7"/>
      <c r="I36" s="7"/>
      <c r="J36" s="19"/>
      <c r="K36" s="7">
        <v>34.340000000000003</v>
      </c>
      <c r="Q36" s="11">
        <v>4</v>
      </c>
      <c r="R36" s="11">
        <v>0</v>
      </c>
      <c r="S36">
        <f t="shared" si="91"/>
        <v>0</v>
      </c>
    </row>
    <row r="37" spans="1:20" x14ac:dyDescent="0.55000000000000004">
      <c r="A37">
        <v>14</v>
      </c>
      <c r="B37">
        <v>20</v>
      </c>
      <c r="C37" t="s">
        <v>1753</v>
      </c>
      <c r="D37" t="s">
        <v>1738</v>
      </c>
      <c r="E37" t="s">
        <v>1697</v>
      </c>
      <c r="F37">
        <v>78.048000000000002</v>
      </c>
      <c r="G37">
        <v>86.625</v>
      </c>
      <c r="H37" s="7">
        <f t="shared" si="16"/>
        <v>8.5769999999999982</v>
      </c>
      <c r="I37" s="7">
        <f t="shared" si="17"/>
        <v>0.83454209999999984</v>
      </c>
      <c r="J37" s="19">
        <f t="shared" si="18"/>
        <v>16.690841999999996</v>
      </c>
      <c r="K37" s="7">
        <v>62.9</v>
      </c>
      <c r="L37">
        <v>72</v>
      </c>
      <c r="M37">
        <v>4626</v>
      </c>
      <c r="N37">
        <v>233.71</v>
      </c>
      <c r="O37">
        <f t="shared" si="19"/>
        <v>170.81</v>
      </c>
      <c r="Q37" s="11">
        <v>9</v>
      </c>
      <c r="R37" s="11">
        <v>1</v>
      </c>
      <c r="S37">
        <f t="shared" si="91"/>
        <v>0.1</v>
      </c>
    </row>
    <row r="38" spans="1:20" s="110" customFormat="1" x14ac:dyDescent="0.55000000000000004">
      <c r="C38" s="110" t="s">
        <v>1754</v>
      </c>
      <c r="D38" s="110" t="s">
        <v>1738</v>
      </c>
      <c r="E38" s="110" t="s">
        <v>1697</v>
      </c>
      <c r="F38" s="110">
        <v>88.850999999999999</v>
      </c>
      <c r="G38" s="110">
        <v>97.066999999999993</v>
      </c>
      <c r="H38" s="110">
        <f t="shared" ref="H38" si="92">G38-F38</f>
        <v>8.215999999999994</v>
      </c>
      <c r="I38" s="110">
        <f t="shared" ref="I38" si="93">H38*0.0973</f>
        <v>0.79941679999999937</v>
      </c>
      <c r="J38" s="175">
        <f t="shared" ref="J38" si="94">I38*20</f>
        <v>15.988335999999988</v>
      </c>
      <c r="K38" s="110">
        <v>62.9</v>
      </c>
      <c r="L38" s="110">
        <v>72</v>
      </c>
      <c r="M38" s="110">
        <v>4626</v>
      </c>
      <c r="N38" s="110">
        <v>233.71</v>
      </c>
      <c r="O38" s="110">
        <f t="shared" ref="O38" si="95">N38-K38</f>
        <v>170.81</v>
      </c>
      <c r="Q38" s="235">
        <v>9</v>
      </c>
      <c r="R38" s="235">
        <v>1</v>
      </c>
      <c r="S38" s="110">
        <f t="shared" ref="S38" si="96">R38/(Q38+R38)</f>
        <v>0.1</v>
      </c>
    </row>
    <row r="39" spans="1:20" x14ac:dyDescent="0.55000000000000004">
      <c r="A39">
        <v>15</v>
      </c>
      <c r="C39" t="s">
        <v>1733</v>
      </c>
      <c r="D39" t="s">
        <v>1738</v>
      </c>
      <c r="E39" t="s">
        <v>1697</v>
      </c>
      <c r="F39" t="s">
        <v>325</v>
      </c>
      <c r="H39" s="7"/>
      <c r="I39" s="7"/>
      <c r="J39" s="19"/>
      <c r="K39" s="7">
        <v>150.31</v>
      </c>
      <c r="Q39" s="11">
        <v>10</v>
      </c>
      <c r="R39" s="11">
        <v>0</v>
      </c>
      <c r="S39">
        <f t="shared" si="91"/>
        <v>0</v>
      </c>
    </row>
    <row r="40" spans="1:20" x14ac:dyDescent="0.55000000000000004">
      <c r="A40">
        <v>16</v>
      </c>
      <c r="B40">
        <v>21</v>
      </c>
      <c r="C40" t="s">
        <v>1734</v>
      </c>
      <c r="D40" t="s">
        <v>1738</v>
      </c>
      <c r="E40" t="s">
        <v>1697</v>
      </c>
      <c r="F40">
        <v>73.634</v>
      </c>
      <c r="G40">
        <v>92.009</v>
      </c>
      <c r="H40" s="7">
        <f t="shared" si="16"/>
        <v>18.375</v>
      </c>
      <c r="I40" s="7">
        <f t="shared" si="17"/>
        <v>1.7878874999999999</v>
      </c>
      <c r="J40" s="19">
        <f t="shared" si="18"/>
        <v>35.757749999999994</v>
      </c>
      <c r="K40" s="7">
        <v>53.93</v>
      </c>
      <c r="L40">
        <v>862</v>
      </c>
      <c r="M40">
        <v>3689</v>
      </c>
      <c r="N40">
        <v>189.3</v>
      </c>
      <c r="O40">
        <f t="shared" si="19"/>
        <v>135.37</v>
      </c>
      <c r="Q40" s="11">
        <v>15</v>
      </c>
      <c r="R40" s="11">
        <v>2</v>
      </c>
      <c r="S40">
        <f t="shared" si="91"/>
        <v>0.11764705882352941</v>
      </c>
      <c r="T40" t="s">
        <v>1739</v>
      </c>
    </row>
    <row r="41" spans="1:20" x14ac:dyDescent="0.55000000000000004">
      <c r="A41">
        <v>17</v>
      </c>
      <c r="B41">
        <v>22</v>
      </c>
      <c r="C41" t="s">
        <v>1755</v>
      </c>
      <c r="D41" t="s">
        <v>1738</v>
      </c>
      <c r="E41" t="s">
        <v>1697</v>
      </c>
      <c r="F41">
        <v>86.305000000000007</v>
      </c>
      <c r="G41">
        <v>87.66</v>
      </c>
      <c r="H41" s="7">
        <f t="shared" si="16"/>
        <v>1.3549999999999898</v>
      </c>
      <c r="I41" s="7">
        <f t="shared" si="17"/>
        <v>0.131841499999999</v>
      </c>
      <c r="J41" s="19">
        <f t="shared" si="18"/>
        <v>2.6368299999999802</v>
      </c>
      <c r="K41" s="7">
        <v>36.74</v>
      </c>
      <c r="L41">
        <v>359</v>
      </c>
      <c r="M41">
        <v>1479</v>
      </c>
      <c r="N41">
        <v>73.040000000000006</v>
      </c>
      <c r="O41">
        <f t="shared" si="19"/>
        <v>36.300000000000004</v>
      </c>
      <c r="Q41" s="11">
        <v>8</v>
      </c>
      <c r="R41" s="11">
        <v>3</v>
      </c>
      <c r="S41">
        <f t="shared" si="91"/>
        <v>0.27272727272727271</v>
      </c>
      <c r="T41" t="s">
        <v>1740</v>
      </c>
    </row>
    <row r="42" spans="1:20" s="110" customFormat="1" x14ac:dyDescent="0.55000000000000004">
      <c r="C42" s="110" t="s">
        <v>1756</v>
      </c>
      <c r="D42" s="110" t="s">
        <v>1738</v>
      </c>
      <c r="E42" s="110" t="s">
        <v>1697</v>
      </c>
      <c r="F42" s="110">
        <v>82.01</v>
      </c>
      <c r="G42" s="110">
        <v>83.718000000000004</v>
      </c>
      <c r="H42" s="110">
        <f t="shared" ref="H42" si="97">G42-F42</f>
        <v>1.7079999999999984</v>
      </c>
      <c r="I42" s="110">
        <f t="shared" ref="I42" si="98">H42*0.0973</f>
        <v>0.16618839999999985</v>
      </c>
      <c r="J42" s="175">
        <f t="shared" ref="J42" si="99">I42*20</f>
        <v>3.3237679999999967</v>
      </c>
      <c r="K42" s="110">
        <v>36.74</v>
      </c>
      <c r="L42" s="110">
        <v>359</v>
      </c>
      <c r="M42" s="110">
        <v>1479</v>
      </c>
      <c r="N42" s="110">
        <v>73.040000000000006</v>
      </c>
      <c r="O42" s="110">
        <f t="shared" ref="O42" si="100">N42-K42</f>
        <v>36.300000000000004</v>
      </c>
      <c r="Q42" s="235">
        <v>8</v>
      </c>
      <c r="R42" s="235">
        <v>2</v>
      </c>
      <c r="S42" s="110">
        <f t="shared" ref="S42" si="101">R42/(Q42+R42)</f>
        <v>0.2</v>
      </c>
      <c r="T42" s="110" t="s">
        <v>1740</v>
      </c>
    </row>
    <row r="43" spans="1:20" x14ac:dyDescent="0.55000000000000004">
      <c r="B43">
        <v>23</v>
      </c>
      <c r="C43" t="s">
        <v>1741</v>
      </c>
      <c r="D43" t="s">
        <v>1738</v>
      </c>
      <c r="E43" t="s">
        <v>1697</v>
      </c>
      <c r="F43">
        <v>82.01</v>
      </c>
      <c r="G43">
        <v>101.536</v>
      </c>
      <c r="H43" s="7">
        <f t="shared" ref="H43" si="102">G43-F43</f>
        <v>19.525999999999996</v>
      </c>
      <c r="I43" s="7">
        <f t="shared" ref="I43" si="103">H43*0.0973</f>
        <v>1.8998797999999997</v>
      </c>
      <c r="J43" s="19">
        <f t="shared" ref="J43" si="104">I43*20</f>
        <v>37.997595999999994</v>
      </c>
      <c r="K43" s="7">
        <v>36.74</v>
      </c>
      <c r="L43">
        <v>359</v>
      </c>
      <c r="M43">
        <v>2836</v>
      </c>
      <c r="N43">
        <v>140.06</v>
      </c>
      <c r="O43">
        <f t="shared" ref="O43" si="105">N43-K43</f>
        <v>103.32</v>
      </c>
      <c r="P43" t="s">
        <v>1757</v>
      </c>
      <c r="Q43" s="200"/>
      <c r="R43" s="200"/>
    </row>
    <row r="44" spans="1:20" x14ac:dyDescent="0.55000000000000004">
      <c r="B44">
        <v>24</v>
      </c>
      <c r="C44" t="s">
        <v>1742</v>
      </c>
      <c r="D44" t="s">
        <v>1738</v>
      </c>
      <c r="E44" t="s">
        <v>1697</v>
      </c>
      <c r="F44">
        <v>78.757999999999996</v>
      </c>
      <c r="G44">
        <v>107.036</v>
      </c>
      <c r="H44" s="7">
        <f t="shared" ref="H44" si="106">G44-F44</f>
        <v>28.278000000000006</v>
      </c>
      <c r="I44" s="7">
        <f t="shared" ref="I44" si="107">H44*0.0973</f>
        <v>2.7514494000000007</v>
      </c>
      <c r="J44" s="19">
        <f t="shared" ref="J44" si="108">I44*20</f>
        <v>55.028988000000012</v>
      </c>
      <c r="K44" s="7">
        <v>183.71</v>
      </c>
      <c r="L44">
        <v>3955</v>
      </c>
      <c r="M44">
        <v>4819</v>
      </c>
      <c r="N44">
        <v>237.99</v>
      </c>
      <c r="O44">
        <f t="shared" ref="O44" si="109">N44-K44</f>
        <v>54.28</v>
      </c>
      <c r="P44" t="s">
        <v>1758</v>
      </c>
      <c r="Q44">
        <v>6</v>
      </c>
      <c r="R44">
        <v>1</v>
      </c>
      <c r="S44">
        <f>R44/(Q44+R44)</f>
        <v>0.14285714285714285</v>
      </c>
    </row>
    <row r="45" spans="1:20" x14ac:dyDescent="0.55000000000000004">
      <c r="B45">
        <v>25</v>
      </c>
      <c r="C45" t="s">
        <v>1742</v>
      </c>
      <c r="D45" t="s">
        <v>1738</v>
      </c>
      <c r="E45" t="s">
        <v>1697</v>
      </c>
      <c r="F45">
        <v>78.757999999999996</v>
      </c>
      <c r="G45">
        <v>103.551</v>
      </c>
      <c r="H45" s="7">
        <f t="shared" ref="H45" si="110">G45-F45</f>
        <v>24.793000000000006</v>
      </c>
      <c r="I45" s="7">
        <f t="shared" ref="I45" si="111">H45*0.0973</f>
        <v>2.4123589000000005</v>
      </c>
      <c r="J45" s="19">
        <f t="shared" ref="J45" si="112">I45*20</f>
        <v>48.247178000000012</v>
      </c>
      <c r="K45" s="7">
        <v>183.71</v>
      </c>
      <c r="L45">
        <v>3955</v>
      </c>
      <c r="M45">
        <v>5924</v>
      </c>
      <c r="N45">
        <v>292.56</v>
      </c>
      <c r="O45">
        <f t="shared" ref="O45" si="113">N45-K45</f>
        <v>108.85</v>
      </c>
      <c r="Q45" s="200"/>
      <c r="R45" s="200"/>
    </row>
    <row r="46" spans="1:20" x14ac:dyDescent="0.55000000000000004">
      <c r="B46">
        <v>26</v>
      </c>
      <c r="C46" t="s">
        <v>1743</v>
      </c>
      <c r="D46" t="s">
        <v>1738</v>
      </c>
      <c r="E46" t="s">
        <v>1697</v>
      </c>
      <c r="F46">
        <v>87.792000000000002</v>
      </c>
      <c r="G46">
        <v>98.475999999999999</v>
      </c>
      <c r="H46" s="7">
        <f t="shared" ref="H46" si="114">G46-F46</f>
        <v>10.683999999999997</v>
      </c>
      <c r="I46" s="7">
        <f t="shared" ref="I46" si="115">H46*0.0973</f>
        <v>1.0395531999999996</v>
      </c>
      <c r="J46" s="19">
        <f t="shared" ref="J46" si="116">I46*20</f>
        <v>20.791063999999992</v>
      </c>
      <c r="K46" s="7">
        <v>183.71</v>
      </c>
      <c r="L46">
        <v>3955</v>
      </c>
      <c r="M46">
        <v>6970</v>
      </c>
      <c r="N46">
        <v>344.22</v>
      </c>
      <c r="O46">
        <f t="shared" ref="O46" si="117">N46-K46</f>
        <v>160.51000000000002</v>
      </c>
      <c r="P46" t="s">
        <v>1687</v>
      </c>
      <c r="Q46" s="200"/>
      <c r="R46" s="200"/>
    </row>
    <row r="47" spans="1:20" x14ac:dyDescent="0.55000000000000004">
      <c r="A47">
        <v>18</v>
      </c>
      <c r="B47">
        <v>27</v>
      </c>
      <c r="C47" t="s">
        <v>1744</v>
      </c>
      <c r="D47" t="s">
        <v>1738</v>
      </c>
      <c r="E47" t="s">
        <v>1697</v>
      </c>
      <c r="F47">
        <v>82.894999999999996</v>
      </c>
      <c r="G47">
        <v>105.712</v>
      </c>
      <c r="H47" s="7">
        <f t="shared" si="16"/>
        <v>22.817000000000007</v>
      </c>
      <c r="I47" s="7">
        <f t="shared" si="17"/>
        <v>2.2200941000000007</v>
      </c>
      <c r="J47" s="19">
        <f t="shared" si="18"/>
        <v>44.401882000000015</v>
      </c>
      <c r="K47" s="7">
        <v>49.27</v>
      </c>
      <c r="L47">
        <v>81</v>
      </c>
      <c r="M47">
        <v>1668</v>
      </c>
      <c r="N47">
        <v>85.78</v>
      </c>
      <c r="O47">
        <f t="shared" si="19"/>
        <v>36.51</v>
      </c>
      <c r="Q47">
        <v>9</v>
      </c>
      <c r="R47">
        <v>5</v>
      </c>
      <c r="S47">
        <f t="shared" si="91"/>
        <v>0.35714285714285715</v>
      </c>
      <c r="T47" t="s">
        <v>1748</v>
      </c>
    </row>
    <row r="48" spans="1:20" x14ac:dyDescent="0.55000000000000004">
      <c r="B48">
        <v>28</v>
      </c>
      <c r="C48" t="s">
        <v>1745</v>
      </c>
      <c r="D48" t="s">
        <v>1738</v>
      </c>
      <c r="E48" t="s">
        <v>1697</v>
      </c>
      <c r="F48">
        <v>80.885999999999996</v>
      </c>
      <c r="G48">
        <v>97.442999999999998</v>
      </c>
      <c r="H48" s="7">
        <f t="shared" ref="H48" si="118">G48-F48</f>
        <v>16.557000000000002</v>
      </c>
      <c r="I48" s="7">
        <f t="shared" ref="I48" si="119">H48*0.0973</f>
        <v>1.6109961000000002</v>
      </c>
      <c r="J48" s="19">
        <f t="shared" ref="J48" si="120">I48*20</f>
        <v>32.219922000000004</v>
      </c>
      <c r="K48" s="7">
        <v>49.27</v>
      </c>
      <c r="L48">
        <v>81</v>
      </c>
      <c r="M48">
        <v>2327</v>
      </c>
      <c r="N48">
        <v>119.67</v>
      </c>
      <c r="O48">
        <f t="shared" ref="O48" si="121">N48-K48</f>
        <v>70.400000000000006</v>
      </c>
      <c r="Q48" s="200"/>
      <c r="R48" s="200"/>
    </row>
    <row r="49" spans="1:19" s="110" customFormat="1" x14ac:dyDescent="0.55000000000000004">
      <c r="C49" s="110" t="s">
        <v>1746</v>
      </c>
      <c r="D49" s="110" t="s">
        <v>1738</v>
      </c>
      <c r="E49" s="110" t="s">
        <v>1697</v>
      </c>
      <c r="F49" s="110">
        <v>85.07</v>
      </c>
      <c r="G49" s="110">
        <v>120.877</v>
      </c>
      <c r="H49" s="110">
        <f t="shared" ref="H49" si="122">G49-F49</f>
        <v>35.807000000000002</v>
      </c>
      <c r="I49" s="110">
        <f t="shared" ref="I49" si="123">H49*0.0973</f>
        <v>3.4840211000000001</v>
      </c>
      <c r="J49" s="175">
        <f t="shared" ref="J49" si="124">I49*20</f>
        <v>69.680422000000007</v>
      </c>
      <c r="K49" s="110">
        <v>49.27</v>
      </c>
      <c r="L49" s="110">
        <v>81</v>
      </c>
      <c r="M49" s="110">
        <v>2327</v>
      </c>
      <c r="N49" s="110">
        <v>119.67</v>
      </c>
      <c r="O49" s="110">
        <f t="shared" ref="O49" si="125">N49-K49</f>
        <v>70.400000000000006</v>
      </c>
      <c r="Q49" s="234"/>
      <c r="R49" s="234"/>
    </row>
    <row r="50" spans="1:19" x14ac:dyDescent="0.55000000000000004">
      <c r="B50">
        <v>29</v>
      </c>
      <c r="C50" t="s">
        <v>1747</v>
      </c>
      <c r="D50" t="s">
        <v>1738</v>
      </c>
      <c r="E50" t="s">
        <v>1697</v>
      </c>
      <c r="F50">
        <v>85.07</v>
      </c>
      <c r="G50">
        <v>100.97</v>
      </c>
      <c r="H50" s="7">
        <f t="shared" ref="H50" si="126">G50-F50</f>
        <v>15.900000000000006</v>
      </c>
      <c r="I50" s="7">
        <f t="shared" ref="I50" si="127">H50*0.0973</f>
        <v>1.5470700000000006</v>
      </c>
      <c r="J50" s="19">
        <f t="shared" ref="J50" si="128">I50*20</f>
        <v>30.941400000000012</v>
      </c>
      <c r="K50" s="7">
        <v>49.27</v>
      </c>
      <c r="L50">
        <v>81</v>
      </c>
      <c r="M50">
        <v>2850</v>
      </c>
      <c r="N50">
        <v>146.57</v>
      </c>
      <c r="O50">
        <f t="shared" ref="O50" si="129">N50-K50</f>
        <v>97.299999999999983</v>
      </c>
      <c r="P50" t="s">
        <v>1759</v>
      </c>
      <c r="Q50" s="200"/>
      <c r="R50" s="200"/>
    </row>
    <row r="51" spans="1:19" x14ac:dyDescent="0.55000000000000004">
      <c r="B51">
        <v>30</v>
      </c>
      <c r="C51" t="s">
        <v>1747</v>
      </c>
      <c r="D51" t="s">
        <v>1738</v>
      </c>
      <c r="E51" t="s">
        <v>1697</v>
      </c>
      <c r="F51">
        <v>80.885999999999996</v>
      </c>
      <c r="G51">
        <v>92.488</v>
      </c>
      <c r="H51" s="7">
        <f t="shared" ref="H51" si="130">G51-F51</f>
        <v>11.602000000000004</v>
      </c>
      <c r="I51" s="7">
        <f t="shared" ref="I51" si="131">H51*0.0973</f>
        <v>1.1288746000000003</v>
      </c>
      <c r="J51" s="19">
        <f t="shared" ref="J51" si="132">I51*20</f>
        <v>22.577492000000007</v>
      </c>
      <c r="K51" s="7">
        <v>49.27</v>
      </c>
      <c r="L51">
        <v>81</v>
      </c>
      <c r="M51">
        <v>3956</v>
      </c>
      <c r="N51">
        <v>203.45</v>
      </c>
      <c r="O51">
        <f t="shared" ref="O51" si="133">N51-K51</f>
        <v>154.17999999999998</v>
      </c>
      <c r="P51" t="s">
        <v>1760</v>
      </c>
      <c r="Q51" s="200"/>
      <c r="R51" s="200"/>
    </row>
    <row r="52" spans="1:19" x14ac:dyDescent="0.55000000000000004">
      <c r="A52">
        <v>19</v>
      </c>
      <c r="C52" t="s">
        <v>1735</v>
      </c>
      <c r="D52" t="s">
        <v>1738</v>
      </c>
      <c r="E52" t="s">
        <v>1697</v>
      </c>
      <c r="F52" t="s">
        <v>325</v>
      </c>
      <c r="H52" s="7"/>
      <c r="I52" s="7"/>
      <c r="J52" s="19"/>
      <c r="K52" s="7">
        <v>35.28</v>
      </c>
      <c r="Q52">
        <v>11</v>
      </c>
      <c r="R52">
        <v>0</v>
      </c>
      <c r="S52">
        <f t="shared" si="91"/>
        <v>0</v>
      </c>
    </row>
    <row r="53" spans="1:19" x14ac:dyDescent="0.55000000000000004">
      <c r="A53">
        <v>20</v>
      </c>
      <c r="B53">
        <v>31</v>
      </c>
      <c r="C53" t="s">
        <v>1750</v>
      </c>
      <c r="D53" t="s">
        <v>1738</v>
      </c>
      <c r="E53" t="s">
        <v>1697</v>
      </c>
      <c r="F53">
        <v>80.44</v>
      </c>
      <c r="G53">
        <v>96.453000000000003</v>
      </c>
      <c r="H53" s="7">
        <f t="shared" si="16"/>
        <v>16.013000000000005</v>
      </c>
      <c r="I53" s="7">
        <f t="shared" si="17"/>
        <v>1.5580649000000004</v>
      </c>
      <c r="J53" s="19">
        <f t="shared" si="18"/>
        <v>31.161298000000009</v>
      </c>
      <c r="K53" s="7">
        <v>35.049999999999997</v>
      </c>
      <c r="L53">
        <v>419</v>
      </c>
      <c r="M53">
        <v>2606</v>
      </c>
      <c r="N53">
        <v>127.2</v>
      </c>
      <c r="O53">
        <f t="shared" si="19"/>
        <v>92.15</v>
      </c>
      <c r="Q53">
        <v>12</v>
      </c>
      <c r="R53">
        <v>3</v>
      </c>
      <c r="S53">
        <f t="shared" si="91"/>
        <v>0.2</v>
      </c>
    </row>
    <row r="54" spans="1:19" s="110" customFormat="1" x14ac:dyDescent="0.55000000000000004">
      <c r="C54" s="110" t="s">
        <v>1749</v>
      </c>
      <c r="D54" s="110" t="s">
        <v>1738</v>
      </c>
      <c r="E54" s="110" t="s">
        <v>1697</v>
      </c>
      <c r="F54" s="110">
        <v>84.811999999999998</v>
      </c>
      <c r="G54" s="110">
        <v>93.962000000000003</v>
      </c>
      <c r="H54" s="110">
        <f t="shared" ref="H54:H55" si="134">G54-F54</f>
        <v>9.1500000000000057</v>
      </c>
      <c r="I54" s="110">
        <f t="shared" ref="I54:I55" si="135">H54*0.0973</f>
        <v>0.8902950000000005</v>
      </c>
      <c r="J54" s="175">
        <f t="shared" ref="J54:J55" si="136">I54*20</f>
        <v>17.805900000000008</v>
      </c>
      <c r="K54" s="110">
        <v>35.049999999999997</v>
      </c>
      <c r="L54" s="110">
        <v>419</v>
      </c>
      <c r="M54" s="110">
        <v>2606</v>
      </c>
      <c r="N54" s="110">
        <v>127.2</v>
      </c>
      <c r="O54" s="110">
        <f t="shared" ref="O54:O55" si="137">N54-K54</f>
        <v>92.15</v>
      </c>
      <c r="Q54" s="234"/>
      <c r="R54" s="234"/>
    </row>
    <row r="55" spans="1:19" x14ac:dyDescent="0.55000000000000004">
      <c r="B55">
        <v>32</v>
      </c>
      <c r="C55" t="s">
        <v>1752</v>
      </c>
      <c r="D55" t="s">
        <v>1738</v>
      </c>
      <c r="E55" t="s">
        <v>1697</v>
      </c>
      <c r="F55">
        <v>80.44</v>
      </c>
      <c r="G55">
        <v>92.055000000000007</v>
      </c>
      <c r="H55" s="7">
        <f t="shared" si="134"/>
        <v>11.615000000000009</v>
      </c>
      <c r="I55" s="7">
        <f t="shared" si="135"/>
        <v>1.130139500000001</v>
      </c>
      <c r="J55" s="19">
        <f t="shared" si="136"/>
        <v>22.60279000000002</v>
      </c>
      <c r="K55" s="7">
        <v>35.049999999999997</v>
      </c>
      <c r="L55">
        <v>419</v>
      </c>
      <c r="M55">
        <v>3572</v>
      </c>
      <c r="N55">
        <v>174.35</v>
      </c>
      <c r="O55">
        <f t="shared" si="137"/>
        <v>139.30000000000001</v>
      </c>
      <c r="P55" t="s">
        <v>1761</v>
      </c>
      <c r="Q55" s="200"/>
      <c r="R55" s="200"/>
    </row>
    <row r="56" spans="1:19" s="110" customFormat="1" x14ac:dyDescent="0.55000000000000004">
      <c r="C56" s="110" t="s">
        <v>1751</v>
      </c>
      <c r="D56" s="110" t="s">
        <v>1738</v>
      </c>
      <c r="E56" s="110" t="s">
        <v>1697</v>
      </c>
      <c r="F56" s="110">
        <v>84.811999999999998</v>
      </c>
      <c r="G56" s="110">
        <v>82.382999999999996</v>
      </c>
      <c r="H56" s="110">
        <f t="shared" ref="H56:H57" si="138">G56-F56</f>
        <v>-2.429000000000002</v>
      </c>
      <c r="I56" s="110">
        <f t="shared" ref="I56:I57" si="139">H56*0.0973</f>
        <v>-0.23634170000000018</v>
      </c>
      <c r="J56" s="175">
        <f t="shared" ref="J56:J57" si="140">I56*20</f>
        <v>-4.7268340000000038</v>
      </c>
      <c r="K56" s="110">
        <v>35.049999999999997</v>
      </c>
      <c r="L56" s="110">
        <v>419</v>
      </c>
      <c r="M56" s="110">
        <v>3572</v>
      </c>
      <c r="N56" s="110">
        <v>174.35</v>
      </c>
      <c r="O56" s="110">
        <f t="shared" ref="O56:O57" si="141">N56-K56</f>
        <v>139.30000000000001</v>
      </c>
      <c r="Q56" s="234"/>
      <c r="R56" s="234"/>
    </row>
    <row r="57" spans="1:19" x14ac:dyDescent="0.55000000000000004">
      <c r="B57">
        <v>33</v>
      </c>
      <c r="C57" t="s">
        <v>1752</v>
      </c>
      <c r="D57" t="s">
        <v>1738</v>
      </c>
      <c r="E57" t="s">
        <v>1697</v>
      </c>
      <c r="F57">
        <v>80.44</v>
      </c>
      <c r="G57">
        <v>91.81</v>
      </c>
      <c r="H57" s="7">
        <f t="shared" si="138"/>
        <v>11.370000000000005</v>
      </c>
      <c r="I57" s="7">
        <f t="shared" si="139"/>
        <v>1.1063010000000004</v>
      </c>
      <c r="J57" s="19">
        <f t="shared" si="140"/>
        <v>22.126020000000008</v>
      </c>
      <c r="K57" s="7">
        <v>35.049999999999997</v>
      </c>
      <c r="L57">
        <v>419</v>
      </c>
      <c r="M57">
        <v>5030</v>
      </c>
      <c r="N57">
        <v>245.52</v>
      </c>
      <c r="O57">
        <f t="shared" si="141"/>
        <v>210.47000000000003</v>
      </c>
      <c r="Q57" s="200"/>
      <c r="R57" s="200"/>
    </row>
    <row r="58" spans="1:19" s="110" customFormat="1" x14ac:dyDescent="0.55000000000000004">
      <c r="C58" s="110" t="s">
        <v>1751</v>
      </c>
      <c r="D58" s="110" t="s">
        <v>1738</v>
      </c>
      <c r="E58" s="110" t="s">
        <v>1697</v>
      </c>
      <c r="F58" s="110">
        <v>84.811999999999998</v>
      </c>
      <c r="G58" s="110">
        <v>91.754999999999995</v>
      </c>
      <c r="H58" s="110">
        <f t="shared" ref="H58" si="142">G58-F58</f>
        <v>6.9429999999999978</v>
      </c>
      <c r="I58" s="110">
        <f t="shared" ref="I58" si="143">H58*0.0973</f>
        <v>0.67555389999999982</v>
      </c>
      <c r="J58" s="175">
        <f t="shared" ref="J58" si="144">I58*20</f>
        <v>13.511077999999996</v>
      </c>
      <c r="K58" s="110">
        <v>35.049999999999997</v>
      </c>
      <c r="L58" s="110">
        <v>419</v>
      </c>
      <c r="M58" s="110">
        <v>5030</v>
      </c>
      <c r="N58" s="110">
        <v>245.52</v>
      </c>
      <c r="O58" s="110">
        <f t="shared" ref="O58" si="145">N58-K58</f>
        <v>210.47000000000003</v>
      </c>
      <c r="Q58" s="234"/>
      <c r="R58" s="234"/>
    </row>
    <row r="59" spans="1:19" x14ac:dyDescent="0.55000000000000004">
      <c r="A59">
        <v>21</v>
      </c>
      <c r="C59" t="s">
        <v>1736</v>
      </c>
      <c r="D59" t="s">
        <v>1738</v>
      </c>
      <c r="E59" t="s">
        <v>1697</v>
      </c>
      <c r="F59" t="s">
        <v>325</v>
      </c>
      <c r="H59" s="7"/>
      <c r="I59" s="7"/>
      <c r="J59" s="19"/>
      <c r="Q59">
        <v>6</v>
      </c>
      <c r="R59">
        <v>0</v>
      </c>
      <c r="S59">
        <f t="shared" si="91"/>
        <v>0</v>
      </c>
    </row>
    <row r="60" spans="1:19" x14ac:dyDescent="0.55000000000000004">
      <c r="A60">
        <v>22</v>
      </c>
      <c r="C60" t="s">
        <v>1737</v>
      </c>
      <c r="D60" t="s">
        <v>1738</v>
      </c>
      <c r="E60" t="s">
        <v>1697</v>
      </c>
      <c r="F60" t="s">
        <v>325</v>
      </c>
      <c r="H60" s="7"/>
      <c r="I60" s="7"/>
      <c r="J60" s="19"/>
      <c r="O60">
        <f t="shared" si="19"/>
        <v>0</v>
      </c>
      <c r="Q60">
        <v>11</v>
      </c>
      <c r="R60">
        <v>0</v>
      </c>
      <c r="S60">
        <f t="shared" si="91"/>
        <v>0</v>
      </c>
    </row>
    <row r="61" spans="1:19" x14ac:dyDescent="0.55000000000000004">
      <c r="A61">
        <v>23</v>
      </c>
      <c r="B61">
        <v>34</v>
      </c>
      <c r="C61" t="s">
        <v>1767</v>
      </c>
      <c r="D61" t="s">
        <v>1766</v>
      </c>
      <c r="E61" t="s">
        <v>1697</v>
      </c>
      <c r="F61">
        <v>89.771000000000001</v>
      </c>
      <c r="G61">
        <v>98.537000000000006</v>
      </c>
      <c r="H61" s="7">
        <f t="shared" si="16"/>
        <v>8.7660000000000053</v>
      </c>
      <c r="I61" s="7">
        <f t="shared" si="17"/>
        <v>0.85293180000000046</v>
      </c>
      <c r="J61" s="19">
        <f t="shared" si="18"/>
        <v>17.058636000000011</v>
      </c>
      <c r="K61">
        <v>94.31</v>
      </c>
      <c r="L61">
        <v>1574</v>
      </c>
      <c r="M61">
        <v>3564</v>
      </c>
      <c r="N61">
        <v>174.24</v>
      </c>
      <c r="O61">
        <f t="shared" si="19"/>
        <v>79.930000000000007</v>
      </c>
      <c r="Q61">
        <v>11</v>
      </c>
      <c r="R61">
        <v>1</v>
      </c>
      <c r="S61">
        <f t="shared" si="91"/>
        <v>8.3333333333333329E-2</v>
      </c>
    </row>
    <row r="62" spans="1:19" s="110" customFormat="1" x14ac:dyDescent="0.55000000000000004">
      <c r="C62" s="110" t="s">
        <v>1768</v>
      </c>
      <c r="D62" s="110" t="s">
        <v>1766</v>
      </c>
      <c r="E62" s="110" t="s">
        <v>1697</v>
      </c>
      <c r="F62" s="110">
        <v>85.442999999999998</v>
      </c>
      <c r="G62" s="110">
        <v>100.07</v>
      </c>
      <c r="H62" s="110">
        <f t="shared" ref="H62" si="146">G62-F62</f>
        <v>14.626999999999995</v>
      </c>
      <c r="I62" s="110">
        <f t="shared" ref="I62" si="147">H62*0.0973</f>
        <v>1.4232070999999995</v>
      </c>
      <c r="J62" s="175">
        <f t="shared" ref="J62" si="148">I62*20</f>
        <v>28.464141999999988</v>
      </c>
      <c r="K62" s="110">
        <v>94.31</v>
      </c>
      <c r="L62" s="110">
        <v>1574</v>
      </c>
      <c r="M62" s="110">
        <v>3564</v>
      </c>
      <c r="N62" s="110">
        <v>174.24</v>
      </c>
      <c r="O62" s="110">
        <f t="shared" ref="O62" si="149">N62-K62</f>
        <v>79.930000000000007</v>
      </c>
      <c r="Q62" s="110">
        <v>11</v>
      </c>
      <c r="R62" s="110">
        <v>1</v>
      </c>
      <c r="S62" s="110">
        <f t="shared" ref="S62" si="150">R62/(Q62+R62)</f>
        <v>8.3333333333333329E-2</v>
      </c>
    </row>
    <row r="63" spans="1:19" x14ac:dyDescent="0.55000000000000004">
      <c r="A63">
        <v>24</v>
      </c>
      <c r="B63">
        <v>35</v>
      </c>
      <c r="C63" t="s">
        <v>1762</v>
      </c>
      <c r="D63" t="s">
        <v>1766</v>
      </c>
      <c r="E63" t="s">
        <v>1697</v>
      </c>
      <c r="F63">
        <v>87.522000000000006</v>
      </c>
      <c r="G63">
        <v>100.855</v>
      </c>
      <c r="H63" s="7">
        <f t="shared" si="16"/>
        <v>13.332999999999998</v>
      </c>
      <c r="I63" s="7">
        <f t="shared" si="17"/>
        <v>1.2973008999999998</v>
      </c>
      <c r="J63" s="19">
        <f t="shared" si="18"/>
        <v>25.946017999999995</v>
      </c>
      <c r="K63">
        <v>100.19</v>
      </c>
      <c r="L63">
        <v>784</v>
      </c>
      <c r="M63">
        <v>3345</v>
      </c>
      <c r="N63">
        <v>166.23</v>
      </c>
      <c r="O63">
        <f t="shared" si="19"/>
        <v>66.039999999999992</v>
      </c>
      <c r="Q63">
        <v>15</v>
      </c>
      <c r="R63">
        <v>1</v>
      </c>
      <c r="S63">
        <f t="shared" si="91"/>
        <v>6.25E-2</v>
      </c>
    </row>
    <row r="64" spans="1:19" x14ac:dyDescent="0.55000000000000004">
      <c r="A64">
        <v>25</v>
      </c>
      <c r="C64" t="s">
        <v>1763</v>
      </c>
      <c r="D64" t="s">
        <v>1766</v>
      </c>
      <c r="E64" t="s">
        <v>1697</v>
      </c>
      <c r="F64" t="s">
        <v>325</v>
      </c>
      <c r="H64" s="7"/>
      <c r="I64" s="7"/>
      <c r="J64" s="19"/>
      <c r="K64">
        <v>53.72</v>
      </c>
      <c r="Q64">
        <v>13</v>
      </c>
      <c r="R64">
        <v>0</v>
      </c>
      <c r="S64">
        <f t="shared" si="91"/>
        <v>0</v>
      </c>
    </row>
    <row r="65" spans="1:20" x14ac:dyDescent="0.55000000000000004">
      <c r="A65">
        <v>26</v>
      </c>
      <c r="B65">
        <v>36</v>
      </c>
      <c r="C65" t="s">
        <v>1770</v>
      </c>
      <c r="D65" t="s">
        <v>1766</v>
      </c>
      <c r="E65" t="s">
        <v>1697</v>
      </c>
      <c r="F65">
        <v>76.415000000000006</v>
      </c>
      <c r="G65">
        <v>95.947000000000003</v>
      </c>
      <c r="H65" s="7">
        <f t="shared" si="16"/>
        <v>19.531999999999996</v>
      </c>
      <c r="I65" s="7">
        <f t="shared" si="17"/>
        <v>1.9004635999999997</v>
      </c>
      <c r="J65" s="19">
        <f t="shared" si="18"/>
        <v>38.009271999999996</v>
      </c>
      <c r="K65">
        <v>188.54</v>
      </c>
      <c r="L65">
        <v>3308</v>
      </c>
      <c r="M65">
        <v>4445</v>
      </c>
      <c r="N65">
        <v>225.29</v>
      </c>
      <c r="O65">
        <f t="shared" si="19"/>
        <v>36.75</v>
      </c>
      <c r="P65" t="s">
        <v>1784</v>
      </c>
      <c r="Q65">
        <v>10</v>
      </c>
      <c r="R65">
        <v>4</v>
      </c>
      <c r="S65">
        <f t="shared" si="91"/>
        <v>0.2857142857142857</v>
      </c>
    </row>
    <row r="66" spans="1:20" x14ac:dyDescent="0.55000000000000004">
      <c r="B66">
        <v>37</v>
      </c>
      <c r="C66" t="s">
        <v>1769</v>
      </c>
      <c r="D66" t="s">
        <v>1766</v>
      </c>
      <c r="E66" t="s">
        <v>1697</v>
      </c>
      <c r="F66">
        <v>86.501000000000005</v>
      </c>
      <c r="G66">
        <v>107.29900000000001</v>
      </c>
      <c r="H66" s="7">
        <f t="shared" ref="H66" si="151">G66-F66</f>
        <v>20.798000000000002</v>
      </c>
      <c r="I66" s="7">
        <f t="shared" ref="I66" si="152">H66*0.0973</f>
        <v>2.0236453999999999</v>
      </c>
      <c r="J66" s="19">
        <f t="shared" ref="J66" si="153">I66*20</f>
        <v>40.472907999999997</v>
      </c>
      <c r="K66">
        <v>188.54</v>
      </c>
      <c r="L66">
        <v>3308</v>
      </c>
      <c r="M66">
        <v>4601</v>
      </c>
      <c r="N66">
        <v>233.19</v>
      </c>
      <c r="O66">
        <f t="shared" ref="O66" si="154">N66-K66</f>
        <v>44.650000000000006</v>
      </c>
      <c r="P66" t="s">
        <v>1788</v>
      </c>
      <c r="Q66" s="200"/>
      <c r="R66" s="200"/>
    </row>
    <row r="67" spans="1:20" x14ac:dyDescent="0.55000000000000004">
      <c r="B67">
        <v>38</v>
      </c>
      <c r="C67" t="s">
        <v>1785</v>
      </c>
      <c r="D67" t="s">
        <v>1766</v>
      </c>
      <c r="E67" t="s">
        <v>1697</v>
      </c>
      <c r="F67">
        <v>86.501000000000005</v>
      </c>
      <c r="G67">
        <v>104.904</v>
      </c>
      <c r="H67" s="7">
        <f t="shared" ref="H67" si="155">G67-F67</f>
        <v>18.402999999999992</v>
      </c>
      <c r="I67" s="7">
        <f t="shared" ref="I67" si="156">H67*0.0973</f>
        <v>1.7906118999999991</v>
      </c>
      <c r="J67" s="19">
        <f t="shared" ref="J67" si="157">I67*20</f>
        <v>35.812237999999979</v>
      </c>
      <c r="K67">
        <v>188.54</v>
      </c>
      <c r="L67">
        <v>3308</v>
      </c>
      <c r="M67">
        <v>4914</v>
      </c>
      <c r="N67">
        <v>249.06</v>
      </c>
      <c r="O67">
        <f t="shared" ref="O67" si="158">N67-K67</f>
        <v>60.52000000000001</v>
      </c>
      <c r="Q67" s="200"/>
      <c r="R67" s="200"/>
    </row>
    <row r="68" spans="1:20" x14ac:dyDescent="0.55000000000000004">
      <c r="B68">
        <v>39</v>
      </c>
      <c r="C68" t="s">
        <v>1786</v>
      </c>
      <c r="D68" t="s">
        <v>1766</v>
      </c>
      <c r="E68" t="s">
        <v>1697</v>
      </c>
      <c r="F68">
        <v>87.623999999999995</v>
      </c>
      <c r="G68">
        <v>102.048</v>
      </c>
      <c r="H68" s="7">
        <f t="shared" ref="H68" si="159">G68-F68</f>
        <v>14.424000000000007</v>
      </c>
      <c r="I68" s="7">
        <f t="shared" ref="I68" si="160">H68*0.0973</f>
        <v>1.4034552000000007</v>
      </c>
      <c r="J68" s="19">
        <f t="shared" ref="J68" si="161">I68*20</f>
        <v>28.069104000000014</v>
      </c>
      <c r="K68">
        <v>188.54</v>
      </c>
      <c r="L68">
        <v>3308</v>
      </c>
      <c r="M68">
        <v>6822</v>
      </c>
      <c r="N68">
        <v>245.76</v>
      </c>
      <c r="O68">
        <f t="shared" ref="O68" si="162">N68-K68</f>
        <v>57.22</v>
      </c>
      <c r="Q68" s="200"/>
      <c r="R68" s="200"/>
    </row>
    <row r="69" spans="1:20" s="110" customFormat="1" x14ac:dyDescent="0.55000000000000004">
      <c r="C69" s="110" t="s">
        <v>1787</v>
      </c>
      <c r="D69" s="110" t="s">
        <v>1766</v>
      </c>
      <c r="E69" s="110" t="s">
        <v>1697</v>
      </c>
      <c r="F69" s="110">
        <v>86.501000000000005</v>
      </c>
      <c r="G69" s="110">
        <v>100.724</v>
      </c>
      <c r="H69" s="110">
        <f t="shared" ref="H69" si="163">G69-F69</f>
        <v>14.222999999999999</v>
      </c>
      <c r="I69" s="110">
        <f t="shared" ref="I69" si="164">H69*0.0973</f>
        <v>1.3838978999999998</v>
      </c>
      <c r="J69" s="175">
        <f t="shared" ref="J69" si="165">I69*20</f>
        <v>27.677957999999997</v>
      </c>
      <c r="K69" s="110">
        <v>188.54</v>
      </c>
      <c r="L69" s="110">
        <v>3308</v>
      </c>
      <c r="M69" s="110">
        <v>6822</v>
      </c>
      <c r="N69" s="110">
        <v>245.76</v>
      </c>
      <c r="O69" s="110">
        <f t="shared" ref="O69" si="166">N69-K69</f>
        <v>57.22</v>
      </c>
      <c r="P69" s="110" t="s">
        <v>1789</v>
      </c>
      <c r="Q69" s="234"/>
      <c r="R69" s="234"/>
    </row>
    <row r="70" spans="1:20" x14ac:dyDescent="0.55000000000000004">
      <c r="A70">
        <v>27</v>
      </c>
      <c r="C70" t="s">
        <v>1771</v>
      </c>
      <c r="D70" t="s">
        <v>1766</v>
      </c>
      <c r="E70" t="s">
        <v>1697</v>
      </c>
      <c r="F70" t="s">
        <v>325</v>
      </c>
      <c r="H70" s="7"/>
      <c r="I70" s="7"/>
      <c r="J70" s="19"/>
      <c r="K70" t="s">
        <v>1090</v>
      </c>
      <c r="Q70">
        <v>3</v>
      </c>
      <c r="R70">
        <v>0</v>
      </c>
      <c r="S70">
        <f t="shared" si="91"/>
        <v>0</v>
      </c>
    </row>
    <row r="71" spans="1:20" x14ac:dyDescent="0.55000000000000004">
      <c r="C71" t="s">
        <v>1772</v>
      </c>
      <c r="D71" t="s">
        <v>1766</v>
      </c>
      <c r="E71" t="s">
        <v>1697</v>
      </c>
      <c r="F71" t="s">
        <v>325</v>
      </c>
      <c r="H71" s="7"/>
      <c r="I71" s="7"/>
      <c r="J71" s="19"/>
      <c r="K71">
        <v>54.15</v>
      </c>
      <c r="Q71">
        <v>10</v>
      </c>
      <c r="R71">
        <v>0</v>
      </c>
      <c r="S71">
        <f t="shared" ref="S71" si="167">R71/(Q71+R71)</f>
        <v>0</v>
      </c>
    </row>
    <row r="72" spans="1:20" x14ac:dyDescent="0.55000000000000004">
      <c r="A72">
        <v>28</v>
      </c>
      <c r="C72" t="s">
        <v>1773</v>
      </c>
      <c r="D72" t="s">
        <v>1766</v>
      </c>
      <c r="E72" t="s">
        <v>1697</v>
      </c>
      <c r="F72" t="s">
        <v>325</v>
      </c>
      <c r="H72" s="7"/>
      <c r="I72" s="7"/>
      <c r="J72" s="19"/>
      <c r="K72" t="s">
        <v>1090</v>
      </c>
      <c r="Q72">
        <v>12</v>
      </c>
      <c r="R72">
        <v>0</v>
      </c>
      <c r="S72">
        <f t="shared" si="91"/>
        <v>0</v>
      </c>
    </row>
    <row r="73" spans="1:20" x14ac:dyDescent="0.55000000000000004">
      <c r="A73">
        <v>29</v>
      </c>
      <c r="C73" t="s">
        <v>1774</v>
      </c>
      <c r="D73" t="s">
        <v>1766</v>
      </c>
      <c r="E73" t="s">
        <v>1697</v>
      </c>
      <c r="F73" t="s">
        <v>325</v>
      </c>
      <c r="H73" s="7"/>
      <c r="I73" s="7"/>
      <c r="J73" s="19"/>
      <c r="K73">
        <v>116.55</v>
      </c>
      <c r="O73">
        <f t="shared" ref="O73" si="168">N73-K73</f>
        <v>-116.55</v>
      </c>
      <c r="Q73">
        <v>2</v>
      </c>
      <c r="R73">
        <v>0</v>
      </c>
      <c r="S73">
        <f t="shared" ref="S73" si="169">R73/(Q73+R73)</f>
        <v>0</v>
      </c>
      <c r="T73" t="s">
        <v>1775</v>
      </c>
    </row>
    <row r="74" spans="1:20" x14ac:dyDescent="0.55000000000000004">
      <c r="A74">
        <v>30</v>
      </c>
      <c r="B74">
        <v>40</v>
      </c>
      <c r="C74" t="s">
        <v>1776</v>
      </c>
      <c r="D74" t="s">
        <v>1766</v>
      </c>
      <c r="E74" t="s">
        <v>1697</v>
      </c>
      <c r="F74">
        <v>92.180999999999997</v>
      </c>
      <c r="G74">
        <v>97.373000000000005</v>
      </c>
      <c r="H74" s="7">
        <f t="shared" si="16"/>
        <v>5.1920000000000073</v>
      </c>
      <c r="I74" s="7">
        <f t="shared" si="17"/>
        <v>0.50518160000000067</v>
      </c>
      <c r="J74" s="19">
        <f t="shared" si="18"/>
        <v>10.103632000000013</v>
      </c>
      <c r="K74">
        <v>58.36</v>
      </c>
      <c r="L74">
        <v>59</v>
      </c>
      <c r="M74">
        <v>2053</v>
      </c>
      <c r="N74">
        <v>104.01</v>
      </c>
      <c r="O74">
        <f t="shared" si="19"/>
        <v>45.650000000000006</v>
      </c>
      <c r="P74" t="s">
        <v>1790</v>
      </c>
      <c r="Q74">
        <v>14</v>
      </c>
      <c r="R74">
        <v>4</v>
      </c>
      <c r="S74">
        <f t="shared" si="91"/>
        <v>0.22222222222222221</v>
      </c>
    </row>
    <row r="75" spans="1:20" x14ac:dyDescent="0.55000000000000004">
      <c r="B75">
        <v>41</v>
      </c>
      <c r="C75" t="s">
        <v>1777</v>
      </c>
      <c r="D75" t="s">
        <v>1766</v>
      </c>
      <c r="E75" t="s">
        <v>1697</v>
      </c>
      <c r="F75">
        <v>92.180999999999997</v>
      </c>
      <c r="G75">
        <v>95.045000000000002</v>
      </c>
      <c r="H75" s="7">
        <f t="shared" ref="H75" si="170">G75-F75</f>
        <v>2.8640000000000043</v>
      </c>
      <c r="I75" s="7">
        <f t="shared" ref="I75" si="171">H75*0.0973</f>
        <v>0.27866720000000039</v>
      </c>
      <c r="J75" s="19">
        <f t="shared" ref="J75" si="172">I75*20</f>
        <v>5.5733440000000076</v>
      </c>
      <c r="K75">
        <v>58.36</v>
      </c>
      <c r="L75">
        <v>59</v>
      </c>
      <c r="M75">
        <v>2308</v>
      </c>
      <c r="N75">
        <v>116.93</v>
      </c>
      <c r="O75">
        <f t="shared" ref="O75" si="173">N75-K75</f>
        <v>58.570000000000007</v>
      </c>
      <c r="Q75" s="236"/>
      <c r="R75" s="236"/>
    </row>
    <row r="76" spans="1:20" x14ac:dyDescent="0.55000000000000004">
      <c r="B76">
        <v>42</v>
      </c>
      <c r="C76" t="s">
        <v>1778</v>
      </c>
      <c r="D76" t="s">
        <v>1766</v>
      </c>
      <c r="E76" t="s">
        <v>1697</v>
      </c>
      <c r="F76">
        <v>92.180999999999997</v>
      </c>
      <c r="G76">
        <v>98.87</v>
      </c>
      <c r="H76" s="7">
        <f t="shared" ref="H76" si="174">G76-F76</f>
        <v>6.6890000000000072</v>
      </c>
      <c r="I76" s="7">
        <f t="shared" ref="I76" si="175">H76*0.0973</f>
        <v>0.65083970000000069</v>
      </c>
      <c r="J76" s="19">
        <f t="shared" ref="J76" si="176">I76*20</f>
        <v>13.016794000000013</v>
      </c>
      <c r="K76">
        <v>58.36</v>
      </c>
      <c r="L76">
        <v>59</v>
      </c>
      <c r="M76">
        <v>2532</v>
      </c>
      <c r="N76">
        <v>128.28</v>
      </c>
      <c r="O76">
        <f t="shared" ref="O76" si="177">N76-K76</f>
        <v>69.92</v>
      </c>
      <c r="Q76" s="236"/>
      <c r="R76" s="236"/>
    </row>
    <row r="77" spans="1:20" x14ac:dyDescent="0.55000000000000004">
      <c r="B77">
        <v>43</v>
      </c>
      <c r="C77" t="s">
        <v>1779</v>
      </c>
      <c r="D77" t="s">
        <v>1766</v>
      </c>
      <c r="E77" t="s">
        <v>1697</v>
      </c>
      <c r="F77">
        <v>94.108000000000004</v>
      </c>
      <c r="G77">
        <v>104.19199999999999</v>
      </c>
      <c r="H77" s="7">
        <f t="shared" ref="H77" si="178">G77-F77</f>
        <v>10.083999999999989</v>
      </c>
      <c r="I77" s="7">
        <f t="shared" ref="I77" si="179">H77*0.0973</f>
        <v>0.98117319999999886</v>
      </c>
      <c r="J77" s="19">
        <f t="shared" ref="J77" si="180">I77*20</f>
        <v>19.623463999999977</v>
      </c>
      <c r="K77">
        <v>58.36</v>
      </c>
      <c r="L77">
        <v>59</v>
      </c>
      <c r="M77">
        <v>4006</v>
      </c>
      <c r="N77">
        <v>202.95</v>
      </c>
      <c r="O77">
        <f t="shared" ref="O77" si="181">N77-K77</f>
        <v>144.58999999999997</v>
      </c>
      <c r="P77" t="s">
        <v>1791</v>
      </c>
      <c r="Q77" s="236"/>
      <c r="R77" s="236"/>
    </row>
    <row r="78" spans="1:20" x14ac:dyDescent="0.55000000000000004">
      <c r="A78">
        <v>31</v>
      </c>
      <c r="B78">
        <v>44</v>
      </c>
      <c r="C78" t="s">
        <v>1764</v>
      </c>
      <c r="D78" t="s">
        <v>1766</v>
      </c>
      <c r="E78" t="s">
        <v>1697</v>
      </c>
      <c r="F78">
        <v>85.516999999999996</v>
      </c>
      <c r="G78">
        <v>99.415999999999997</v>
      </c>
      <c r="H78" s="7">
        <f t="shared" si="16"/>
        <v>13.899000000000001</v>
      </c>
      <c r="I78" s="7">
        <f t="shared" si="17"/>
        <v>1.3523727000000001</v>
      </c>
      <c r="J78" s="19">
        <f t="shared" si="18"/>
        <v>27.047454000000002</v>
      </c>
      <c r="K78">
        <v>69.7</v>
      </c>
      <c r="L78">
        <v>805</v>
      </c>
      <c r="M78">
        <v>3506</v>
      </c>
      <c r="N78">
        <v>184.02</v>
      </c>
      <c r="O78">
        <f t="shared" si="19"/>
        <v>114.32000000000001</v>
      </c>
      <c r="Q78">
        <v>10</v>
      </c>
      <c r="R78">
        <v>1</v>
      </c>
      <c r="S78">
        <f t="shared" si="91"/>
        <v>9.0909090909090912E-2</v>
      </c>
    </row>
    <row r="79" spans="1:20" x14ac:dyDescent="0.55000000000000004">
      <c r="A79">
        <v>32</v>
      </c>
      <c r="C79" t="s">
        <v>1765</v>
      </c>
      <c r="D79" t="s">
        <v>1766</v>
      </c>
      <c r="E79" t="s">
        <v>1697</v>
      </c>
      <c r="F79" t="s">
        <v>325</v>
      </c>
      <c r="H79" s="7"/>
      <c r="I79" s="7"/>
      <c r="J79" s="19"/>
      <c r="K79">
        <v>76.56</v>
      </c>
      <c r="Q79">
        <v>13</v>
      </c>
      <c r="R79">
        <v>0</v>
      </c>
      <c r="S79">
        <f t="shared" si="91"/>
        <v>0</v>
      </c>
    </row>
    <row r="80" spans="1:20" x14ac:dyDescent="0.55000000000000004">
      <c r="A80">
        <v>33</v>
      </c>
      <c r="B80">
        <v>45</v>
      </c>
      <c r="C80" t="s">
        <v>1793</v>
      </c>
      <c r="D80" t="s">
        <v>1766</v>
      </c>
      <c r="E80" t="s">
        <v>1697</v>
      </c>
      <c r="F80">
        <v>87.486999999999995</v>
      </c>
      <c r="G80">
        <v>92.840999999999994</v>
      </c>
      <c r="H80" s="7">
        <f t="shared" si="16"/>
        <v>5.3539999999999992</v>
      </c>
      <c r="I80" s="7">
        <f t="shared" si="17"/>
        <v>0.52094419999999986</v>
      </c>
      <c r="J80" s="19">
        <f t="shared" si="18"/>
        <v>10.418883999999997</v>
      </c>
      <c r="K80">
        <v>14.44</v>
      </c>
      <c r="L80">
        <v>883</v>
      </c>
      <c r="M80">
        <v>1437</v>
      </c>
      <c r="N80">
        <v>73.84</v>
      </c>
      <c r="O80">
        <f t="shared" si="19"/>
        <v>59.400000000000006</v>
      </c>
      <c r="Q80">
        <v>10</v>
      </c>
      <c r="R80">
        <v>1</v>
      </c>
      <c r="S80">
        <f t="shared" si="91"/>
        <v>9.0909090909090912E-2</v>
      </c>
    </row>
    <row r="81" spans="1:20" s="110" customFormat="1" x14ac:dyDescent="0.55000000000000004">
      <c r="C81" s="110" t="s">
        <v>1792</v>
      </c>
      <c r="D81" s="110" t="s">
        <v>1766</v>
      </c>
      <c r="E81" s="110" t="s">
        <v>1697</v>
      </c>
      <c r="F81" s="110">
        <v>83.325999999999993</v>
      </c>
      <c r="G81" s="110">
        <v>84.484999999999999</v>
      </c>
      <c r="H81" s="110">
        <f t="shared" ref="H81" si="182">G81-F81</f>
        <v>1.159000000000006</v>
      </c>
      <c r="I81" s="110">
        <f t="shared" ref="I81" si="183">H81*0.0973</f>
        <v>0.11277070000000058</v>
      </c>
      <c r="J81" s="175">
        <f t="shared" ref="J81" si="184">I81*20</f>
        <v>2.2554140000000116</v>
      </c>
      <c r="K81" s="110">
        <v>14.44</v>
      </c>
      <c r="L81" s="110">
        <v>883</v>
      </c>
      <c r="M81" s="110">
        <v>1437</v>
      </c>
      <c r="N81" s="110">
        <v>73.84</v>
      </c>
      <c r="O81" s="110">
        <f t="shared" ref="O81" si="185">N81-K81</f>
        <v>59.400000000000006</v>
      </c>
      <c r="Q81" s="110">
        <v>10</v>
      </c>
      <c r="R81" s="110">
        <v>1</v>
      </c>
      <c r="S81" s="110">
        <f t="shared" ref="S81" si="186">R81/(Q81+R81)</f>
        <v>9.0909090909090912E-2</v>
      </c>
    </row>
    <row r="82" spans="1:20" x14ac:dyDescent="0.55000000000000004">
      <c r="A82">
        <v>34</v>
      </c>
      <c r="B82">
        <v>46</v>
      </c>
      <c r="C82" t="s">
        <v>1780</v>
      </c>
      <c r="D82" t="s">
        <v>1766</v>
      </c>
      <c r="E82" t="s">
        <v>1697</v>
      </c>
      <c r="F82">
        <v>89.402000000000001</v>
      </c>
      <c r="G82">
        <v>111.571</v>
      </c>
      <c r="H82" s="7">
        <f t="shared" si="16"/>
        <v>22.168999999999997</v>
      </c>
      <c r="I82" s="7">
        <f t="shared" si="17"/>
        <v>2.1570436999999996</v>
      </c>
      <c r="J82" s="19">
        <f t="shared" si="18"/>
        <v>43.14087399999999</v>
      </c>
      <c r="K82">
        <v>40.29</v>
      </c>
      <c r="L82">
        <v>360</v>
      </c>
      <c r="M82">
        <v>2333</v>
      </c>
      <c r="N82">
        <v>114.09</v>
      </c>
      <c r="O82">
        <f t="shared" si="19"/>
        <v>73.800000000000011</v>
      </c>
      <c r="Q82">
        <v>11</v>
      </c>
      <c r="R82">
        <v>2</v>
      </c>
      <c r="S82">
        <f t="shared" si="91"/>
        <v>0.15384615384615385</v>
      </c>
    </row>
    <row r="83" spans="1:20" s="110" customFormat="1" x14ac:dyDescent="0.55000000000000004">
      <c r="C83" s="110" t="s">
        <v>1781</v>
      </c>
      <c r="D83" s="110" t="s">
        <v>1766</v>
      </c>
      <c r="E83" s="110" t="s">
        <v>1697</v>
      </c>
      <c r="F83" s="110">
        <v>86.093000000000004</v>
      </c>
      <c r="G83" s="110">
        <v>104.646</v>
      </c>
      <c r="H83" s="110">
        <f t="shared" ref="H83:H84" si="187">G83-F83</f>
        <v>18.552999999999997</v>
      </c>
      <c r="I83" s="110">
        <f t="shared" ref="I83:I84" si="188">H83*0.0973</f>
        <v>1.8052068999999997</v>
      </c>
      <c r="J83" s="175">
        <f t="shared" ref="J83:J84" si="189">I83*20</f>
        <v>36.104137999999992</v>
      </c>
      <c r="K83" s="110">
        <v>40.29</v>
      </c>
      <c r="L83" s="110">
        <v>360</v>
      </c>
      <c r="M83" s="110">
        <v>2333</v>
      </c>
      <c r="N83" s="110">
        <v>114.09</v>
      </c>
      <c r="O83" s="110">
        <f t="shared" ref="O83:O84" si="190">N83-K83</f>
        <v>73.800000000000011</v>
      </c>
      <c r="Q83" s="237"/>
      <c r="R83" s="237"/>
    </row>
    <row r="84" spans="1:20" x14ac:dyDescent="0.55000000000000004">
      <c r="B84">
        <v>47</v>
      </c>
      <c r="C84" t="s">
        <v>1782</v>
      </c>
      <c r="D84" t="s">
        <v>1766</v>
      </c>
      <c r="E84" t="s">
        <v>1697</v>
      </c>
      <c r="F84">
        <v>89.402000000000001</v>
      </c>
      <c r="G84">
        <v>103.66200000000001</v>
      </c>
      <c r="H84" s="7">
        <f t="shared" si="187"/>
        <v>14.260000000000005</v>
      </c>
      <c r="I84" s="7">
        <f t="shared" si="188"/>
        <v>1.3874980000000006</v>
      </c>
      <c r="J84" s="19">
        <f t="shared" si="189"/>
        <v>27.749960000000012</v>
      </c>
      <c r="K84">
        <v>40.29</v>
      </c>
      <c r="L84">
        <v>360</v>
      </c>
      <c r="M84">
        <v>4184</v>
      </c>
      <c r="N84">
        <v>204.6</v>
      </c>
      <c r="O84">
        <f t="shared" si="190"/>
        <v>164.31</v>
      </c>
      <c r="Q84" s="236"/>
      <c r="R84" s="236"/>
    </row>
    <row r="85" spans="1:20" s="110" customFormat="1" x14ac:dyDescent="0.55000000000000004">
      <c r="C85" s="110" t="s">
        <v>1783</v>
      </c>
      <c r="D85" s="110" t="s">
        <v>1766</v>
      </c>
      <c r="E85" s="110" t="s">
        <v>1697</v>
      </c>
      <c r="F85" s="110">
        <v>86.093000000000004</v>
      </c>
      <c r="G85" s="110">
        <v>100.699</v>
      </c>
      <c r="H85" s="110">
        <f t="shared" ref="H85" si="191">G85-F85</f>
        <v>14.605999999999995</v>
      </c>
      <c r="I85" s="110">
        <f t="shared" ref="I85" si="192">H85*0.0973</f>
        <v>1.4211637999999995</v>
      </c>
      <c r="J85" s="175">
        <f t="shared" ref="J85" si="193">I85*20</f>
        <v>28.423275999999991</v>
      </c>
      <c r="K85" s="110">
        <v>40.29</v>
      </c>
      <c r="L85" s="110">
        <v>360</v>
      </c>
      <c r="M85" s="110">
        <v>4184</v>
      </c>
      <c r="N85" s="110">
        <v>204.6</v>
      </c>
      <c r="O85" s="110">
        <f t="shared" ref="O85" si="194">N85-K85</f>
        <v>164.31</v>
      </c>
      <c r="P85" s="110" t="s">
        <v>1794</v>
      </c>
      <c r="Q85" s="237"/>
      <c r="R85" s="237"/>
    </row>
    <row r="86" spans="1:20" x14ac:dyDescent="0.55000000000000004">
      <c r="A86">
        <v>35</v>
      </c>
      <c r="B86" s="7">
        <v>48</v>
      </c>
      <c r="C86" t="s">
        <v>1799</v>
      </c>
      <c r="D86" t="s">
        <v>1766</v>
      </c>
      <c r="E86" t="s">
        <v>1697</v>
      </c>
      <c r="F86">
        <v>89.415999999999997</v>
      </c>
      <c r="G86">
        <v>105.044</v>
      </c>
      <c r="H86" s="7">
        <f t="shared" si="16"/>
        <v>15.628</v>
      </c>
      <c r="I86" s="7">
        <f t="shared" si="17"/>
        <v>1.5206044000000001</v>
      </c>
      <c r="J86" s="19">
        <f t="shared" si="18"/>
        <v>30.412088000000001</v>
      </c>
      <c r="K86">
        <v>62.09</v>
      </c>
      <c r="L86">
        <v>1031</v>
      </c>
      <c r="M86">
        <v>2329</v>
      </c>
      <c r="N86">
        <v>116.34</v>
      </c>
      <c r="O86">
        <f t="shared" si="19"/>
        <v>54.25</v>
      </c>
      <c r="Q86">
        <v>12</v>
      </c>
      <c r="R86">
        <v>3</v>
      </c>
      <c r="S86">
        <f t="shared" si="91"/>
        <v>0.2</v>
      </c>
    </row>
    <row r="87" spans="1:20" x14ac:dyDescent="0.55000000000000004">
      <c r="B87" s="7">
        <v>49</v>
      </c>
      <c r="C87" t="s">
        <v>1798</v>
      </c>
      <c r="D87" t="s">
        <v>1766</v>
      </c>
      <c r="E87" t="s">
        <v>1697</v>
      </c>
      <c r="F87" s="110">
        <v>89.415999999999997</v>
      </c>
      <c r="G87" s="110">
        <v>99.966999999999999</v>
      </c>
      <c r="H87" s="7">
        <f t="shared" ref="H87" si="195">G87-F87</f>
        <v>10.551000000000002</v>
      </c>
      <c r="I87" s="7">
        <f t="shared" ref="I87" si="196">H87*0.0973</f>
        <v>1.0266123000000003</v>
      </c>
      <c r="J87" s="19">
        <f t="shared" ref="J87" si="197">I87*20</f>
        <v>20.532246000000004</v>
      </c>
      <c r="K87">
        <v>62.09</v>
      </c>
      <c r="L87">
        <v>1031</v>
      </c>
      <c r="M87">
        <v>2940</v>
      </c>
      <c r="N87">
        <v>146.86000000000001</v>
      </c>
      <c r="O87">
        <f t="shared" ref="O87" si="198">N87-K87</f>
        <v>84.77000000000001</v>
      </c>
      <c r="P87" t="s">
        <v>1795</v>
      </c>
      <c r="Q87" s="236"/>
      <c r="R87" s="236"/>
    </row>
    <row r="88" spans="1:20" x14ac:dyDescent="0.55000000000000004">
      <c r="B88">
        <v>50</v>
      </c>
      <c r="C88" t="s">
        <v>1796</v>
      </c>
      <c r="D88" t="s">
        <v>1766</v>
      </c>
      <c r="E88" t="s">
        <v>1697</v>
      </c>
      <c r="F88">
        <v>89.415999999999997</v>
      </c>
      <c r="G88">
        <v>94.894999999999996</v>
      </c>
      <c r="H88" s="7">
        <f t="shared" ref="H88" si="199">G88-F88</f>
        <v>5.4789999999999992</v>
      </c>
      <c r="I88" s="7">
        <f t="shared" ref="I88" si="200">H88*0.0973</f>
        <v>0.53310669999999993</v>
      </c>
      <c r="J88" s="19">
        <f t="shared" ref="J88" si="201">I88*20</f>
        <v>10.662133999999998</v>
      </c>
      <c r="K88">
        <v>62.09</v>
      </c>
      <c r="L88">
        <v>1031</v>
      </c>
      <c r="M88">
        <v>4841</v>
      </c>
      <c r="N88">
        <v>241.83</v>
      </c>
      <c r="O88">
        <f t="shared" ref="O88" si="202">N88-K88</f>
        <v>179.74</v>
      </c>
      <c r="P88" t="s">
        <v>1800</v>
      </c>
      <c r="Q88" s="236"/>
      <c r="R88" s="236"/>
    </row>
    <row r="89" spans="1:20" s="110" customFormat="1" x14ac:dyDescent="0.55000000000000004">
      <c r="C89" s="110" t="s">
        <v>1797</v>
      </c>
      <c r="D89" s="110" t="s">
        <v>1766</v>
      </c>
      <c r="E89" s="110" t="s">
        <v>1697</v>
      </c>
      <c r="F89" s="110">
        <v>86.602999999999994</v>
      </c>
      <c r="G89" s="110">
        <v>89.834000000000003</v>
      </c>
      <c r="H89" s="110">
        <f t="shared" ref="H89" si="203">G89-F89</f>
        <v>3.2310000000000088</v>
      </c>
      <c r="I89" s="110">
        <f t="shared" ref="I89" si="204">H89*0.0973</f>
        <v>0.31437630000000083</v>
      </c>
      <c r="J89" s="175">
        <f t="shared" ref="J89" si="205">I89*20</f>
        <v>6.2875260000000166</v>
      </c>
      <c r="K89" s="110">
        <v>62.09</v>
      </c>
      <c r="L89" s="110">
        <v>1031</v>
      </c>
      <c r="M89" s="110">
        <v>4841</v>
      </c>
      <c r="N89" s="110">
        <v>241.83</v>
      </c>
      <c r="O89" s="110">
        <f t="shared" ref="O89" si="206">N89-K89</f>
        <v>179.74</v>
      </c>
      <c r="Q89" s="237"/>
      <c r="R89" s="237"/>
    </row>
    <row r="93" spans="1:20" x14ac:dyDescent="0.55000000000000004">
      <c r="Q93">
        <f>SUM(Q2:Q92)</f>
        <v>439</v>
      </c>
      <c r="R93">
        <f>SUM(R2:R92)</f>
        <v>66</v>
      </c>
      <c r="S93">
        <f>(SUM(S2:S3,S5:S7,S10:S12,S15,S17,S19:S22,S30,S32,S34:S39,S40:S42,S44,S47,S52:S53,S59:S65,S70:S74,S78,S79:S82,S86))/(COUNT(S2:S3,S5:S7,S10:S12,S15,S17,S19:S22,S30,S32,S34:S39,S40:S42,S44,S47,S52:S53,S59:S65,S70:S74,S78,S79:S82,S86))*100</f>
        <v>13.119668712597374</v>
      </c>
      <c r="T93" s="3">
        <f xml:space="preserve"> STDEV(S2:S3,S5:S7,S10:S12,S15,S17,S19:S22,S30,S32,S34:S39,S40:S42,S44,S47,S52:S53,S59:S65,S70:S74,S78,S79:S82,S86)/SQRT(COUNT(S2:S3,S5:S7,S10:S12,S15,S17,S19:S22,S30,S32,S34:S39,S40:S42,S44,S47,S52:S53,S59:S65,S70:S74,S78,S79:S82,S86))*100</f>
        <v>1.6688431928595302</v>
      </c>
    </row>
    <row r="94" spans="1:20" x14ac:dyDescent="0.55000000000000004">
      <c r="I94" t="s">
        <v>225</v>
      </c>
      <c r="J94" s="3">
        <f>(SUM(J2,J4:J5,J7:J8,J10,J12:J13,J15,J17,J20:J21,J23,J25:J26,J28,J30:J32,J37,J40:J41,J43:J48,J50:J51,J53,J55,J57,J61,J63,J65:J68,J74:J78,J80,J82,J84,J86:J88))/(COUNT(J2,J4:J5,J7:J8,J10,J12:J13,J15,J17,J20:J21,J23,J25:J26,J28,J30:J32,J37,J40:J41,J43:J48,J50:J51,J53,J55,J57,J61,J63,J65:J68,J74:J78,J80,J82,J84,J86:J88))</f>
        <v>26.35440556</v>
      </c>
      <c r="R94">
        <f>(R93/Q93)*100</f>
        <v>15.034168564920272</v>
      </c>
    </row>
    <row r="95" spans="1:20" x14ac:dyDescent="0.55000000000000004">
      <c r="I95" t="s">
        <v>226</v>
      </c>
      <c r="J95" s="3">
        <f xml:space="preserve"> STDEV(J2,J4:J5,J7:J8,J10,J12:J13,J15,J17,J20:J21,J23,J25:J26,J28,J30:J32,J37,J40:J41,J43:J48,J50:J51,J53,J55,J57,J61,J63,J65:J68,J74:J78,J80,J82,J84,J86:J88)/SQRT(COUNT(J2,J4:J5,J7:J8,J10,J12:J13,J15,J17,J20:J21,J23,J25:J26,J28,J30:J32,J37,J40:J41,J43:J48,J50:J51,J53,J55,J57,J61,J63,J65:J68,J74:J78,J80,J82,J84,J86:J88))</f>
        <v>1.6235487061119021</v>
      </c>
    </row>
  </sheetData>
  <phoneticPr fontId="46" type="noConversion"/>
  <pageMargins left="0.7" right="0.7" top="0.75" bottom="0.75" header="0.3" footer="0.3"/>
  <pageSetup paperSize="9" orientation="portrait" horizontalDpi="4294967293" verticalDpi="0"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499880-0869-478C-A894-08C2E329CB42}">
  <dimension ref="A1:T71"/>
  <sheetViews>
    <sheetView topLeftCell="A51" zoomScaleNormal="100" workbookViewId="0">
      <selection activeCell="I69" sqref="I69:T71"/>
    </sheetView>
  </sheetViews>
  <sheetFormatPr defaultRowHeight="14.4" x14ac:dyDescent="0.55000000000000004"/>
  <cols>
    <col min="1" max="1" width="3.41796875" customWidth="1"/>
    <col min="2" max="2" width="4.7890625" customWidth="1"/>
    <col min="3" max="3" width="12.05078125" customWidth="1"/>
    <col min="4" max="4" width="10.26171875" customWidth="1"/>
    <col min="5" max="5" width="10" customWidth="1"/>
  </cols>
  <sheetData>
    <row r="1" spans="1:20" ht="57.6" x14ac:dyDescent="0.55000000000000004">
      <c r="A1" t="s">
        <v>922</v>
      </c>
      <c r="B1" s="3" t="s">
        <v>973</v>
      </c>
      <c r="C1" s="2" t="s">
        <v>0</v>
      </c>
      <c r="D1" s="2" t="s">
        <v>90</v>
      </c>
      <c r="E1" s="2" t="s">
        <v>88</v>
      </c>
      <c r="F1" s="2" t="s">
        <v>2</v>
      </c>
      <c r="G1" s="2" t="s">
        <v>3</v>
      </c>
      <c r="H1" s="2" t="s">
        <v>11</v>
      </c>
      <c r="I1" s="2" t="s">
        <v>12</v>
      </c>
      <c r="J1" s="2" t="s">
        <v>1267</v>
      </c>
      <c r="K1" s="2" t="s">
        <v>19</v>
      </c>
      <c r="L1" s="2" t="s">
        <v>10</v>
      </c>
      <c r="M1" s="2" t="s">
        <v>8</v>
      </c>
      <c r="N1" s="2" t="s">
        <v>9</v>
      </c>
      <c r="O1" s="2" t="s">
        <v>123</v>
      </c>
      <c r="P1" s="2" t="s">
        <v>5</v>
      </c>
      <c r="Q1" s="3" t="s">
        <v>355</v>
      </c>
      <c r="R1" s="3" t="s">
        <v>450</v>
      </c>
    </row>
    <row r="2" spans="1:20" x14ac:dyDescent="0.55000000000000004">
      <c r="A2">
        <v>1</v>
      </c>
      <c r="B2">
        <v>1</v>
      </c>
      <c r="C2" t="s">
        <v>1810</v>
      </c>
      <c r="D2" t="s">
        <v>1801</v>
      </c>
      <c r="E2" t="s">
        <v>1802</v>
      </c>
      <c r="F2" s="7">
        <v>84.364000000000004</v>
      </c>
      <c r="G2" s="7">
        <v>103.179</v>
      </c>
      <c r="H2" s="7">
        <f t="shared" ref="H2" si="0">G2-F2</f>
        <v>18.814999999999998</v>
      </c>
      <c r="I2" s="7">
        <f t="shared" ref="I2" si="1">H2*0.0973</f>
        <v>1.8306994999999997</v>
      </c>
      <c r="J2" s="19">
        <f t="shared" ref="J2:J64" si="2">I2*20</f>
        <v>36.613989999999994</v>
      </c>
      <c r="K2" s="7">
        <v>94.03</v>
      </c>
      <c r="L2" s="7">
        <v>1772</v>
      </c>
      <c r="M2" s="7">
        <v>2311</v>
      </c>
      <c r="N2" s="7">
        <v>118.23</v>
      </c>
      <c r="O2">
        <f>N2-K2</f>
        <v>24.200000000000003</v>
      </c>
      <c r="Q2" s="7">
        <v>11</v>
      </c>
      <c r="R2" s="7">
        <v>1</v>
      </c>
      <c r="S2">
        <f>R2/Q2</f>
        <v>9.0909090909090912E-2</v>
      </c>
    </row>
    <row r="3" spans="1:20" s="107" customFormat="1" x14ac:dyDescent="0.55000000000000004">
      <c r="C3" s="107" t="s">
        <v>1809</v>
      </c>
      <c r="D3" s="107" t="s">
        <v>1801</v>
      </c>
      <c r="E3" s="107" t="s">
        <v>1802</v>
      </c>
      <c r="F3" s="107">
        <v>83.379000000000005</v>
      </c>
      <c r="G3" s="107">
        <v>97.994</v>
      </c>
      <c r="H3" s="107">
        <f t="shared" ref="H3" si="3">G3-F3</f>
        <v>14.614999999999995</v>
      </c>
      <c r="I3" s="107">
        <f t="shared" ref="I3" si="4">H3*0.0973</f>
        <v>1.4220394999999995</v>
      </c>
      <c r="J3" s="180">
        <f t="shared" ref="J3" si="5">I3*20</f>
        <v>28.440789999999989</v>
      </c>
      <c r="K3" s="107">
        <v>94.03</v>
      </c>
      <c r="L3" s="107">
        <v>1772</v>
      </c>
      <c r="M3" s="107">
        <v>2311</v>
      </c>
      <c r="N3" s="107">
        <v>118.23</v>
      </c>
      <c r="O3" s="107">
        <f>N3-K3</f>
        <v>24.200000000000003</v>
      </c>
      <c r="Q3" s="238"/>
      <c r="R3" s="238"/>
    </row>
    <row r="4" spans="1:20" x14ac:dyDescent="0.55000000000000004">
      <c r="A4">
        <v>2</v>
      </c>
      <c r="C4" t="s">
        <v>1803</v>
      </c>
      <c r="D4" t="s">
        <v>1801</v>
      </c>
      <c r="E4" t="s">
        <v>1802</v>
      </c>
      <c r="F4" t="s">
        <v>325</v>
      </c>
      <c r="H4" s="7"/>
      <c r="I4" s="7"/>
      <c r="J4" s="19"/>
      <c r="K4">
        <v>108.5</v>
      </c>
      <c r="Q4">
        <v>13</v>
      </c>
      <c r="R4">
        <v>0</v>
      </c>
      <c r="S4">
        <f t="shared" ref="S4:S64" si="6">R4/Q4</f>
        <v>0</v>
      </c>
    </row>
    <row r="5" spans="1:20" x14ac:dyDescent="0.55000000000000004">
      <c r="A5">
        <v>3</v>
      </c>
      <c r="C5" t="s">
        <v>1804</v>
      </c>
      <c r="D5" t="s">
        <v>1801</v>
      </c>
      <c r="E5" t="s">
        <v>1802</v>
      </c>
      <c r="F5" t="s">
        <v>325</v>
      </c>
      <c r="H5" s="7"/>
      <c r="I5" s="7"/>
      <c r="J5" s="19"/>
      <c r="K5">
        <v>77.89</v>
      </c>
      <c r="Q5">
        <v>7</v>
      </c>
      <c r="R5">
        <v>0</v>
      </c>
      <c r="S5">
        <f t="shared" si="6"/>
        <v>0</v>
      </c>
    </row>
    <row r="6" spans="1:20" x14ac:dyDescent="0.55000000000000004">
      <c r="A6">
        <v>4</v>
      </c>
      <c r="C6" t="s">
        <v>1805</v>
      </c>
      <c r="D6" t="s">
        <v>1801</v>
      </c>
      <c r="E6" t="s">
        <v>1802</v>
      </c>
      <c r="F6" t="s">
        <v>325</v>
      </c>
      <c r="H6" s="7"/>
      <c r="I6" s="7"/>
      <c r="J6" s="19"/>
      <c r="K6">
        <v>77.37</v>
      </c>
      <c r="Q6">
        <v>8</v>
      </c>
      <c r="R6">
        <v>0</v>
      </c>
      <c r="S6">
        <f t="shared" si="6"/>
        <v>0</v>
      </c>
    </row>
    <row r="7" spans="1:20" x14ac:dyDescent="0.55000000000000004">
      <c r="A7">
        <v>5</v>
      </c>
      <c r="C7" t="s">
        <v>1806</v>
      </c>
      <c r="D7" t="s">
        <v>1801</v>
      </c>
      <c r="E7" t="s">
        <v>1802</v>
      </c>
      <c r="F7" t="s">
        <v>325</v>
      </c>
      <c r="H7" s="7"/>
      <c r="I7" s="7"/>
      <c r="J7" s="19"/>
      <c r="K7">
        <v>9.61</v>
      </c>
      <c r="Q7">
        <v>7</v>
      </c>
      <c r="R7">
        <v>0</v>
      </c>
      <c r="S7">
        <f t="shared" si="6"/>
        <v>0</v>
      </c>
    </row>
    <row r="8" spans="1:20" x14ac:dyDescent="0.55000000000000004">
      <c r="A8">
        <v>6</v>
      </c>
      <c r="C8" t="s">
        <v>1852</v>
      </c>
      <c r="D8" t="s">
        <v>1801</v>
      </c>
      <c r="E8" t="s">
        <v>1802</v>
      </c>
      <c r="F8" t="s">
        <v>1098</v>
      </c>
      <c r="H8" s="7"/>
      <c r="I8" s="7"/>
      <c r="J8" s="19"/>
      <c r="K8">
        <v>61.27</v>
      </c>
      <c r="L8">
        <v>697</v>
      </c>
      <c r="M8">
        <v>4745</v>
      </c>
      <c r="N8">
        <v>222.09</v>
      </c>
      <c r="O8">
        <f t="shared" ref="O8:O67" si="7">N8-K8</f>
        <v>160.82</v>
      </c>
      <c r="Q8">
        <v>11</v>
      </c>
      <c r="R8">
        <v>1</v>
      </c>
      <c r="S8">
        <f t="shared" si="6"/>
        <v>9.0909090909090912E-2</v>
      </c>
      <c r="T8" t="s">
        <v>1853</v>
      </c>
    </row>
    <row r="9" spans="1:20" x14ac:dyDescent="0.55000000000000004">
      <c r="A9">
        <v>7</v>
      </c>
      <c r="C9" t="s">
        <v>1807</v>
      </c>
      <c r="D9" t="s">
        <v>1801</v>
      </c>
      <c r="E9" t="s">
        <v>1802</v>
      </c>
      <c r="F9" t="s">
        <v>325</v>
      </c>
      <c r="H9" s="7"/>
      <c r="I9" s="7"/>
      <c r="J9" s="19"/>
      <c r="K9">
        <v>44.87</v>
      </c>
      <c r="Q9">
        <v>5</v>
      </c>
      <c r="R9">
        <v>0</v>
      </c>
      <c r="S9">
        <f t="shared" si="6"/>
        <v>0</v>
      </c>
    </row>
    <row r="10" spans="1:20" x14ac:dyDescent="0.55000000000000004">
      <c r="A10">
        <v>8</v>
      </c>
      <c r="B10">
        <v>2</v>
      </c>
      <c r="C10" t="s">
        <v>1808</v>
      </c>
      <c r="D10" t="s">
        <v>1801</v>
      </c>
      <c r="E10" t="s">
        <v>1802</v>
      </c>
      <c r="F10">
        <v>73.120999999999995</v>
      </c>
      <c r="G10">
        <v>84.549000000000007</v>
      </c>
      <c r="H10" s="7">
        <f t="shared" ref="H10:H60" si="8">G10-F10</f>
        <v>11.428000000000011</v>
      </c>
      <c r="I10" s="7">
        <f t="shared" ref="I10:I60" si="9">H10*0.0973</f>
        <v>1.1119444000000012</v>
      </c>
      <c r="J10" s="19">
        <f t="shared" si="2"/>
        <v>22.238888000000024</v>
      </c>
      <c r="K10">
        <v>21.99</v>
      </c>
      <c r="L10">
        <v>364</v>
      </c>
      <c r="M10">
        <v>894</v>
      </c>
      <c r="N10">
        <v>41.83</v>
      </c>
      <c r="O10">
        <f t="shared" si="7"/>
        <v>19.84</v>
      </c>
      <c r="Q10">
        <v>9</v>
      </c>
      <c r="R10">
        <v>1</v>
      </c>
      <c r="S10">
        <f t="shared" si="6"/>
        <v>0.1111111111111111</v>
      </c>
      <c r="T10" t="s">
        <v>1811</v>
      </c>
    </row>
    <row r="11" spans="1:20" x14ac:dyDescent="0.55000000000000004">
      <c r="A11">
        <v>9</v>
      </c>
      <c r="B11">
        <v>3</v>
      </c>
      <c r="C11" t="s">
        <v>1813</v>
      </c>
      <c r="D11" t="s">
        <v>1801</v>
      </c>
      <c r="E11" t="s">
        <v>1802</v>
      </c>
      <c r="F11">
        <v>82.936999999999998</v>
      </c>
      <c r="G11">
        <v>94.436999999999998</v>
      </c>
      <c r="H11" s="7">
        <f t="shared" si="8"/>
        <v>11.5</v>
      </c>
      <c r="I11" s="7">
        <f t="shared" si="9"/>
        <v>1.1189499999999999</v>
      </c>
      <c r="J11" s="19">
        <f t="shared" si="2"/>
        <v>22.378999999999998</v>
      </c>
      <c r="K11" t="s">
        <v>83</v>
      </c>
      <c r="L11">
        <v>80</v>
      </c>
      <c r="M11">
        <v>1586</v>
      </c>
      <c r="N11">
        <v>77.239999999999995</v>
      </c>
      <c r="Q11">
        <v>11</v>
      </c>
      <c r="R11">
        <v>2</v>
      </c>
      <c r="S11">
        <f t="shared" si="6"/>
        <v>0.18181818181818182</v>
      </c>
    </row>
    <row r="12" spans="1:20" x14ac:dyDescent="0.55000000000000004">
      <c r="B12">
        <v>4</v>
      </c>
      <c r="C12" t="s">
        <v>1812</v>
      </c>
      <c r="D12" t="s">
        <v>1801</v>
      </c>
      <c r="E12" t="s">
        <v>1802</v>
      </c>
      <c r="F12">
        <v>88.338999999999999</v>
      </c>
      <c r="G12">
        <v>96.644999999999996</v>
      </c>
      <c r="H12" s="7">
        <f t="shared" ref="H12" si="10">G12-F12</f>
        <v>8.3059999999999974</v>
      </c>
      <c r="I12" s="7">
        <f t="shared" ref="I12" si="11">H12*0.0973</f>
        <v>0.80817379999999972</v>
      </c>
      <c r="J12" s="19">
        <f t="shared" ref="J12" si="12">I12*20</f>
        <v>16.163475999999996</v>
      </c>
      <c r="K12" t="s">
        <v>83</v>
      </c>
      <c r="L12">
        <v>80</v>
      </c>
      <c r="M12">
        <v>1934</v>
      </c>
      <c r="N12">
        <v>94.19</v>
      </c>
      <c r="Q12" s="236"/>
      <c r="R12" s="236"/>
    </row>
    <row r="13" spans="1:20" x14ac:dyDescent="0.55000000000000004">
      <c r="A13">
        <v>10</v>
      </c>
      <c r="B13">
        <v>5</v>
      </c>
      <c r="C13" t="s">
        <v>1815</v>
      </c>
      <c r="D13" t="s">
        <v>1801</v>
      </c>
      <c r="E13" t="s">
        <v>1802</v>
      </c>
      <c r="F13">
        <v>84.998999999999995</v>
      </c>
      <c r="G13">
        <v>93.180999999999997</v>
      </c>
      <c r="H13" s="7">
        <f t="shared" si="8"/>
        <v>8.1820000000000022</v>
      </c>
      <c r="I13" s="7">
        <f t="shared" si="9"/>
        <v>0.79610860000000017</v>
      </c>
      <c r="J13" s="19">
        <f t="shared" si="2"/>
        <v>15.922172000000003</v>
      </c>
      <c r="K13">
        <v>136.1</v>
      </c>
      <c r="L13">
        <v>1917</v>
      </c>
      <c r="M13">
        <v>3676</v>
      </c>
      <c r="N13">
        <v>183.06</v>
      </c>
      <c r="O13">
        <f t="shared" si="7"/>
        <v>46.960000000000008</v>
      </c>
      <c r="Q13">
        <v>11</v>
      </c>
      <c r="R13">
        <v>2</v>
      </c>
      <c r="S13">
        <f t="shared" si="6"/>
        <v>0.18181818181818182</v>
      </c>
    </row>
    <row r="14" spans="1:20" s="107" customFormat="1" x14ac:dyDescent="0.55000000000000004">
      <c r="C14" s="107" t="s">
        <v>1814</v>
      </c>
      <c r="D14" s="107" t="s">
        <v>1801</v>
      </c>
      <c r="E14" s="107" t="s">
        <v>1802</v>
      </c>
      <c r="F14" s="107">
        <v>81.444999999999993</v>
      </c>
      <c r="G14" s="107">
        <v>80.436999999999998</v>
      </c>
      <c r="H14" s="107">
        <f t="shared" ref="H14:H15" si="13">G14-F14</f>
        <v>-1.0079999999999956</v>
      </c>
      <c r="I14" s="107">
        <f t="shared" ref="I14:I15" si="14">H14*0.0973</f>
        <v>-9.8078399999999566E-2</v>
      </c>
      <c r="J14" s="180">
        <f t="shared" ref="J14:J15" si="15">I14*20</f>
        <v>-1.9615679999999913</v>
      </c>
      <c r="K14" s="107">
        <v>136.1</v>
      </c>
      <c r="L14" s="107">
        <v>1917</v>
      </c>
      <c r="M14" s="107">
        <v>3676</v>
      </c>
      <c r="N14" s="107">
        <v>183.06</v>
      </c>
      <c r="O14" s="107">
        <f t="shared" ref="O14:O15" si="16">N14-K14</f>
        <v>46.960000000000008</v>
      </c>
      <c r="Q14" s="238"/>
      <c r="R14" s="238"/>
    </row>
    <row r="15" spans="1:20" x14ac:dyDescent="0.55000000000000004">
      <c r="C15" t="s">
        <v>1816</v>
      </c>
      <c r="D15" t="s">
        <v>1801</v>
      </c>
      <c r="E15" t="s">
        <v>1802</v>
      </c>
      <c r="F15">
        <v>79.944999999999993</v>
      </c>
      <c r="G15">
        <v>108.672</v>
      </c>
      <c r="H15" s="7">
        <f t="shared" si="13"/>
        <v>28.727000000000004</v>
      </c>
      <c r="I15" s="7">
        <f t="shared" si="14"/>
        <v>2.7951371000000003</v>
      </c>
      <c r="J15" s="19">
        <f t="shared" si="15"/>
        <v>55.902742000000003</v>
      </c>
      <c r="K15">
        <v>136.1</v>
      </c>
      <c r="L15">
        <v>1917</v>
      </c>
      <c r="M15">
        <v>5340</v>
      </c>
      <c r="N15">
        <v>265.92</v>
      </c>
      <c r="O15">
        <f t="shared" si="16"/>
        <v>129.82000000000002</v>
      </c>
      <c r="P15" t="s">
        <v>1854</v>
      </c>
      <c r="Q15" s="236"/>
      <c r="R15" s="236"/>
    </row>
    <row r="16" spans="1:20" x14ac:dyDescent="0.55000000000000004">
      <c r="B16">
        <v>6</v>
      </c>
      <c r="C16" t="s">
        <v>1817</v>
      </c>
      <c r="D16" t="s">
        <v>1801</v>
      </c>
      <c r="E16" t="s">
        <v>1802</v>
      </c>
      <c r="F16">
        <v>75.552000000000007</v>
      </c>
      <c r="G16">
        <v>85.272999999999996</v>
      </c>
      <c r="H16" s="7">
        <f t="shared" ref="H16" si="17">G16-F16</f>
        <v>9.7209999999999894</v>
      </c>
      <c r="I16" s="7">
        <f t="shared" ref="I16" si="18">H16*0.0973</f>
        <v>0.9458532999999989</v>
      </c>
      <c r="J16" s="19">
        <f t="shared" ref="J16" si="19">I16*20</f>
        <v>18.917065999999977</v>
      </c>
      <c r="K16">
        <v>136.1</v>
      </c>
      <c r="L16">
        <v>1917</v>
      </c>
      <c r="M16">
        <v>5340</v>
      </c>
      <c r="N16">
        <v>265.92</v>
      </c>
      <c r="O16">
        <f t="shared" ref="O16" si="20">N16-K16</f>
        <v>129.82000000000002</v>
      </c>
      <c r="Q16" s="236"/>
      <c r="R16" s="236"/>
    </row>
    <row r="17" spans="1:20" x14ac:dyDescent="0.55000000000000004">
      <c r="A17">
        <v>11</v>
      </c>
      <c r="B17">
        <v>7</v>
      </c>
      <c r="C17" t="s">
        <v>1818</v>
      </c>
      <c r="D17" t="s">
        <v>1801</v>
      </c>
      <c r="E17" t="s">
        <v>1802</v>
      </c>
      <c r="F17">
        <v>90.951999999999998</v>
      </c>
      <c r="G17">
        <v>98.173000000000002</v>
      </c>
      <c r="H17" s="7">
        <f t="shared" si="8"/>
        <v>7.2210000000000036</v>
      </c>
      <c r="I17" s="7">
        <f t="shared" si="9"/>
        <v>0.70260330000000037</v>
      </c>
      <c r="J17" s="19">
        <f t="shared" si="2"/>
        <v>14.052066000000007</v>
      </c>
      <c r="K17">
        <v>89.58</v>
      </c>
      <c r="L17">
        <v>1783</v>
      </c>
      <c r="M17">
        <v>2610</v>
      </c>
      <c r="N17">
        <v>130.76</v>
      </c>
      <c r="O17">
        <f t="shared" si="7"/>
        <v>41.179999999999993</v>
      </c>
      <c r="Q17">
        <v>14</v>
      </c>
      <c r="R17">
        <v>1</v>
      </c>
      <c r="S17">
        <f t="shared" si="6"/>
        <v>7.1428571428571425E-2</v>
      </c>
    </row>
    <row r="18" spans="1:20" s="107" customFormat="1" x14ac:dyDescent="0.55000000000000004">
      <c r="C18" s="107" t="s">
        <v>1819</v>
      </c>
      <c r="D18" s="107" t="s">
        <v>1801</v>
      </c>
      <c r="E18" s="107" t="s">
        <v>1802</v>
      </c>
      <c r="F18" s="107">
        <v>85.402000000000001</v>
      </c>
      <c r="G18" s="107">
        <v>93.474000000000004</v>
      </c>
      <c r="H18" s="107">
        <f t="shared" ref="H18" si="21">G18-F18</f>
        <v>8.0720000000000027</v>
      </c>
      <c r="I18" s="107">
        <f t="shared" ref="I18" si="22">H18*0.0973</f>
        <v>0.78540560000000026</v>
      </c>
      <c r="J18" s="180">
        <f t="shared" ref="J18" si="23">I18*20</f>
        <v>15.708112000000005</v>
      </c>
      <c r="K18" s="107">
        <v>89.58</v>
      </c>
      <c r="L18" s="107">
        <v>1783</v>
      </c>
      <c r="M18" s="107">
        <v>2610</v>
      </c>
      <c r="N18" s="107">
        <v>130.76</v>
      </c>
      <c r="O18" s="107">
        <f t="shared" ref="O18" si="24">N18-K18</f>
        <v>41.179999999999993</v>
      </c>
      <c r="Q18" s="238"/>
      <c r="R18" s="238"/>
    </row>
    <row r="19" spans="1:20" x14ac:dyDescent="0.55000000000000004">
      <c r="A19">
        <v>12</v>
      </c>
      <c r="B19">
        <v>8</v>
      </c>
      <c r="C19" t="s">
        <v>1832</v>
      </c>
      <c r="D19" t="s">
        <v>1820</v>
      </c>
      <c r="E19" t="s">
        <v>1802</v>
      </c>
      <c r="F19">
        <v>80.745000000000005</v>
      </c>
      <c r="G19">
        <v>102.97799999999999</v>
      </c>
      <c r="H19" s="7">
        <f t="shared" si="8"/>
        <v>22.23299999999999</v>
      </c>
      <c r="I19" s="7">
        <f t="shared" si="9"/>
        <v>2.1632708999999988</v>
      </c>
      <c r="J19" s="19">
        <f t="shared" si="2"/>
        <v>43.265417999999976</v>
      </c>
      <c r="K19" t="s">
        <v>83</v>
      </c>
      <c r="L19">
        <v>9</v>
      </c>
      <c r="M19">
        <v>1627</v>
      </c>
      <c r="N19">
        <v>81.48</v>
      </c>
      <c r="Q19">
        <v>11</v>
      </c>
      <c r="R19">
        <v>4</v>
      </c>
      <c r="S19">
        <f t="shared" si="6"/>
        <v>0.36363636363636365</v>
      </c>
    </row>
    <row r="20" spans="1:20" s="107" customFormat="1" x14ac:dyDescent="0.55000000000000004">
      <c r="C20" s="107" t="s">
        <v>1831</v>
      </c>
      <c r="D20" s="107" t="s">
        <v>1820</v>
      </c>
      <c r="E20" s="107" t="s">
        <v>1802</v>
      </c>
      <c r="F20" s="107">
        <v>80.406999999999996</v>
      </c>
      <c r="G20" s="107">
        <v>100.617</v>
      </c>
      <c r="H20" s="107">
        <f t="shared" ref="H20:H21" si="25">G20-F20</f>
        <v>20.210000000000008</v>
      </c>
      <c r="I20" s="107">
        <f t="shared" ref="I20:I21" si="26">H20*0.0973</f>
        <v>1.9664330000000008</v>
      </c>
      <c r="J20" s="180">
        <f t="shared" ref="J20:J21" si="27">I20*20</f>
        <v>39.328660000000013</v>
      </c>
      <c r="K20" s="107" t="s">
        <v>83</v>
      </c>
      <c r="L20" s="107">
        <v>9</v>
      </c>
      <c r="M20" s="107">
        <v>1627</v>
      </c>
      <c r="N20" s="107">
        <v>81.48</v>
      </c>
      <c r="Q20" s="238"/>
      <c r="R20" s="238"/>
    </row>
    <row r="21" spans="1:20" s="7" customFormat="1" x14ac:dyDescent="0.55000000000000004">
      <c r="B21" s="7">
        <v>9</v>
      </c>
      <c r="C21" s="7" t="s">
        <v>1834</v>
      </c>
      <c r="D21" s="7" t="s">
        <v>1820</v>
      </c>
      <c r="E21" s="7" t="s">
        <v>1802</v>
      </c>
      <c r="F21" s="7">
        <v>80.745000000000005</v>
      </c>
      <c r="G21" s="7">
        <v>91.947999999999993</v>
      </c>
      <c r="H21" s="7">
        <f t="shared" si="25"/>
        <v>11.202999999999989</v>
      </c>
      <c r="I21" s="7">
        <f t="shared" si="26"/>
        <v>1.0900518999999989</v>
      </c>
      <c r="J21" s="19">
        <f t="shared" si="27"/>
        <v>21.801037999999977</v>
      </c>
      <c r="K21" s="7" t="s">
        <v>83</v>
      </c>
      <c r="L21" s="7">
        <v>9</v>
      </c>
      <c r="M21" s="7">
        <v>2456</v>
      </c>
      <c r="N21" s="7">
        <v>122.99</v>
      </c>
      <c r="P21" s="7" t="s">
        <v>1871</v>
      </c>
      <c r="Q21" s="239"/>
      <c r="R21" s="239"/>
    </row>
    <row r="22" spans="1:20" s="107" customFormat="1" x14ac:dyDescent="0.55000000000000004">
      <c r="C22" s="107" t="s">
        <v>1835</v>
      </c>
      <c r="D22" s="107" t="s">
        <v>1820</v>
      </c>
      <c r="E22" s="107" t="s">
        <v>1802</v>
      </c>
      <c r="F22" s="107">
        <v>87.302000000000007</v>
      </c>
      <c r="G22" s="107">
        <v>94.882000000000005</v>
      </c>
      <c r="H22" s="107">
        <f t="shared" ref="H22" si="28">G22-F22</f>
        <v>7.5799999999999983</v>
      </c>
      <c r="I22" s="107">
        <f t="shared" ref="I22" si="29">H22*0.0973</f>
        <v>0.7375339999999998</v>
      </c>
      <c r="J22" s="180">
        <f t="shared" ref="J22" si="30">I22*20</f>
        <v>14.750679999999996</v>
      </c>
      <c r="K22" s="107" t="s">
        <v>83</v>
      </c>
      <c r="L22" s="107">
        <v>9</v>
      </c>
      <c r="M22" s="107">
        <v>2456</v>
      </c>
      <c r="N22" s="107">
        <v>122.99</v>
      </c>
      <c r="Q22" s="238"/>
      <c r="R22" s="238"/>
    </row>
    <row r="23" spans="1:20" s="107" customFormat="1" x14ac:dyDescent="0.55000000000000004">
      <c r="C23" s="107" t="s">
        <v>1836</v>
      </c>
      <c r="D23" s="107" t="s">
        <v>1820</v>
      </c>
      <c r="E23" s="107" t="s">
        <v>1802</v>
      </c>
      <c r="F23" s="107">
        <v>80.406999999999996</v>
      </c>
      <c r="G23" s="107">
        <v>85.915000000000006</v>
      </c>
      <c r="H23" s="107">
        <f t="shared" ref="H23" si="31">G23-F23</f>
        <v>5.5080000000000098</v>
      </c>
      <c r="I23" s="107">
        <f t="shared" ref="I23" si="32">H23*0.0973</f>
        <v>0.53592840000000097</v>
      </c>
      <c r="J23" s="180">
        <f t="shared" ref="J23" si="33">I23*20</f>
        <v>10.718568000000019</v>
      </c>
      <c r="K23" s="107" t="s">
        <v>83</v>
      </c>
      <c r="L23" s="107">
        <v>9</v>
      </c>
      <c r="M23" s="107">
        <v>3449</v>
      </c>
      <c r="N23" s="107">
        <v>172.72</v>
      </c>
      <c r="O23" s="107" t="s">
        <v>1872</v>
      </c>
      <c r="P23" s="107" t="s">
        <v>1833</v>
      </c>
      <c r="Q23" s="238"/>
      <c r="R23" s="238"/>
    </row>
    <row r="24" spans="1:20" s="7" customFormat="1" x14ac:dyDescent="0.55000000000000004">
      <c r="B24" s="7">
        <v>10</v>
      </c>
      <c r="C24" s="7" t="s">
        <v>1837</v>
      </c>
      <c r="D24" s="7" t="s">
        <v>1820</v>
      </c>
      <c r="E24" s="7" t="s">
        <v>1802</v>
      </c>
      <c r="F24" s="7">
        <v>86.340999999999994</v>
      </c>
      <c r="G24" s="7">
        <v>97.454999999999998</v>
      </c>
      <c r="H24" s="7">
        <f t="shared" ref="H24:H25" si="34">G24-F24</f>
        <v>11.114000000000004</v>
      </c>
      <c r="I24" s="7">
        <f t="shared" ref="I24:I25" si="35">H24*0.0973</f>
        <v>1.0813922000000005</v>
      </c>
      <c r="J24" s="19">
        <f t="shared" ref="J24:J25" si="36">I24*20</f>
        <v>21.62784400000001</v>
      </c>
      <c r="K24" s="7" t="s">
        <v>83</v>
      </c>
      <c r="L24" s="7">
        <v>9</v>
      </c>
      <c r="M24" s="7">
        <v>3449</v>
      </c>
      <c r="N24" s="7">
        <v>172.72</v>
      </c>
      <c r="O24" s="7" t="s">
        <v>1873</v>
      </c>
      <c r="Q24" s="239"/>
      <c r="R24" s="239"/>
    </row>
    <row r="25" spans="1:20" s="7" customFormat="1" x14ac:dyDescent="0.55000000000000004">
      <c r="B25" s="7">
        <v>11</v>
      </c>
      <c r="C25" s="7" t="s">
        <v>1838</v>
      </c>
      <c r="D25" s="7" t="s">
        <v>1820</v>
      </c>
      <c r="E25" s="7" t="s">
        <v>1802</v>
      </c>
      <c r="F25" s="7">
        <v>80.745000000000005</v>
      </c>
      <c r="G25" s="7">
        <v>99.997</v>
      </c>
      <c r="H25" s="7">
        <f t="shared" si="34"/>
        <v>19.251999999999995</v>
      </c>
      <c r="I25" s="7">
        <f t="shared" si="35"/>
        <v>1.8732195999999994</v>
      </c>
      <c r="J25" s="19">
        <f t="shared" si="36"/>
        <v>37.464391999999989</v>
      </c>
      <c r="K25" s="7" t="s">
        <v>83</v>
      </c>
      <c r="L25" s="7">
        <v>9</v>
      </c>
      <c r="M25" s="7">
        <v>3641</v>
      </c>
      <c r="N25" s="7">
        <v>182.33</v>
      </c>
      <c r="O25" s="7" t="s">
        <v>1874</v>
      </c>
      <c r="Q25" s="239"/>
      <c r="R25" s="239"/>
    </row>
    <row r="26" spans="1:20" s="107" customFormat="1" x14ac:dyDescent="0.55000000000000004">
      <c r="C26" s="107" t="s">
        <v>1839</v>
      </c>
      <c r="D26" s="107" t="s">
        <v>1820</v>
      </c>
      <c r="E26" s="107" t="s">
        <v>1802</v>
      </c>
      <c r="F26" s="107">
        <v>88.861999999999995</v>
      </c>
      <c r="G26" s="107">
        <v>109.33</v>
      </c>
      <c r="H26" s="107">
        <f t="shared" ref="H26" si="37">G26-F26</f>
        <v>20.468000000000004</v>
      </c>
      <c r="I26" s="107">
        <f t="shared" ref="I26" si="38">H26*0.0973</f>
        <v>1.9915364000000002</v>
      </c>
      <c r="J26" s="180">
        <f t="shared" ref="J26" si="39">I26*20</f>
        <v>39.830728000000008</v>
      </c>
      <c r="K26" s="107" t="s">
        <v>83</v>
      </c>
      <c r="L26" s="107">
        <v>9</v>
      </c>
      <c r="M26" s="107">
        <v>3641</v>
      </c>
      <c r="N26" s="107">
        <v>182.33</v>
      </c>
      <c r="Q26" s="238"/>
      <c r="R26" s="238"/>
    </row>
    <row r="27" spans="1:20" x14ac:dyDescent="0.55000000000000004">
      <c r="A27">
        <v>13</v>
      </c>
      <c r="C27" t="s">
        <v>1821</v>
      </c>
      <c r="D27" t="s">
        <v>1820</v>
      </c>
      <c r="E27" t="s">
        <v>1802</v>
      </c>
      <c r="F27" t="s">
        <v>325</v>
      </c>
      <c r="H27" s="7"/>
      <c r="I27" s="7"/>
      <c r="J27" s="19"/>
      <c r="Q27">
        <v>11</v>
      </c>
      <c r="R27">
        <v>0</v>
      </c>
      <c r="S27">
        <f t="shared" si="6"/>
        <v>0</v>
      </c>
    </row>
    <row r="28" spans="1:20" x14ac:dyDescent="0.55000000000000004">
      <c r="A28">
        <v>14</v>
      </c>
      <c r="C28" t="s">
        <v>1822</v>
      </c>
      <c r="D28" t="s">
        <v>1820</v>
      </c>
      <c r="E28" t="s">
        <v>1802</v>
      </c>
      <c r="F28" t="s">
        <v>325</v>
      </c>
      <c r="H28" s="7"/>
      <c r="I28" s="7"/>
      <c r="J28" s="19"/>
      <c r="Q28">
        <v>6</v>
      </c>
      <c r="R28">
        <v>0</v>
      </c>
      <c r="S28">
        <f t="shared" si="6"/>
        <v>0</v>
      </c>
    </row>
    <row r="29" spans="1:20" x14ac:dyDescent="0.55000000000000004">
      <c r="A29">
        <v>15</v>
      </c>
      <c r="C29" t="s">
        <v>1823</v>
      </c>
      <c r="D29" t="s">
        <v>1820</v>
      </c>
      <c r="E29" t="s">
        <v>1802</v>
      </c>
      <c r="F29" t="s">
        <v>325</v>
      </c>
      <c r="H29" s="7"/>
      <c r="I29" s="7"/>
      <c r="J29" s="19"/>
      <c r="Q29">
        <v>10</v>
      </c>
      <c r="R29">
        <v>0</v>
      </c>
      <c r="S29">
        <f t="shared" si="6"/>
        <v>0</v>
      </c>
    </row>
    <row r="30" spans="1:20" x14ac:dyDescent="0.55000000000000004">
      <c r="A30">
        <v>16</v>
      </c>
      <c r="C30" t="s">
        <v>1824</v>
      </c>
      <c r="D30" t="s">
        <v>1820</v>
      </c>
      <c r="E30" t="s">
        <v>1802</v>
      </c>
      <c r="F30" t="s">
        <v>325</v>
      </c>
      <c r="H30" s="7"/>
      <c r="I30" s="7"/>
      <c r="J30" s="19"/>
      <c r="Q30">
        <v>6</v>
      </c>
      <c r="R30">
        <v>0</v>
      </c>
      <c r="S30">
        <f t="shared" si="6"/>
        <v>0</v>
      </c>
    </row>
    <row r="31" spans="1:20" x14ac:dyDescent="0.55000000000000004">
      <c r="A31">
        <v>17</v>
      </c>
      <c r="C31" t="s">
        <v>1825</v>
      </c>
      <c r="D31" t="s">
        <v>1820</v>
      </c>
      <c r="E31" t="s">
        <v>1802</v>
      </c>
      <c r="F31" t="s">
        <v>325</v>
      </c>
      <c r="H31" s="7"/>
      <c r="I31" s="7"/>
      <c r="J31" s="19"/>
      <c r="Q31">
        <v>16</v>
      </c>
      <c r="R31">
        <v>0</v>
      </c>
      <c r="S31">
        <f t="shared" si="6"/>
        <v>0</v>
      </c>
    </row>
    <row r="32" spans="1:20" x14ac:dyDescent="0.55000000000000004">
      <c r="A32">
        <v>18</v>
      </c>
      <c r="B32">
        <v>12</v>
      </c>
      <c r="C32" t="s">
        <v>1826</v>
      </c>
      <c r="D32" t="s">
        <v>1820</v>
      </c>
      <c r="E32" t="s">
        <v>1802</v>
      </c>
      <c r="F32">
        <v>84.147999999999996</v>
      </c>
      <c r="G32">
        <v>97.335999999999999</v>
      </c>
      <c r="H32" s="7">
        <f t="shared" si="8"/>
        <v>13.188000000000002</v>
      </c>
      <c r="I32" s="7">
        <f t="shared" si="9"/>
        <v>1.2831924000000001</v>
      </c>
      <c r="J32" s="19">
        <f t="shared" si="2"/>
        <v>25.663848000000002</v>
      </c>
      <c r="K32">
        <v>43.64</v>
      </c>
      <c r="L32">
        <v>948</v>
      </c>
      <c r="M32">
        <v>1897</v>
      </c>
      <c r="N32">
        <v>96.94</v>
      </c>
      <c r="O32">
        <f t="shared" si="7"/>
        <v>53.3</v>
      </c>
      <c r="P32" t="s">
        <v>1840</v>
      </c>
      <c r="Q32">
        <v>11</v>
      </c>
      <c r="R32">
        <v>1</v>
      </c>
      <c r="S32">
        <f t="shared" si="6"/>
        <v>9.0909090909090912E-2</v>
      </c>
      <c r="T32" t="s">
        <v>1841</v>
      </c>
    </row>
    <row r="33" spans="1:20" x14ac:dyDescent="0.55000000000000004">
      <c r="A33">
        <v>19</v>
      </c>
      <c r="C33" t="s">
        <v>1827</v>
      </c>
      <c r="D33" t="s">
        <v>1820</v>
      </c>
      <c r="E33" t="s">
        <v>1802</v>
      </c>
      <c r="F33" t="s">
        <v>325</v>
      </c>
      <c r="H33" s="7"/>
      <c r="I33" s="7"/>
      <c r="J33" s="19"/>
      <c r="Q33">
        <v>6</v>
      </c>
      <c r="R33">
        <v>0</v>
      </c>
      <c r="S33">
        <f t="shared" si="6"/>
        <v>0</v>
      </c>
    </row>
    <row r="34" spans="1:20" x14ac:dyDescent="0.55000000000000004">
      <c r="A34">
        <v>20</v>
      </c>
      <c r="B34">
        <v>13</v>
      </c>
      <c r="C34" t="s">
        <v>1844</v>
      </c>
      <c r="D34" t="s">
        <v>1820</v>
      </c>
      <c r="E34" t="s">
        <v>1802</v>
      </c>
      <c r="F34">
        <v>81.734999999999999</v>
      </c>
      <c r="G34">
        <v>95.367999999999995</v>
      </c>
      <c r="H34" s="7">
        <f t="shared" si="8"/>
        <v>13.632999999999996</v>
      </c>
      <c r="I34" s="7">
        <f t="shared" si="9"/>
        <v>1.3264908999999996</v>
      </c>
      <c r="J34" s="19">
        <f t="shared" si="2"/>
        <v>26.529817999999992</v>
      </c>
      <c r="K34">
        <v>153.63</v>
      </c>
      <c r="L34">
        <v>2106</v>
      </c>
      <c r="M34">
        <v>5326</v>
      </c>
      <c r="N34">
        <v>272.11</v>
      </c>
      <c r="O34">
        <f t="shared" si="7"/>
        <v>118.48000000000002</v>
      </c>
      <c r="P34" t="s">
        <v>1875</v>
      </c>
    </row>
    <row r="35" spans="1:20" x14ac:dyDescent="0.55000000000000004">
      <c r="B35">
        <v>14</v>
      </c>
      <c r="C35" t="s">
        <v>1842</v>
      </c>
      <c r="D35" t="s">
        <v>1820</v>
      </c>
      <c r="E35" t="s">
        <v>1802</v>
      </c>
      <c r="F35">
        <v>81.734999999999999</v>
      </c>
      <c r="G35">
        <v>98.009</v>
      </c>
      <c r="H35" s="7">
        <f t="shared" ref="H35" si="40">G35-F35</f>
        <v>16.274000000000001</v>
      </c>
      <c r="I35" s="7">
        <f t="shared" ref="I35" si="41">H35*0.0973</f>
        <v>1.5834602</v>
      </c>
      <c r="J35" s="19">
        <f t="shared" ref="J35" si="42">I35*20</f>
        <v>31.669204000000001</v>
      </c>
      <c r="K35">
        <v>153.63</v>
      </c>
      <c r="L35">
        <v>2106</v>
      </c>
      <c r="M35">
        <v>6872</v>
      </c>
      <c r="N35">
        <v>351.1</v>
      </c>
      <c r="O35">
        <f t="shared" ref="O35" si="43">N35-K35</f>
        <v>197.47000000000003</v>
      </c>
    </row>
    <row r="36" spans="1:20" s="110" customFormat="1" x14ac:dyDescent="0.55000000000000004">
      <c r="C36" s="110" t="s">
        <v>1843</v>
      </c>
      <c r="D36" s="110" t="s">
        <v>1820</v>
      </c>
      <c r="E36" s="110" t="s">
        <v>1802</v>
      </c>
      <c r="F36" s="110">
        <v>84.203999999999994</v>
      </c>
      <c r="G36" s="110">
        <v>94.122</v>
      </c>
      <c r="H36" s="110">
        <f t="shared" ref="H36" si="44">G36-F36</f>
        <v>9.9180000000000064</v>
      </c>
      <c r="I36" s="110">
        <f t="shared" ref="I36" si="45">H36*0.0973</f>
        <v>0.96502140000000058</v>
      </c>
      <c r="J36" s="175">
        <f t="shared" ref="J36" si="46">I36*20</f>
        <v>19.300428000000011</v>
      </c>
      <c r="K36" s="110">
        <v>153.63</v>
      </c>
      <c r="L36" s="110">
        <v>2106</v>
      </c>
      <c r="M36" s="110">
        <v>6872</v>
      </c>
      <c r="N36" s="110">
        <v>351.1</v>
      </c>
      <c r="O36" s="110">
        <f t="shared" ref="O36" si="47">N36-K36</f>
        <v>197.47000000000003</v>
      </c>
      <c r="P36" s="110" t="s">
        <v>1876</v>
      </c>
    </row>
    <row r="37" spans="1:20" x14ac:dyDescent="0.55000000000000004">
      <c r="A37">
        <v>21</v>
      </c>
      <c r="B37">
        <v>15</v>
      </c>
      <c r="C37" t="s">
        <v>1829</v>
      </c>
      <c r="D37" t="s">
        <v>1820</v>
      </c>
      <c r="E37" t="s">
        <v>1802</v>
      </c>
      <c r="F37">
        <v>81.09</v>
      </c>
      <c r="G37">
        <v>90.388999999999996</v>
      </c>
      <c r="H37" s="7">
        <f t="shared" si="8"/>
        <v>9.2989999999999924</v>
      </c>
      <c r="I37" s="7">
        <f t="shared" si="9"/>
        <v>0.90479269999999923</v>
      </c>
      <c r="J37" s="19">
        <f t="shared" si="2"/>
        <v>18.095853999999985</v>
      </c>
      <c r="K37">
        <v>84.03</v>
      </c>
      <c r="L37">
        <v>1297</v>
      </c>
      <c r="M37">
        <v>2430</v>
      </c>
      <c r="N37">
        <v>122.05</v>
      </c>
      <c r="O37">
        <f t="shared" si="7"/>
        <v>38.019999999999996</v>
      </c>
      <c r="Q37">
        <v>16</v>
      </c>
      <c r="R37">
        <v>1</v>
      </c>
      <c r="S37">
        <f t="shared" si="6"/>
        <v>6.25E-2</v>
      </c>
    </row>
    <row r="38" spans="1:20" x14ac:dyDescent="0.55000000000000004">
      <c r="A38">
        <v>22</v>
      </c>
      <c r="C38" t="s">
        <v>1828</v>
      </c>
      <c r="D38" t="s">
        <v>1820</v>
      </c>
      <c r="E38" t="s">
        <v>1802</v>
      </c>
      <c r="F38" t="s">
        <v>325</v>
      </c>
      <c r="H38" s="7"/>
      <c r="I38" s="7"/>
      <c r="J38" s="19"/>
      <c r="Q38">
        <v>14</v>
      </c>
      <c r="R38">
        <v>0</v>
      </c>
      <c r="S38">
        <f t="shared" si="6"/>
        <v>0</v>
      </c>
    </row>
    <row r="39" spans="1:20" x14ac:dyDescent="0.55000000000000004">
      <c r="A39">
        <v>23</v>
      </c>
      <c r="B39">
        <v>16</v>
      </c>
      <c r="C39" t="s">
        <v>1845</v>
      </c>
      <c r="D39" t="s">
        <v>1820</v>
      </c>
      <c r="E39" t="s">
        <v>1802</v>
      </c>
      <c r="F39">
        <v>84.159000000000006</v>
      </c>
      <c r="G39">
        <v>96.771000000000001</v>
      </c>
      <c r="H39" s="7">
        <f t="shared" si="8"/>
        <v>12.611999999999995</v>
      </c>
      <c r="I39" s="7">
        <f t="shared" si="9"/>
        <v>1.2271475999999994</v>
      </c>
      <c r="J39" s="19">
        <f t="shared" si="2"/>
        <v>24.542951999999989</v>
      </c>
      <c r="K39" t="s">
        <v>83</v>
      </c>
      <c r="L39">
        <v>110</v>
      </c>
      <c r="M39">
        <v>1030</v>
      </c>
      <c r="N39">
        <v>51.6</v>
      </c>
      <c r="Q39">
        <v>16</v>
      </c>
      <c r="R39">
        <v>5</v>
      </c>
      <c r="S39">
        <f t="shared" si="6"/>
        <v>0.3125</v>
      </c>
    </row>
    <row r="40" spans="1:20" s="110" customFormat="1" x14ac:dyDescent="0.55000000000000004">
      <c r="C40" s="110" t="s">
        <v>1846</v>
      </c>
      <c r="D40" s="110" t="s">
        <v>1820</v>
      </c>
      <c r="E40" s="110" t="s">
        <v>1802</v>
      </c>
      <c r="F40" s="110">
        <v>81.796999999999997</v>
      </c>
      <c r="G40" s="110">
        <v>91.57</v>
      </c>
      <c r="H40" s="110">
        <f t="shared" ref="H40:H41" si="48">G40-F40</f>
        <v>9.7729999999999961</v>
      </c>
      <c r="I40" s="110">
        <f t="shared" ref="I40:I41" si="49">H40*0.0973</f>
        <v>0.95091289999999962</v>
      </c>
      <c r="J40" s="175">
        <f t="shared" ref="J40:J41" si="50">I40*20</f>
        <v>19.018257999999992</v>
      </c>
      <c r="K40" s="110" t="s">
        <v>83</v>
      </c>
      <c r="L40" s="110">
        <v>110</v>
      </c>
      <c r="M40" s="110">
        <v>1030</v>
      </c>
      <c r="N40" s="110">
        <v>51.6</v>
      </c>
      <c r="Q40" s="237"/>
      <c r="R40" s="237"/>
    </row>
    <row r="41" spans="1:20" x14ac:dyDescent="0.55000000000000004">
      <c r="B41">
        <v>17</v>
      </c>
      <c r="C41" t="s">
        <v>1847</v>
      </c>
      <c r="D41" t="s">
        <v>1820</v>
      </c>
      <c r="E41" t="s">
        <v>1802</v>
      </c>
      <c r="F41">
        <v>84.186000000000007</v>
      </c>
      <c r="G41">
        <v>96.995999999999995</v>
      </c>
      <c r="H41" s="7">
        <f t="shared" si="48"/>
        <v>12.809999999999988</v>
      </c>
      <c r="I41" s="7">
        <f t="shared" si="49"/>
        <v>1.2464129999999989</v>
      </c>
      <c r="J41" s="19">
        <f t="shared" si="50"/>
        <v>24.928259999999977</v>
      </c>
      <c r="K41" t="s">
        <v>83</v>
      </c>
      <c r="L41">
        <v>110</v>
      </c>
      <c r="M41">
        <v>1977</v>
      </c>
      <c r="N41">
        <v>99.05</v>
      </c>
      <c r="Q41" s="236"/>
      <c r="R41" s="236"/>
    </row>
    <row r="42" spans="1:20" s="110" customFormat="1" x14ac:dyDescent="0.55000000000000004">
      <c r="C42" s="110" t="s">
        <v>1848</v>
      </c>
      <c r="D42" s="110" t="s">
        <v>1820</v>
      </c>
      <c r="E42" s="110" t="s">
        <v>1802</v>
      </c>
      <c r="F42" s="110">
        <v>81.796999999999997</v>
      </c>
      <c r="G42" s="110">
        <v>93.254000000000005</v>
      </c>
      <c r="H42" s="110">
        <f t="shared" ref="H42:H43" si="51">G42-F42</f>
        <v>11.457000000000008</v>
      </c>
      <c r="I42" s="110">
        <f t="shared" ref="I42:I43" si="52">H42*0.0973</f>
        <v>1.1147661000000006</v>
      </c>
      <c r="J42" s="175">
        <f t="shared" ref="J42:J43" si="53">I42*20</f>
        <v>22.295322000000013</v>
      </c>
      <c r="K42" s="110" t="s">
        <v>83</v>
      </c>
      <c r="L42" s="110">
        <v>110</v>
      </c>
      <c r="M42" s="110">
        <v>1977</v>
      </c>
      <c r="N42" s="110">
        <v>99.05</v>
      </c>
      <c r="O42" s="110" t="s">
        <v>1879</v>
      </c>
      <c r="Q42" s="237"/>
      <c r="R42" s="237"/>
    </row>
    <row r="43" spans="1:20" x14ac:dyDescent="0.55000000000000004">
      <c r="B43">
        <v>18</v>
      </c>
      <c r="C43" t="s">
        <v>1849</v>
      </c>
      <c r="D43" t="s">
        <v>1820</v>
      </c>
      <c r="E43" t="s">
        <v>1802</v>
      </c>
      <c r="F43">
        <v>84.186000000000007</v>
      </c>
      <c r="G43">
        <v>93.671999999999997</v>
      </c>
      <c r="H43" s="7">
        <f t="shared" si="51"/>
        <v>9.48599999999999</v>
      </c>
      <c r="I43" s="7">
        <f t="shared" si="52"/>
        <v>0.92298779999999903</v>
      </c>
      <c r="J43" s="19">
        <f t="shared" si="53"/>
        <v>18.459755999999981</v>
      </c>
      <c r="K43" t="s">
        <v>83</v>
      </c>
      <c r="L43">
        <v>110</v>
      </c>
      <c r="M43">
        <v>2581</v>
      </c>
      <c r="N43">
        <v>129.31</v>
      </c>
      <c r="O43" t="s">
        <v>1880</v>
      </c>
      <c r="Q43" s="236"/>
      <c r="R43" s="236"/>
    </row>
    <row r="44" spans="1:20" s="110" customFormat="1" x14ac:dyDescent="0.55000000000000004">
      <c r="C44" s="110" t="s">
        <v>1850</v>
      </c>
      <c r="D44" s="110" t="s">
        <v>1820</v>
      </c>
      <c r="E44" s="110" t="s">
        <v>1802</v>
      </c>
      <c r="F44" s="110">
        <v>81.796999999999997</v>
      </c>
      <c r="G44" s="110">
        <v>90.628</v>
      </c>
      <c r="H44" s="110">
        <f t="shared" ref="H44:H45" si="54">G44-F44</f>
        <v>8.8310000000000031</v>
      </c>
      <c r="I44" s="110">
        <f t="shared" ref="I44:I45" si="55">H44*0.0973</f>
        <v>0.85925630000000031</v>
      </c>
      <c r="J44" s="175">
        <f t="shared" ref="J44:J45" si="56">I44*20</f>
        <v>17.185126000000007</v>
      </c>
      <c r="K44" s="110" t="s">
        <v>83</v>
      </c>
      <c r="L44" s="110">
        <v>110</v>
      </c>
      <c r="M44" s="110">
        <v>2581</v>
      </c>
      <c r="N44" s="110">
        <v>129.31</v>
      </c>
      <c r="Q44" s="237"/>
      <c r="R44" s="237"/>
    </row>
    <row r="45" spans="1:20" x14ac:dyDescent="0.55000000000000004">
      <c r="B45">
        <v>19</v>
      </c>
      <c r="C45" t="s">
        <v>1877</v>
      </c>
      <c r="D45" t="s">
        <v>1820</v>
      </c>
      <c r="E45" t="s">
        <v>1802</v>
      </c>
      <c r="F45">
        <v>83.152000000000001</v>
      </c>
      <c r="G45">
        <v>93.474999999999994</v>
      </c>
      <c r="H45" s="7">
        <f t="shared" si="54"/>
        <v>10.322999999999993</v>
      </c>
      <c r="I45" s="7">
        <f t="shared" si="55"/>
        <v>1.0044278999999994</v>
      </c>
      <c r="J45" s="19">
        <f t="shared" si="56"/>
        <v>20.088557999999988</v>
      </c>
      <c r="K45" t="s">
        <v>83</v>
      </c>
      <c r="L45">
        <v>110</v>
      </c>
      <c r="M45">
        <v>2663</v>
      </c>
      <c r="N45">
        <v>133.41999999999999</v>
      </c>
      <c r="Q45" s="236"/>
      <c r="R45" s="236"/>
    </row>
    <row r="46" spans="1:20" s="7" customFormat="1" x14ac:dyDescent="0.55000000000000004">
      <c r="B46" s="7">
        <v>20</v>
      </c>
      <c r="C46" s="7" t="s">
        <v>1878</v>
      </c>
      <c r="D46" s="7" t="s">
        <v>1820</v>
      </c>
      <c r="E46" s="7" t="s">
        <v>1802</v>
      </c>
      <c r="F46" s="7">
        <v>83.152000000000001</v>
      </c>
      <c r="G46" s="7">
        <v>106.846</v>
      </c>
      <c r="H46" s="7">
        <f t="shared" ref="H46" si="57">G46-F46</f>
        <v>23.694000000000003</v>
      </c>
      <c r="I46" s="7">
        <f t="shared" ref="I46" si="58">H46*0.0973</f>
        <v>2.3054262000000003</v>
      </c>
      <c r="J46" s="19">
        <f t="shared" ref="J46" si="59">I46*20</f>
        <v>46.108524000000003</v>
      </c>
      <c r="K46" s="7" t="s">
        <v>83</v>
      </c>
      <c r="L46" s="7">
        <v>110</v>
      </c>
      <c r="M46" s="7">
        <v>4364</v>
      </c>
      <c r="N46" s="7">
        <v>218.64</v>
      </c>
      <c r="O46" s="7" t="s">
        <v>1881</v>
      </c>
      <c r="Q46" s="239"/>
      <c r="R46" s="239"/>
    </row>
    <row r="47" spans="1:20" x14ac:dyDescent="0.55000000000000004">
      <c r="A47">
        <v>24</v>
      </c>
      <c r="C47" t="s">
        <v>1830</v>
      </c>
      <c r="D47" t="s">
        <v>1820</v>
      </c>
      <c r="E47" t="s">
        <v>1802</v>
      </c>
      <c r="F47" t="s">
        <v>325</v>
      </c>
      <c r="H47" s="7"/>
      <c r="I47" s="7"/>
      <c r="J47" s="19"/>
      <c r="O47">
        <f t="shared" si="7"/>
        <v>0</v>
      </c>
      <c r="Q47">
        <v>12</v>
      </c>
      <c r="R47">
        <v>0</v>
      </c>
      <c r="S47">
        <f t="shared" si="6"/>
        <v>0</v>
      </c>
      <c r="T47" t="s">
        <v>1851</v>
      </c>
    </row>
    <row r="48" spans="1:20" x14ac:dyDescent="0.55000000000000004">
      <c r="A48">
        <v>25</v>
      </c>
      <c r="B48">
        <v>21</v>
      </c>
      <c r="C48" t="s">
        <v>1882</v>
      </c>
      <c r="D48" t="s">
        <v>1855</v>
      </c>
      <c r="E48" t="s">
        <v>1856</v>
      </c>
      <c r="F48">
        <v>95.933000000000007</v>
      </c>
      <c r="G48">
        <v>106.55200000000001</v>
      </c>
      <c r="H48" s="7">
        <f t="shared" si="8"/>
        <v>10.619</v>
      </c>
      <c r="I48" s="7">
        <f t="shared" si="9"/>
        <v>1.0332287</v>
      </c>
      <c r="J48" s="19">
        <f t="shared" si="2"/>
        <v>20.664574000000002</v>
      </c>
      <c r="K48">
        <v>94.09</v>
      </c>
      <c r="L48">
        <v>1768</v>
      </c>
      <c r="M48">
        <v>2311</v>
      </c>
      <c r="N48">
        <v>118.23</v>
      </c>
      <c r="O48">
        <f t="shared" si="7"/>
        <v>24.14</v>
      </c>
      <c r="Q48">
        <v>11</v>
      </c>
      <c r="R48">
        <v>1</v>
      </c>
      <c r="S48">
        <f t="shared" si="6"/>
        <v>9.0909090909090912E-2</v>
      </c>
    </row>
    <row r="49" spans="1:20" s="107" customFormat="1" x14ac:dyDescent="0.55000000000000004">
      <c r="C49" s="107" t="s">
        <v>1883</v>
      </c>
      <c r="D49" s="107" t="s">
        <v>1855</v>
      </c>
      <c r="E49" s="107" t="s">
        <v>1856</v>
      </c>
      <c r="F49" s="107">
        <v>81.784999999999997</v>
      </c>
      <c r="G49" s="107">
        <v>98.777000000000001</v>
      </c>
      <c r="H49" s="107">
        <f t="shared" ref="H49" si="60">G49-F49</f>
        <v>16.992000000000004</v>
      </c>
      <c r="I49" s="107">
        <f t="shared" ref="I49" si="61">H49*0.0973</f>
        <v>1.6533216000000004</v>
      </c>
      <c r="J49" s="180">
        <f t="shared" ref="J49" si="62">I49*20</f>
        <v>33.066432000000006</v>
      </c>
      <c r="K49" s="107">
        <v>94.09</v>
      </c>
      <c r="L49" s="107">
        <v>1768</v>
      </c>
      <c r="M49" s="107">
        <v>2311</v>
      </c>
      <c r="N49" s="107">
        <v>118.23</v>
      </c>
      <c r="O49" s="107">
        <f t="shared" ref="O49" si="63">N49-K49</f>
        <v>24.14</v>
      </c>
      <c r="Q49" s="107">
        <v>11</v>
      </c>
      <c r="R49" s="107">
        <v>1</v>
      </c>
      <c r="S49" s="107">
        <f t="shared" ref="S49" si="64">R49/Q49</f>
        <v>9.0909090909090912E-2</v>
      </c>
    </row>
    <row r="50" spans="1:20" x14ac:dyDescent="0.55000000000000004">
      <c r="A50">
        <v>26</v>
      </c>
      <c r="C50" t="s">
        <v>1857</v>
      </c>
      <c r="D50" t="s">
        <v>1855</v>
      </c>
      <c r="E50" t="s">
        <v>1856</v>
      </c>
      <c r="F50" t="s">
        <v>325</v>
      </c>
      <c r="H50" s="7"/>
      <c r="I50" s="7"/>
      <c r="J50" s="19"/>
      <c r="K50">
        <v>108.5</v>
      </c>
      <c r="Q50">
        <v>10</v>
      </c>
      <c r="R50">
        <v>0</v>
      </c>
      <c r="S50">
        <f t="shared" si="6"/>
        <v>0</v>
      </c>
    </row>
    <row r="51" spans="1:20" x14ac:dyDescent="0.55000000000000004">
      <c r="A51">
        <v>27</v>
      </c>
      <c r="C51" t="s">
        <v>1858</v>
      </c>
      <c r="D51" t="s">
        <v>1855</v>
      </c>
      <c r="E51" t="s">
        <v>1856</v>
      </c>
      <c r="F51" t="s">
        <v>325</v>
      </c>
      <c r="H51" s="7"/>
      <c r="I51" s="7"/>
      <c r="J51" s="19"/>
      <c r="K51">
        <v>77.48</v>
      </c>
      <c r="Q51">
        <v>7</v>
      </c>
      <c r="R51">
        <v>0</v>
      </c>
      <c r="S51">
        <f t="shared" si="6"/>
        <v>0</v>
      </c>
    </row>
    <row r="52" spans="1:20" x14ac:dyDescent="0.55000000000000004">
      <c r="A52">
        <v>28</v>
      </c>
      <c r="C52" t="s">
        <v>1859</v>
      </c>
      <c r="D52" t="s">
        <v>1855</v>
      </c>
      <c r="E52" t="s">
        <v>1856</v>
      </c>
      <c r="F52" t="s">
        <v>325</v>
      </c>
      <c r="H52" s="7"/>
      <c r="I52" s="7"/>
      <c r="J52" s="19"/>
      <c r="K52">
        <v>77.42</v>
      </c>
      <c r="Q52">
        <v>9</v>
      </c>
      <c r="R52">
        <v>0</v>
      </c>
      <c r="S52">
        <f t="shared" si="6"/>
        <v>0</v>
      </c>
    </row>
    <row r="53" spans="1:20" x14ac:dyDescent="0.55000000000000004">
      <c r="A53">
        <v>29</v>
      </c>
      <c r="C53" t="s">
        <v>1860</v>
      </c>
      <c r="D53" t="s">
        <v>1855</v>
      </c>
      <c r="E53" t="s">
        <v>1856</v>
      </c>
      <c r="F53" t="s">
        <v>325</v>
      </c>
      <c r="H53" s="7"/>
      <c r="I53" s="7"/>
      <c r="J53" s="19"/>
      <c r="K53">
        <v>9.56</v>
      </c>
      <c r="O53">
        <f t="shared" si="7"/>
        <v>-9.56</v>
      </c>
      <c r="Q53">
        <v>6</v>
      </c>
      <c r="R53">
        <v>0</v>
      </c>
      <c r="S53">
        <f t="shared" si="6"/>
        <v>0</v>
      </c>
    </row>
    <row r="54" spans="1:20" x14ac:dyDescent="0.55000000000000004">
      <c r="A54">
        <v>30</v>
      </c>
      <c r="B54">
        <v>22</v>
      </c>
      <c r="C54" t="s">
        <v>1864</v>
      </c>
      <c r="D54" t="s">
        <v>1855</v>
      </c>
      <c r="E54" t="s">
        <v>1856</v>
      </c>
      <c r="F54">
        <v>79.894000000000005</v>
      </c>
      <c r="G54">
        <v>92.293999999999997</v>
      </c>
      <c r="H54" s="7">
        <f t="shared" si="8"/>
        <v>12.399999999999991</v>
      </c>
      <c r="I54" s="7">
        <f t="shared" si="9"/>
        <v>1.2065199999999991</v>
      </c>
      <c r="J54" s="19">
        <f t="shared" si="2"/>
        <v>24.130399999999984</v>
      </c>
      <c r="K54">
        <v>61.27</v>
      </c>
      <c r="L54">
        <v>857</v>
      </c>
      <c r="M54">
        <v>4161</v>
      </c>
      <c r="N54">
        <v>194.76</v>
      </c>
      <c r="O54">
        <f t="shared" si="7"/>
        <v>133.48999999999998</v>
      </c>
      <c r="Q54">
        <v>10</v>
      </c>
      <c r="R54">
        <v>2</v>
      </c>
      <c r="S54">
        <f t="shared" si="6"/>
        <v>0.2</v>
      </c>
    </row>
    <row r="55" spans="1:20" x14ac:dyDescent="0.55000000000000004">
      <c r="B55">
        <v>23</v>
      </c>
      <c r="C55" t="s">
        <v>1884</v>
      </c>
      <c r="D55" t="s">
        <v>1855</v>
      </c>
      <c r="E55" t="s">
        <v>1856</v>
      </c>
      <c r="F55">
        <v>79.790000000000006</v>
      </c>
      <c r="G55">
        <v>80.576999999999998</v>
      </c>
      <c r="H55" s="7">
        <f t="shared" ref="H55" si="65">G55-F55</f>
        <v>0.78699999999999193</v>
      </c>
      <c r="I55" s="7">
        <f t="shared" ref="I55" si="66">H55*0.0973</f>
        <v>7.6575099999999216E-2</v>
      </c>
      <c r="J55" s="19">
        <f t="shared" ref="J55" si="67">I55*20</f>
        <v>1.5315019999999844</v>
      </c>
      <c r="K55">
        <v>61.27</v>
      </c>
      <c r="L55">
        <v>857</v>
      </c>
      <c r="M55">
        <v>4746</v>
      </c>
      <c r="N55">
        <v>222.14</v>
      </c>
      <c r="O55">
        <f t="shared" ref="O55" si="68">N55-K55</f>
        <v>160.86999999999998</v>
      </c>
      <c r="P55" t="s">
        <v>1885</v>
      </c>
      <c r="Q55" s="15"/>
      <c r="R55" s="15"/>
    </row>
    <row r="56" spans="1:20" x14ac:dyDescent="0.55000000000000004">
      <c r="A56">
        <v>31</v>
      </c>
      <c r="C56" t="s">
        <v>1861</v>
      </c>
      <c r="D56" t="s">
        <v>1855</v>
      </c>
      <c r="E56" t="s">
        <v>1856</v>
      </c>
      <c r="F56" t="s">
        <v>325</v>
      </c>
      <c r="H56" s="7"/>
      <c r="I56" s="7"/>
      <c r="J56" s="19"/>
      <c r="K56">
        <v>44.87</v>
      </c>
      <c r="Q56">
        <v>6</v>
      </c>
      <c r="R56">
        <v>0</v>
      </c>
      <c r="S56">
        <f t="shared" si="6"/>
        <v>0</v>
      </c>
    </row>
    <row r="57" spans="1:20" x14ac:dyDescent="0.55000000000000004">
      <c r="A57">
        <v>32</v>
      </c>
      <c r="B57">
        <v>24</v>
      </c>
      <c r="C57" t="s">
        <v>1862</v>
      </c>
      <c r="D57" t="s">
        <v>1855</v>
      </c>
      <c r="E57" t="s">
        <v>1856</v>
      </c>
      <c r="F57">
        <v>76.218000000000004</v>
      </c>
      <c r="G57">
        <v>84.646000000000001</v>
      </c>
      <c r="H57" s="7">
        <f t="shared" si="8"/>
        <v>8.4279999999999973</v>
      </c>
      <c r="I57" s="7">
        <f t="shared" si="9"/>
        <v>0.82004439999999967</v>
      </c>
      <c r="J57" s="19">
        <f t="shared" si="2"/>
        <v>16.400887999999995</v>
      </c>
      <c r="K57">
        <v>21.99</v>
      </c>
      <c r="L57">
        <v>276</v>
      </c>
      <c r="M57">
        <v>894</v>
      </c>
      <c r="N57">
        <v>41.83</v>
      </c>
      <c r="O57">
        <f t="shared" si="7"/>
        <v>19.84</v>
      </c>
      <c r="Q57">
        <v>11</v>
      </c>
      <c r="R57">
        <v>2</v>
      </c>
      <c r="S57">
        <f t="shared" si="6"/>
        <v>0.18181818181818182</v>
      </c>
      <c r="T57" t="s">
        <v>1865</v>
      </c>
    </row>
    <row r="58" spans="1:20" x14ac:dyDescent="0.55000000000000004">
      <c r="A58">
        <v>33</v>
      </c>
      <c r="B58">
        <v>25</v>
      </c>
      <c r="C58" t="s">
        <v>1863</v>
      </c>
      <c r="D58" t="s">
        <v>1855</v>
      </c>
      <c r="E58" t="s">
        <v>1856</v>
      </c>
      <c r="F58">
        <v>84.953999999999994</v>
      </c>
      <c r="G58">
        <v>98.921000000000006</v>
      </c>
      <c r="H58" s="7">
        <f t="shared" si="8"/>
        <v>13.967000000000013</v>
      </c>
      <c r="I58" s="7">
        <f t="shared" si="9"/>
        <v>1.3589891000000012</v>
      </c>
      <c r="J58" s="19">
        <f t="shared" si="2"/>
        <v>27.179782000000024</v>
      </c>
      <c r="K58" t="s">
        <v>83</v>
      </c>
      <c r="L58">
        <v>1</v>
      </c>
      <c r="M58">
        <v>1586</v>
      </c>
      <c r="N58">
        <v>77.239999999999995</v>
      </c>
      <c r="Q58">
        <v>11</v>
      </c>
      <c r="R58">
        <v>2</v>
      </c>
      <c r="S58">
        <f t="shared" si="6"/>
        <v>0.18181818181818182</v>
      </c>
    </row>
    <row r="59" spans="1:20" x14ac:dyDescent="0.55000000000000004">
      <c r="A59">
        <v>34</v>
      </c>
      <c r="B59">
        <v>26</v>
      </c>
      <c r="C59" t="s">
        <v>1863</v>
      </c>
      <c r="D59" t="s">
        <v>1855</v>
      </c>
      <c r="E59" t="s">
        <v>1856</v>
      </c>
      <c r="F59">
        <v>89.644000000000005</v>
      </c>
      <c r="G59">
        <v>95.546000000000006</v>
      </c>
      <c r="H59" s="7">
        <f t="shared" ref="H59" si="69">G59-F59</f>
        <v>5.902000000000001</v>
      </c>
      <c r="I59" s="7">
        <f t="shared" ref="I59" si="70">H59*0.0973</f>
        <v>0.57426460000000012</v>
      </c>
      <c r="J59" s="19">
        <f t="shared" ref="J59" si="71">I59*20</f>
        <v>11.485292000000003</v>
      </c>
      <c r="K59" t="s">
        <v>83</v>
      </c>
      <c r="L59">
        <v>1</v>
      </c>
      <c r="M59">
        <v>1934</v>
      </c>
      <c r="N59">
        <v>94.19</v>
      </c>
      <c r="Q59" s="15"/>
      <c r="R59" s="15"/>
    </row>
    <row r="60" spans="1:20" x14ac:dyDescent="0.55000000000000004">
      <c r="A60">
        <v>35</v>
      </c>
      <c r="B60">
        <v>27</v>
      </c>
      <c r="C60" t="s">
        <v>1886</v>
      </c>
      <c r="D60" t="s">
        <v>1855</v>
      </c>
      <c r="E60" t="s">
        <v>1856</v>
      </c>
      <c r="F60">
        <v>84.664000000000001</v>
      </c>
      <c r="G60">
        <v>94.07</v>
      </c>
      <c r="H60" s="7">
        <f t="shared" si="8"/>
        <v>9.4059999999999917</v>
      </c>
      <c r="I60" s="7">
        <f t="shared" si="9"/>
        <v>0.91520379999999912</v>
      </c>
      <c r="J60" s="19">
        <f t="shared" si="2"/>
        <v>18.304075999999981</v>
      </c>
      <c r="K60">
        <v>136.05000000000001</v>
      </c>
      <c r="L60">
        <v>1924</v>
      </c>
      <c r="M60">
        <v>3675</v>
      </c>
      <c r="N60">
        <v>183.01</v>
      </c>
      <c r="O60">
        <f t="shared" si="7"/>
        <v>46.95999999999998</v>
      </c>
      <c r="Q60">
        <v>7</v>
      </c>
      <c r="R60">
        <v>2</v>
      </c>
      <c r="S60">
        <f t="shared" si="6"/>
        <v>0.2857142857142857</v>
      </c>
    </row>
    <row r="61" spans="1:20" s="107" customFormat="1" x14ac:dyDescent="0.55000000000000004">
      <c r="C61" s="107" t="s">
        <v>1887</v>
      </c>
      <c r="D61" s="107" t="s">
        <v>1855</v>
      </c>
      <c r="E61" s="107" t="s">
        <v>1856</v>
      </c>
      <c r="F61" s="107">
        <v>83.584999999999994</v>
      </c>
      <c r="G61" s="107">
        <v>79.724999999999994</v>
      </c>
      <c r="H61" s="107">
        <f t="shared" ref="H61" si="72">G61-F61</f>
        <v>-3.8599999999999994</v>
      </c>
      <c r="I61" s="107">
        <f t="shared" ref="I61" si="73">H61*0.0973</f>
        <v>-0.37557799999999991</v>
      </c>
      <c r="J61" s="180">
        <f t="shared" ref="J61" si="74">I61*20</f>
        <v>-7.5115599999999985</v>
      </c>
      <c r="K61" s="107">
        <v>136.05000000000001</v>
      </c>
      <c r="L61" s="107">
        <v>1924</v>
      </c>
      <c r="M61" s="107">
        <v>3675</v>
      </c>
      <c r="N61" s="107">
        <v>183.01</v>
      </c>
      <c r="O61" s="107">
        <f t="shared" ref="O61" si="75">N61-K61</f>
        <v>46.95999999999998</v>
      </c>
      <c r="Q61" s="107">
        <v>7</v>
      </c>
      <c r="R61" s="107">
        <v>2</v>
      </c>
      <c r="S61" s="107">
        <f t="shared" ref="S61" si="76">R61/Q61</f>
        <v>0.2857142857142857</v>
      </c>
    </row>
    <row r="62" spans="1:20" x14ac:dyDescent="0.55000000000000004">
      <c r="B62">
        <v>28</v>
      </c>
      <c r="C62" t="s">
        <v>1866</v>
      </c>
      <c r="D62" t="s">
        <v>1855</v>
      </c>
      <c r="E62" t="s">
        <v>1856</v>
      </c>
      <c r="F62">
        <v>82.013999999999996</v>
      </c>
      <c r="G62">
        <v>110.422</v>
      </c>
      <c r="H62" s="7">
        <f t="shared" ref="H62" si="77">G62-F62</f>
        <v>28.408000000000001</v>
      </c>
      <c r="I62" s="7">
        <f t="shared" ref="I62" si="78">H62*0.0973</f>
        <v>2.7640984</v>
      </c>
      <c r="J62" s="19">
        <f t="shared" ref="J62" si="79">I62*20</f>
        <v>55.281967999999999</v>
      </c>
      <c r="K62">
        <v>136.05000000000001</v>
      </c>
      <c r="L62">
        <v>1924</v>
      </c>
      <c r="M62">
        <v>5340</v>
      </c>
      <c r="N62">
        <v>265.92</v>
      </c>
      <c r="O62">
        <f t="shared" ref="O62" si="80">N62-K62</f>
        <v>129.87</v>
      </c>
      <c r="Q62" s="15"/>
      <c r="R62" s="15"/>
    </row>
    <row r="63" spans="1:20" s="107" customFormat="1" x14ac:dyDescent="0.55000000000000004">
      <c r="C63" s="107" t="s">
        <v>1867</v>
      </c>
      <c r="D63" s="107" t="s">
        <v>1855</v>
      </c>
      <c r="E63" s="107" t="s">
        <v>1856</v>
      </c>
      <c r="F63" s="107">
        <v>78.277000000000001</v>
      </c>
      <c r="G63" s="107">
        <v>86.412000000000006</v>
      </c>
      <c r="H63" s="107">
        <f t="shared" ref="H63" si="81">G63-F63</f>
        <v>8.1350000000000051</v>
      </c>
      <c r="I63" s="107">
        <f t="shared" ref="I63" si="82">H63*0.0973</f>
        <v>0.7915355000000005</v>
      </c>
      <c r="J63" s="180">
        <f t="shared" ref="J63" si="83">I63*20</f>
        <v>15.83071000000001</v>
      </c>
      <c r="K63" s="107">
        <v>136.05000000000001</v>
      </c>
      <c r="L63" s="107">
        <v>1924</v>
      </c>
      <c r="M63" s="107">
        <v>5340</v>
      </c>
      <c r="N63" s="107">
        <v>265.92</v>
      </c>
      <c r="O63" s="107">
        <f t="shared" ref="O63:O64" si="84">N63-K63</f>
        <v>129.87</v>
      </c>
      <c r="Q63" s="217"/>
      <c r="R63" s="217"/>
    </row>
    <row r="64" spans="1:20" x14ac:dyDescent="0.55000000000000004">
      <c r="A64">
        <v>36</v>
      </c>
      <c r="B64">
        <v>29</v>
      </c>
      <c r="C64" t="s">
        <v>1868</v>
      </c>
      <c r="D64" t="s">
        <v>1855</v>
      </c>
      <c r="E64" t="s">
        <v>1856</v>
      </c>
      <c r="F64">
        <v>90.554000000000002</v>
      </c>
      <c r="G64">
        <v>99.281000000000006</v>
      </c>
      <c r="H64" s="7">
        <f t="shared" ref="H64" si="85">G64-F64</f>
        <v>8.7270000000000039</v>
      </c>
      <c r="I64" s="7">
        <f t="shared" ref="I64" si="86">H64*0.0973</f>
        <v>0.84913710000000031</v>
      </c>
      <c r="J64" s="19">
        <f t="shared" si="2"/>
        <v>16.982742000000005</v>
      </c>
      <c r="K64">
        <v>89.58</v>
      </c>
      <c r="L64">
        <v>1450</v>
      </c>
      <c r="M64">
        <v>2610</v>
      </c>
      <c r="N64">
        <v>130.76</v>
      </c>
      <c r="O64">
        <f t="shared" si="84"/>
        <v>41.179999999999993</v>
      </c>
      <c r="Q64">
        <v>14</v>
      </c>
      <c r="R64">
        <v>2</v>
      </c>
      <c r="S64">
        <f t="shared" si="6"/>
        <v>0.14285714285714285</v>
      </c>
    </row>
    <row r="65" spans="2:20" s="107" customFormat="1" x14ac:dyDescent="0.55000000000000004">
      <c r="C65" s="107" t="s">
        <v>1869</v>
      </c>
      <c r="D65" s="107" t="s">
        <v>1855</v>
      </c>
      <c r="E65" s="107" t="s">
        <v>1856</v>
      </c>
      <c r="F65" s="107">
        <v>86.536000000000001</v>
      </c>
      <c r="G65" s="107">
        <v>94.120999999999995</v>
      </c>
      <c r="H65" s="107">
        <f t="shared" ref="H65:H66" si="87">G65-F65</f>
        <v>7.5849999999999937</v>
      </c>
      <c r="I65" s="107">
        <f t="shared" ref="I65:I66" si="88">H65*0.0973</f>
        <v>0.73802049999999941</v>
      </c>
      <c r="J65" s="180">
        <f t="shared" ref="J65:J66" si="89">I65*20</f>
        <v>14.760409999999988</v>
      </c>
      <c r="K65" s="107">
        <v>89.58</v>
      </c>
      <c r="L65" s="107">
        <v>1450</v>
      </c>
      <c r="M65" s="107">
        <v>2610</v>
      </c>
      <c r="N65" s="107">
        <v>130.76</v>
      </c>
      <c r="O65" s="107">
        <f t="shared" ref="O65:O66" si="90">N65-K65</f>
        <v>41.179999999999993</v>
      </c>
      <c r="Q65" s="217"/>
      <c r="R65" s="217"/>
    </row>
    <row r="66" spans="2:20" x14ac:dyDescent="0.55000000000000004">
      <c r="B66">
        <v>30</v>
      </c>
      <c r="C66" t="s">
        <v>1870</v>
      </c>
      <c r="D66" t="s">
        <v>1855</v>
      </c>
      <c r="E66" t="s">
        <v>1856</v>
      </c>
      <c r="F66" s="7">
        <v>78.233999999999995</v>
      </c>
      <c r="G66">
        <v>94.376000000000005</v>
      </c>
      <c r="H66" s="7">
        <f t="shared" si="87"/>
        <v>16.14200000000001</v>
      </c>
      <c r="I66" s="7">
        <f t="shared" si="88"/>
        <v>1.570616600000001</v>
      </c>
      <c r="J66" s="19">
        <f t="shared" si="89"/>
        <v>31.412332000000021</v>
      </c>
      <c r="K66">
        <v>89.58</v>
      </c>
      <c r="L66">
        <v>1450</v>
      </c>
      <c r="M66">
        <v>4805</v>
      </c>
      <c r="N66">
        <v>240.73</v>
      </c>
      <c r="O66">
        <f t="shared" si="90"/>
        <v>151.14999999999998</v>
      </c>
      <c r="Q66" s="15"/>
      <c r="R66" s="15"/>
    </row>
    <row r="67" spans="2:20" x14ac:dyDescent="0.55000000000000004">
      <c r="H67" s="7"/>
      <c r="I67" s="7"/>
      <c r="J67" s="19"/>
      <c r="O67">
        <f t="shared" si="7"/>
        <v>0</v>
      </c>
    </row>
    <row r="69" spans="2:20" x14ac:dyDescent="0.55000000000000004">
      <c r="Q69">
        <f>SUM(Q2:Q67)</f>
        <v>362</v>
      </c>
      <c r="R69">
        <f>SUM(R2:R67)</f>
        <v>33</v>
      </c>
      <c r="S69">
        <f>(SUM(S2,S4:S9,S10:S11,S13,S17,S19,S27:S33,S37:S39,S47:S54,S56:S58,S60,S64))/(COUNT(S2,S4:S9,S10:S11,S13,S17,S19,S27:S33,S37:S39,S47:S54,S56:S58,S60,S64))*100</f>
        <v>7.8044733044733032</v>
      </c>
      <c r="T69" s="3">
        <f xml:space="preserve"> STDEV(S2,S4:S9,S10:S11,S13,S17,S19,S27:S33,S37:S39,S47:S54,S56:S58,S60,S64)/SQRT(COUNT(S2,S4:S9,S10:S11,S13,S17,S19,S27:S33,S37:S39,S47:S54,S56:S58,S60,S64))*100</f>
        <v>1.7239095875542578</v>
      </c>
    </row>
    <row r="70" spans="2:20" x14ac:dyDescent="0.55000000000000004">
      <c r="I70" t="s">
        <v>225</v>
      </c>
      <c r="J70" s="3">
        <f>(SUM(J2,J10:J13,J15:J17,J19,J21,J24:J25,J32,J34:J35,J37,J39,J41,J43,J45:J46,J48,J54:J55,J57:J60,J62,J64,J66))/(COUNT(J2,J10:J13,J15:J17,J19,J21,J24:J25,J32,J34:J35,J37,J39,J41,J43,J45:J46,J48,J54:J55,J57:J60,J62,J64,J66))</f>
        <v>25.348658774193542</v>
      </c>
      <c r="R70">
        <f>(R69/Q69)*100</f>
        <v>9.1160220994475143</v>
      </c>
    </row>
    <row r="71" spans="2:20" x14ac:dyDescent="0.55000000000000004">
      <c r="I71" t="s">
        <v>226</v>
      </c>
      <c r="J71" s="3">
        <f xml:space="preserve"> STDEV(J2,J10:J13,J15:J17,J19,J21,J24:J25,J32,J34:J35,J37,J39,J41,J43,J45:J46,J48,J54:J55,J57:J60,J62,J64,J66)/SQRT(COUNT(J2,J10:J13,J15:J17,J19,J21,J24:J25,J32,J34:J35,J37,J39,J41,J43,J45:J46,J48,J54:J55,J57:J60,J62,J64,J66))</f>
        <v>2.1837700082487101</v>
      </c>
    </row>
  </sheetData>
  <phoneticPr fontId="46" type="noConversion"/>
  <pageMargins left="0.7" right="0.7" top="0.75" bottom="0.75" header="0.3" footer="0.3"/>
  <pageSetup paperSize="9" orientation="portrait" horizontalDpi="4294967293" verticalDpi="0"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8C245D-75B5-4880-BE49-81FE6B8B3978}">
  <dimension ref="A1:W65"/>
  <sheetViews>
    <sheetView zoomScale="85" zoomScaleNormal="85" workbookViewId="0">
      <selection activeCell="L21" sqref="L21"/>
    </sheetView>
  </sheetViews>
  <sheetFormatPr defaultRowHeight="14.4" x14ac:dyDescent="0.55000000000000004"/>
  <cols>
    <col min="1" max="1" width="4.47265625" customWidth="1"/>
    <col min="2" max="2" width="5.62890625" customWidth="1"/>
    <col min="3" max="3" width="13.7890625" customWidth="1"/>
    <col min="4" max="4" width="10.15625" customWidth="1"/>
  </cols>
  <sheetData>
    <row r="1" spans="1:22" ht="86.4" x14ac:dyDescent="0.55000000000000004">
      <c r="A1" t="s">
        <v>922</v>
      </c>
      <c r="B1" s="3" t="s">
        <v>973</v>
      </c>
      <c r="C1" s="2" t="s">
        <v>0</v>
      </c>
      <c r="D1" s="2" t="s">
        <v>90</v>
      </c>
      <c r="E1" s="2" t="s">
        <v>88</v>
      </c>
      <c r="F1" s="2" t="s">
        <v>2</v>
      </c>
      <c r="G1" s="2" t="s">
        <v>3</v>
      </c>
      <c r="H1" s="2" t="s">
        <v>11</v>
      </c>
      <c r="I1" s="2" t="s">
        <v>12</v>
      </c>
      <c r="J1" s="2" t="s">
        <v>1267</v>
      </c>
      <c r="K1" s="2" t="s">
        <v>19</v>
      </c>
      <c r="L1" s="2" t="s">
        <v>10</v>
      </c>
      <c r="M1" s="2" t="s">
        <v>8</v>
      </c>
      <c r="N1" s="2" t="s">
        <v>9</v>
      </c>
      <c r="O1" s="2" t="s">
        <v>123</v>
      </c>
      <c r="P1" s="2" t="s">
        <v>5</v>
      </c>
      <c r="Q1" s="3" t="s">
        <v>355</v>
      </c>
      <c r="R1" s="3" t="s">
        <v>450</v>
      </c>
      <c r="S1" s="2" t="s">
        <v>1888</v>
      </c>
      <c r="T1" s="168" t="s">
        <v>1009</v>
      </c>
      <c r="U1" s="168" t="s">
        <v>1257</v>
      </c>
    </row>
    <row r="2" spans="1:22" x14ac:dyDescent="0.55000000000000004">
      <c r="A2">
        <v>1</v>
      </c>
      <c r="B2">
        <v>1</v>
      </c>
      <c r="C2" t="s">
        <v>1890</v>
      </c>
      <c r="D2" t="s">
        <v>1889</v>
      </c>
      <c r="E2" t="s">
        <v>384</v>
      </c>
      <c r="F2" s="7" t="s">
        <v>325</v>
      </c>
      <c r="G2" s="7"/>
      <c r="H2" s="7"/>
      <c r="I2" s="7"/>
      <c r="J2" s="19"/>
      <c r="K2" s="7">
        <v>137.91</v>
      </c>
      <c r="L2" s="7"/>
      <c r="M2" s="7"/>
      <c r="N2" s="7"/>
      <c r="Q2" s="7">
        <v>8</v>
      </c>
      <c r="R2" s="7">
        <v>0</v>
      </c>
      <c r="S2">
        <f>R2/Q2</f>
        <v>0</v>
      </c>
      <c r="T2" s="236"/>
      <c r="U2" s="236"/>
    </row>
    <row r="3" spans="1:22" x14ac:dyDescent="0.55000000000000004">
      <c r="A3">
        <v>2</v>
      </c>
      <c r="C3" t="s">
        <v>1891</v>
      </c>
      <c r="D3" t="s">
        <v>1889</v>
      </c>
      <c r="E3" t="s">
        <v>384</v>
      </c>
      <c r="F3" t="s">
        <v>325</v>
      </c>
      <c r="H3" s="7"/>
      <c r="I3" s="7"/>
      <c r="J3" s="19"/>
      <c r="K3" t="s">
        <v>1090</v>
      </c>
      <c r="Q3">
        <v>11</v>
      </c>
      <c r="R3">
        <v>0</v>
      </c>
      <c r="S3">
        <f t="shared" ref="S3:S54" si="0">R3/Q3</f>
        <v>0</v>
      </c>
      <c r="T3" s="236"/>
      <c r="U3" s="236"/>
    </row>
    <row r="4" spans="1:22" x14ac:dyDescent="0.55000000000000004">
      <c r="A4">
        <v>3</v>
      </c>
      <c r="C4" t="s">
        <v>1898</v>
      </c>
      <c r="D4" t="s">
        <v>1889</v>
      </c>
      <c r="E4" t="s">
        <v>384</v>
      </c>
      <c r="H4" s="7">
        <f t="shared" ref="H4:H29" si="1">G4-F4</f>
        <v>0</v>
      </c>
      <c r="I4" s="7">
        <f t="shared" ref="I4:I29" si="2">H4*0.0973</f>
        <v>0</v>
      </c>
      <c r="J4" s="19">
        <f t="shared" ref="J4:J29" si="3">I4*20</f>
        <v>0</v>
      </c>
      <c r="K4">
        <v>6.66</v>
      </c>
      <c r="L4">
        <v>438</v>
      </c>
      <c r="M4">
        <v>992</v>
      </c>
      <c r="N4">
        <v>54.45</v>
      </c>
      <c r="O4">
        <f t="shared" ref="O4:O54" si="4">N4-K4</f>
        <v>47.790000000000006</v>
      </c>
      <c r="Q4">
        <v>6</v>
      </c>
      <c r="R4">
        <v>2</v>
      </c>
      <c r="S4">
        <f t="shared" si="0"/>
        <v>0.33333333333333331</v>
      </c>
      <c r="T4" t="s">
        <v>1040</v>
      </c>
    </row>
    <row r="5" spans="1:22" x14ac:dyDescent="0.55000000000000004">
      <c r="C5" t="s">
        <v>1899</v>
      </c>
      <c r="D5" t="s">
        <v>1889</v>
      </c>
      <c r="E5" t="s">
        <v>384</v>
      </c>
      <c r="H5" s="7">
        <f t="shared" ref="H5" si="5">G5-F5</f>
        <v>0</v>
      </c>
      <c r="I5" s="7">
        <f t="shared" ref="I5" si="6">H5*0.0973</f>
        <v>0</v>
      </c>
      <c r="J5" s="19">
        <f t="shared" ref="J5" si="7">I5*20</f>
        <v>0</v>
      </c>
      <c r="K5">
        <v>6.66</v>
      </c>
      <c r="L5">
        <v>438</v>
      </c>
      <c r="M5">
        <v>992</v>
      </c>
      <c r="N5">
        <v>54.45</v>
      </c>
      <c r="O5">
        <f t="shared" ref="O5" si="8">N5-K5</f>
        <v>47.790000000000006</v>
      </c>
      <c r="Q5" s="236"/>
      <c r="R5" s="236"/>
      <c r="T5" s="236"/>
      <c r="U5" s="236"/>
    </row>
    <row r="6" spans="1:22" x14ac:dyDescent="0.55000000000000004">
      <c r="C6" t="s">
        <v>1900</v>
      </c>
      <c r="D6" t="s">
        <v>1889</v>
      </c>
      <c r="E6" t="s">
        <v>384</v>
      </c>
      <c r="H6" s="7">
        <f t="shared" ref="H6" si="9">G6-F6</f>
        <v>0</v>
      </c>
      <c r="I6" s="7">
        <f t="shared" ref="I6" si="10">H6*0.0973</f>
        <v>0</v>
      </c>
      <c r="J6" s="19">
        <f t="shared" ref="J6" si="11">I6*20</f>
        <v>0</v>
      </c>
      <c r="K6">
        <v>6.66</v>
      </c>
      <c r="L6">
        <v>438</v>
      </c>
      <c r="M6">
        <v>1888</v>
      </c>
      <c r="N6">
        <v>99.83</v>
      </c>
      <c r="O6">
        <f t="shared" ref="O6" si="12">N6-K6</f>
        <v>93.17</v>
      </c>
      <c r="Q6" s="236"/>
      <c r="R6" s="236"/>
      <c r="T6" t="s">
        <v>455</v>
      </c>
    </row>
    <row r="7" spans="1:22" x14ac:dyDescent="0.55000000000000004">
      <c r="A7">
        <v>4</v>
      </c>
      <c r="C7" t="s">
        <v>1892</v>
      </c>
      <c r="D7" t="s">
        <v>1889</v>
      </c>
      <c r="E7" t="s">
        <v>384</v>
      </c>
      <c r="F7" t="s">
        <v>325</v>
      </c>
      <c r="H7" s="7"/>
      <c r="I7" s="7"/>
      <c r="J7" s="19"/>
      <c r="K7">
        <v>78.27</v>
      </c>
      <c r="Q7">
        <v>10</v>
      </c>
      <c r="R7">
        <v>0</v>
      </c>
      <c r="S7">
        <f t="shared" si="0"/>
        <v>0</v>
      </c>
      <c r="T7" s="236"/>
      <c r="U7" s="236"/>
    </row>
    <row r="8" spans="1:22" x14ac:dyDescent="0.55000000000000004">
      <c r="A8">
        <v>5</v>
      </c>
      <c r="C8" t="s">
        <v>1901</v>
      </c>
      <c r="D8" t="s">
        <v>1889</v>
      </c>
      <c r="E8" t="s">
        <v>384</v>
      </c>
      <c r="H8" s="7">
        <f t="shared" si="1"/>
        <v>0</v>
      </c>
      <c r="I8" s="7">
        <f t="shared" si="2"/>
        <v>0</v>
      </c>
      <c r="J8" s="19">
        <f t="shared" si="3"/>
        <v>0</v>
      </c>
      <c r="K8">
        <v>3.83</v>
      </c>
      <c r="L8">
        <v>14</v>
      </c>
      <c r="M8">
        <v>1037</v>
      </c>
      <c r="N8">
        <v>49.66</v>
      </c>
      <c r="O8">
        <f t="shared" si="4"/>
        <v>45.83</v>
      </c>
      <c r="Q8">
        <v>19</v>
      </c>
      <c r="R8">
        <v>6</v>
      </c>
      <c r="S8">
        <f t="shared" si="0"/>
        <v>0.31578947368421051</v>
      </c>
      <c r="T8" t="s">
        <v>558</v>
      </c>
      <c r="U8" t="s">
        <v>455</v>
      </c>
    </row>
    <row r="9" spans="1:22" x14ac:dyDescent="0.55000000000000004">
      <c r="C9" t="s">
        <v>1902</v>
      </c>
      <c r="D9" t="s">
        <v>1889</v>
      </c>
      <c r="E9" t="s">
        <v>384</v>
      </c>
      <c r="H9" s="7">
        <f t="shared" ref="H9:H10" si="13">G9-F9</f>
        <v>0</v>
      </c>
      <c r="I9" s="7">
        <f t="shared" ref="I9:I10" si="14">H9*0.0973</f>
        <v>0</v>
      </c>
      <c r="J9" s="19">
        <f t="shared" ref="J9:J10" si="15">I9*20</f>
        <v>0</v>
      </c>
      <c r="K9">
        <v>3.83</v>
      </c>
      <c r="L9">
        <v>14</v>
      </c>
      <c r="M9">
        <v>1037</v>
      </c>
      <c r="N9">
        <v>49.66</v>
      </c>
      <c r="O9">
        <f t="shared" ref="O9:O10" si="16">N9-K9</f>
        <v>45.83</v>
      </c>
      <c r="Q9" s="236"/>
      <c r="R9" s="236"/>
      <c r="T9" s="236"/>
      <c r="U9" s="236"/>
    </row>
    <row r="10" spans="1:22" x14ac:dyDescent="0.55000000000000004">
      <c r="C10" t="s">
        <v>1903</v>
      </c>
      <c r="D10" t="s">
        <v>1889</v>
      </c>
      <c r="E10" t="s">
        <v>384</v>
      </c>
      <c r="H10" s="7">
        <f t="shared" si="13"/>
        <v>0</v>
      </c>
      <c r="I10" s="7">
        <f t="shared" si="14"/>
        <v>0</v>
      </c>
      <c r="J10" s="19">
        <f t="shared" si="15"/>
        <v>0</v>
      </c>
      <c r="K10">
        <v>3.83</v>
      </c>
      <c r="L10">
        <v>14</v>
      </c>
      <c r="M10">
        <v>1534</v>
      </c>
      <c r="N10">
        <v>73.45</v>
      </c>
      <c r="O10">
        <f t="shared" si="16"/>
        <v>69.62</v>
      </c>
      <c r="Q10" s="236"/>
      <c r="R10" s="236"/>
      <c r="T10" t="s">
        <v>558</v>
      </c>
      <c r="U10" t="s">
        <v>558</v>
      </c>
    </row>
    <row r="11" spans="1:22" x14ac:dyDescent="0.55000000000000004">
      <c r="C11" t="s">
        <v>1904</v>
      </c>
      <c r="D11" t="s">
        <v>1889</v>
      </c>
      <c r="E11" t="s">
        <v>384</v>
      </c>
      <c r="H11" s="7">
        <f t="shared" ref="H11" si="17">G11-F11</f>
        <v>0</v>
      </c>
      <c r="I11" s="7">
        <f t="shared" ref="I11" si="18">H11*0.0973</f>
        <v>0</v>
      </c>
      <c r="J11" s="19">
        <f t="shared" ref="J11" si="19">I11*20</f>
        <v>0</v>
      </c>
      <c r="K11">
        <v>3.83</v>
      </c>
      <c r="L11">
        <v>14</v>
      </c>
      <c r="M11">
        <v>2280</v>
      </c>
      <c r="N11">
        <v>109.18</v>
      </c>
      <c r="O11">
        <f t="shared" ref="O11" si="20">N11-K11</f>
        <v>105.35000000000001</v>
      </c>
      <c r="P11" t="s">
        <v>969</v>
      </c>
      <c r="Q11" s="236"/>
      <c r="R11" s="236"/>
      <c r="T11" t="s">
        <v>558</v>
      </c>
      <c r="U11" t="s">
        <v>455</v>
      </c>
    </row>
    <row r="12" spans="1:22" x14ac:dyDescent="0.55000000000000004">
      <c r="C12" t="s">
        <v>1905</v>
      </c>
      <c r="D12" t="s">
        <v>1889</v>
      </c>
      <c r="E12" t="s">
        <v>384</v>
      </c>
      <c r="H12" s="7">
        <f t="shared" ref="H12" si="21">G12-F12</f>
        <v>0</v>
      </c>
      <c r="I12" s="7">
        <f t="shared" ref="I12" si="22">H12*0.0973</f>
        <v>0</v>
      </c>
      <c r="J12" s="19">
        <f t="shared" ref="J12" si="23">I12*20</f>
        <v>0</v>
      </c>
      <c r="K12">
        <v>3.83</v>
      </c>
      <c r="L12">
        <v>14</v>
      </c>
      <c r="M12">
        <v>2608</v>
      </c>
      <c r="N12">
        <v>124.88</v>
      </c>
      <c r="O12">
        <f t="shared" ref="O12" si="24">N12-K12</f>
        <v>121.05</v>
      </c>
      <c r="Q12" s="236"/>
      <c r="R12" s="236"/>
      <c r="T12" t="s">
        <v>558</v>
      </c>
      <c r="U12" t="s">
        <v>558</v>
      </c>
      <c r="V12" t="s">
        <v>1906</v>
      </c>
    </row>
    <row r="13" spans="1:22" x14ac:dyDescent="0.55000000000000004">
      <c r="C13" t="s">
        <v>1907</v>
      </c>
      <c r="D13" t="s">
        <v>1889</v>
      </c>
      <c r="E13" t="s">
        <v>384</v>
      </c>
      <c r="H13" s="7">
        <f t="shared" ref="H13" si="25">G13-F13</f>
        <v>0</v>
      </c>
      <c r="I13" s="7">
        <f t="shared" ref="I13" si="26">H13*0.0973</f>
        <v>0</v>
      </c>
      <c r="J13" s="19">
        <f t="shared" ref="J13" si="27">I13*20</f>
        <v>0</v>
      </c>
      <c r="K13">
        <v>3.83</v>
      </c>
      <c r="L13">
        <v>14</v>
      </c>
      <c r="M13">
        <v>3785</v>
      </c>
      <c r="N13">
        <v>181.24</v>
      </c>
      <c r="O13">
        <f t="shared" ref="O13" si="28">N13-K13</f>
        <v>177.41</v>
      </c>
      <c r="Q13" s="236"/>
      <c r="R13" s="236"/>
      <c r="T13" t="s">
        <v>558</v>
      </c>
      <c r="U13" t="s">
        <v>558</v>
      </c>
    </row>
    <row r="14" spans="1:22" x14ac:dyDescent="0.55000000000000004">
      <c r="C14" t="s">
        <v>1908</v>
      </c>
      <c r="D14" t="s">
        <v>1889</v>
      </c>
      <c r="E14" t="s">
        <v>384</v>
      </c>
      <c r="H14" s="7">
        <f t="shared" ref="H14" si="29">G14-F14</f>
        <v>0</v>
      </c>
      <c r="I14" s="7">
        <f t="shared" ref="I14" si="30">H14*0.0973</f>
        <v>0</v>
      </c>
      <c r="J14" s="19">
        <f t="shared" ref="J14" si="31">I14*20</f>
        <v>0</v>
      </c>
      <c r="K14">
        <v>3.83</v>
      </c>
      <c r="L14">
        <v>14</v>
      </c>
      <c r="M14">
        <v>3785</v>
      </c>
      <c r="N14">
        <v>181.24</v>
      </c>
      <c r="O14">
        <f t="shared" ref="O14" si="32">N14-K14</f>
        <v>177.41</v>
      </c>
      <c r="Q14" s="236"/>
      <c r="R14" s="236"/>
      <c r="T14" s="236"/>
      <c r="U14" s="236"/>
    </row>
    <row r="15" spans="1:22" x14ac:dyDescent="0.55000000000000004">
      <c r="C15" t="s">
        <v>1893</v>
      </c>
      <c r="D15" t="s">
        <v>1889</v>
      </c>
      <c r="E15" t="s">
        <v>384</v>
      </c>
      <c r="F15" t="s">
        <v>47</v>
      </c>
      <c r="H15" s="7"/>
      <c r="I15" s="7"/>
      <c r="J15" s="19"/>
      <c r="O15">
        <f t="shared" si="4"/>
        <v>0</v>
      </c>
      <c r="Q15" s="236"/>
      <c r="R15" s="236"/>
      <c r="T15" s="236"/>
      <c r="U15" s="236"/>
    </row>
    <row r="16" spans="1:22" x14ac:dyDescent="0.55000000000000004">
      <c r="A16">
        <v>6</v>
      </c>
      <c r="C16" t="s">
        <v>1910</v>
      </c>
      <c r="D16" t="s">
        <v>1889</v>
      </c>
      <c r="E16" t="s">
        <v>384</v>
      </c>
      <c r="H16" s="7">
        <f t="shared" si="1"/>
        <v>0</v>
      </c>
      <c r="I16" s="7">
        <f t="shared" si="2"/>
        <v>0</v>
      </c>
      <c r="J16" s="19">
        <f t="shared" si="3"/>
        <v>0</v>
      </c>
      <c r="K16">
        <v>92.71</v>
      </c>
      <c r="L16">
        <v>910</v>
      </c>
      <c r="M16">
        <v>2357</v>
      </c>
      <c r="N16">
        <v>118.57</v>
      </c>
      <c r="O16">
        <f t="shared" si="4"/>
        <v>25.86</v>
      </c>
      <c r="Q16">
        <v>7</v>
      </c>
      <c r="R16">
        <v>4</v>
      </c>
      <c r="S16">
        <f t="shared" si="0"/>
        <v>0.5714285714285714</v>
      </c>
      <c r="T16" t="s">
        <v>455</v>
      </c>
      <c r="V16" t="s">
        <v>1906</v>
      </c>
    </row>
    <row r="17" spans="1:23" x14ac:dyDescent="0.55000000000000004">
      <c r="C17" t="s">
        <v>1909</v>
      </c>
      <c r="D17" t="s">
        <v>1889</v>
      </c>
      <c r="E17" t="s">
        <v>384</v>
      </c>
      <c r="H17" s="7">
        <f t="shared" ref="H17" si="33">G17-F17</f>
        <v>0</v>
      </c>
      <c r="I17" s="7">
        <f t="shared" ref="I17" si="34">H17*0.0973</f>
        <v>0</v>
      </c>
      <c r="J17" s="19">
        <f t="shared" ref="J17" si="35">I17*20</f>
        <v>0</v>
      </c>
      <c r="K17">
        <v>92.71</v>
      </c>
      <c r="L17">
        <v>910</v>
      </c>
      <c r="M17">
        <v>3088</v>
      </c>
      <c r="N17">
        <v>155.34</v>
      </c>
      <c r="O17">
        <f t="shared" ref="O17" si="36">N17-K17</f>
        <v>62.63000000000001</v>
      </c>
      <c r="Q17" s="236"/>
      <c r="R17" s="236"/>
      <c r="T17" t="s">
        <v>558</v>
      </c>
      <c r="U17" t="s">
        <v>558</v>
      </c>
      <c r="W17" t="s">
        <v>1911</v>
      </c>
    </row>
    <row r="18" spans="1:23" x14ac:dyDescent="0.55000000000000004">
      <c r="C18" t="s">
        <v>1912</v>
      </c>
      <c r="D18" t="s">
        <v>1889</v>
      </c>
      <c r="E18" t="s">
        <v>384</v>
      </c>
      <c r="H18" s="7">
        <f t="shared" ref="H18" si="37">G18-F18</f>
        <v>0</v>
      </c>
      <c r="I18" s="7">
        <f t="shared" ref="I18" si="38">H18*0.0973</f>
        <v>0</v>
      </c>
      <c r="J18" s="19">
        <f t="shared" ref="J18" si="39">I18*20</f>
        <v>0</v>
      </c>
      <c r="K18">
        <v>92.71</v>
      </c>
      <c r="L18">
        <v>910</v>
      </c>
      <c r="M18">
        <v>3289</v>
      </c>
      <c r="N18">
        <v>165.46</v>
      </c>
      <c r="O18">
        <f t="shared" ref="O18" si="40">N18-K18</f>
        <v>72.750000000000014</v>
      </c>
      <c r="Q18" s="236"/>
      <c r="R18" s="236"/>
      <c r="T18" t="s">
        <v>558</v>
      </c>
      <c r="U18" t="s">
        <v>558</v>
      </c>
      <c r="W18" t="s">
        <v>1911</v>
      </c>
    </row>
    <row r="19" spans="1:23" x14ac:dyDescent="0.55000000000000004">
      <c r="C19" t="s">
        <v>1894</v>
      </c>
      <c r="D19" t="s">
        <v>1889</v>
      </c>
      <c r="E19" t="s">
        <v>384</v>
      </c>
      <c r="F19" t="s">
        <v>47</v>
      </c>
      <c r="H19" s="7"/>
      <c r="I19" s="7"/>
      <c r="J19" s="19"/>
      <c r="O19">
        <f t="shared" si="4"/>
        <v>0</v>
      </c>
      <c r="S19" t="e">
        <f t="shared" si="0"/>
        <v>#DIV/0!</v>
      </c>
    </row>
    <row r="20" spans="1:23" x14ac:dyDescent="0.55000000000000004">
      <c r="A20">
        <v>7</v>
      </c>
      <c r="C20" t="s">
        <v>1895</v>
      </c>
      <c r="D20" t="s">
        <v>1889</v>
      </c>
      <c r="E20" t="s">
        <v>384</v>
      </c>
      <c r="H20" s="7">
        <f t="shared" si="1"/>
        <v>0</v>
      </c>
      <c r="I20" s="7">
        <f t="shared" si="2"/>
        <v>0</v>
      </c>
      <c r="J20" s="19">
        <f t="shared" si="3"/>
        <v>0</v>
      </c>
      <c r="K20" t="s">
        <v>83</v>
      </c>
      <c r="L20">
        <v>1</v>
      </c>
      <c r="M20">
        <v>1183</v>
      </c>
      <c r="N20">
        <v>61.14</v>
      </c>
      <c r="S20" t="e">
        <f t="shared" si="0"/>
        <v>#DIV/0!</v>
      </c>
    </row>
    <row r="21" spans="1:23" x14ac:dyDescent="0.55000000000000004">
      <c r="C21" t="s">
        <v>1896</v>
      </c>
      <c r="D21" t="s">
        <v>1889</v>
      </c>
      <c r="E21" t="s">
        <v>384</v>
      </c>
      <c r="H21" s="7">
        <f t="shared" si="1"/>
        <v>0</v>
      </c>
      <c r="I21" s="7">
        <f t="shared" si="2"/>
        <v>0</v>
      </c>
      <c r="J21" s="19">
        <f t="shared" si="3"/>
        <v>0</v>
      </c>
      <c r="O21">
        <f t="shared" si="4"/>
        <v>0</v>
      </c>
      <c r="S21" t="e">
        <f t="shared" si="0"/>
        <v>#DIV/0!</v>
      </c>
    </row>
    <row r="22" spans="1:23" x14ac:dyDescent="0.55000000000000004">
      <c r="C22" t="s">
        <v>1897</v>
      </c>
      <c r="D22" t="s">
        <v>1889</v>
      </c>
      <c r="E22" t="s">
        <v>384</v>
      </c>
      <c r="H22" s="7">
        <f t="shared" si="1"/>
        <v>0</v>
      </c>
      <c r="I22" s="7">
        <f t="shared" si="2"/>
        <v>0</v>
      </c>
      <c r="J22" s="19">
        <f t="shared" si="3"/>
        <v>0</v>
      </c>
      <c r="O22">
        <f t="shared" si="4"/>
        <v>0</v>
      </c>
      <c r="S22" t="e">
        <f t="shared" si="0"/>
        <v>#DIV/0!</v>
      </c>
    </row>
    <row r="23" spans="1:23" x14ac:dyDescent="0.55000000000000004">
      <c r="E23" t="s">
        <v>384</v>
      </c>
      <c r="H23" s="7">
        <f t="shared" si="1"/>
        <v>0</v>
      </c>
      <c r="I23" s="7">
        <f t="shared" si="2"/>
        <v>0</v>
      </c>
      <c r="J23" s="19">
        <f t="shared" si="3"/>
        <v>0</v>
      </c>
      <c r="O23">
        <f t="shared" si="4"/>
        <v>0</v>
      </c>
      <c r="S23" t="e">
        <f t="shared" si="0"/>
        <v>#DIV/0!</v>
      </c>
    </row>
    <row r="24" spans="1:23" x14ac:dyDescent="0.55000000000000004">
      <c r="E24" t="s">
        <v>384</v>
      </c>
      <c r="H24" s="7">
        <f t="shared" si="1"/>
        <v>0</v>
      </c>
      <c r="I24" s="7">
        <f t="shared" si="2"/>
        <v>0</v>
      </c>
      <c r="J24" s="19">
        <f t="shared" si="3"/>
        <v>0</v>
      </c>
      <c r="O24">
        <f t="shared" si="4"/>
        <v>0</v>
      </c>
      <c r="S24" t="e">
        <f t="shared" si="0"/>
        <v>#DIV/0!</v>
      </c>
    </row>
    <row r="25" spans="1:23" x14ac:dyDescent="0.55000000000000004">
      <c r="E25" t="s">
        <v>384</v>
      </c>
      <c r="H25" s="7">
        <f t="shared" si="1"/>
        <v>0</v>
      </c>
      <c r="I25" s="7">
        <f t="shared" si="2"/>
        <v>0</v>
      </c>
      <c r="J25" s="19">
        <f t="shared" si="3"/>
        <v>0</v>
      </c>
      <c r="O25">
        <f t="shared" si="4"/>
        <v>0</v>
      </c>
      <c r="S25" t="e">
        <f t="shared" si="0"/>
        <v>#DIV/0!</v>
      </c>
    </row>
    <row r="26" spans="1:23" x14ac:dyDescent="0.55000000000000004">
      <c r="E26" t="s">
        <v>384</v>
      </c>
      <c r="H26" s="7">
        <f t="shared" si="1"/>
        <v>0</v>
      </c>
      <c r="I26" s="7">
        <f t="shared" si="2"/>
        <v>0</v>
      </c>
      <c r="J26" s="19">
        <f t="shared" si="3"/>
        <v>0</v>
      </c>
      <c r="O26">
        <f t="shared" si="4"/>
        <v>0</v>
      </c>
      <c r="S26" t="e">
        <f t="shared" si="0"/>
        <v>#DIV/0!</v>
      </c>
    </row>
    <row r="27" spans="1:23" x14ac:dyDescent="0.55000000000000004">
      <c r="E27" t="s">
        <v>384</v>
      </c>
      <c r="H27" s="7">
        <f t="shared" si="1"/>
        <v>0</v>
      </c>
      <c r="I27" s="7">
        <f t="shared" si="2"/>
        <v>0</v>
      </c>
      <c r="J27" s="19">
        <f t="shared" si="3"/>
        <v>0</v>
      </c>
      <c r="O27">
        <f t="shared" si="4"/>
        <v>0</v>
      </c>
      <c r="S27" t="e">
        <f t="shared" si="0"/>
        <v>#DIV/0!</v>
      </c>
    </row>
    <row r="28" spans="1:23" x14ac:dyDescent="0.55000000000000004">
      <c r="E28" t="s">
        <v>384</v>
      </c>
      <c r="H28" s="7">
        <f t="shared" si="1"/>
        <v>0</v>
      </c>
      <c r="I28" s="7">
        <f t="shared" si="2"/>
        <v>0</v>
      </c>
      <c r="J28" s="19">
        <f t="shared" si="3"/>
        <v>0</v>
      </c>
      <c r="O28">
        <f t="shared" si="4"/>
        <v>0</v>
      </c>
      <c r="S28" t="e">
        <f t="shared" si="0"/>
        <v>#DIV/0!</v>
      </c>
    </row>
    <row r="29" spans="1:23" x14ac:dyDescent="0.55000000000000004">
      <c r="E29" t="s">
        <v>384</v>
      </c>
      <c r="H29" s="7">
        <f t="shared" si="1"/>
        <v>0</v>
      </c>
      <c r="I29" s="7">
        <f t="shared" si="2"/>
        <v>0</v>
      </c>
      <c r="J29" s="19">
        <f t="shared" si="3"/>
        <v>0</v>
      </c>
      <c r="O29">
        <f t="shared" si="4"/>
        <v>0</v>
      </c>
      <c r="S29" t="e">
        <f t="shared" si="0"/>
        <v>#DIV/0!</v>
      </c>
    </row>
    <row r="30" spans="1:23" x14ac:dyDescent="0.55000000000000004">
      <c r="E30" t="s">
        <v>384</v>
      </c>
      <c r="H30" s="7">
        <f t="shared" ref="H30:H54" si="41">G30-F30</f>
        <v>0</v>
      </c>
      <c r="I30" s="7">
        <f t="shared" ref="I30:I54" si="42">H30*0.0973</f>
        <v>0</v>
      </c>
      <c r="J30" s="19">
        <f t="shared" ref="J30:J54" si="43">I30*20</f>
        <v>0</v>
      </c>
      <c r="O30">
        <f t="shared" si="4"/>
        <v>0</v>
      </c>
      <c r="S30" t="e">
        <f t="shared" si="0"/>
        <v>#DIV/0!</v>
      </c>
    </row>
    <row r="31" spans="1:23" x14ac:dyDescent="0.55000000000000004">
      <c r="E31" t="s">
        <v>384</v>
      </c>
      <c r="H31" s="7">
        <f t="shared" si="41"/>
        <v>0</v>
      </c>
      <c r="I31" s="7">
        <f t="shared" si="42"/>
        <v>0</v>
      </c>
      <c r="J31" s="19">
        <f t="shared" si="43"/>
        <v>0</v>
      </c>
      <c r="O31">
        <f t="shared" si="4"/>
        <v>0</v>
      </c>
      <c r="S31" t="e">
        <f t="shared" si="0"/>
        <v>#DIV/0!</v>
      </c>
    </row>
    <row r="32" spans="1:23" x14ac:dyDescent="0.55000000000000004">
      <c r="H32" s="7">
        <f t="shared" si="41"/>
        <v>0</v>
      </c>
      <c r="I32" s="7">
        <f t="shared" si="42"/>
        <v>0</v>
      </c>
      <c r="J32" s="19">
        <f t="shared" si="43"/>
        <v>0</v>
      </c>
      <c r="O32">
        <f t="shared" si="4"/>
        <v>0</v>
      </c>
      <c r="S32" t="e">
        <f t="shared" si="0"/>
        <v>#DIV/0!</v>
      </c>
    </row>
    <row r="33" spans="8:19" x14ac:dyDescent="0.55000000000000004">
      <c r="H33" s="7">
        <f t="shared" si="41"/>
        <v>0</v>
      </c>
      <c r="I33" s="7">
        <f t="shared" si="42"/>
        <v>0</v>
      </c>
      <c r="J33" s="19">
        <f t="shared" si="43"/>
        <v>0</v>
      </c>
      <c r="O33">
        <f t="shared" si="4"/>
        <v>0</v>
      </c>
      <c r="S33" t="e">
        <f t="shared" si="0"/>
        <v>#DIV/0!</v>
      </c>
    </row>
    <row r="34" spans="8:19" x14ac:dyDescent="0.55000000000000004">
      <c r="H34" s="7">
        <f t="shared" si="41"/>
        <v>0</v>
      </c>
      <c r="I34" s="7">
        <f t="shared" si="42"/>
        <v>0</v>
      </c>
      <c r="J34" s="19">
        <f t="shared" si="43"/>
        <v>0</v>
      </c>
      <c r="O34">
        <f t="shared" si="4"/>
        <v>0</v>
      </c>
      <c r="S34" t="e">
        <f t="shared" si="0"/>
        <v>#DIV/0!</v>
      </c>
    </row>
    <row r="35" spans="8:19" x14ac:dyDescent="0.55000000000000004">
      <c r="H35" s="7">
        <f t="shared" si="41"/>
        <v>0</v>
      </c>
      <c r="I35" s="7">
        <f t="shared" si="42"/>
        <v>0</v>
      </c>
      <c r="J35" s="19">
        <f t="shared" si="43"/>
        <v>0</v>
      </c>
      <c r="O35">
        <f t="shared" si="4"/>
        <v>0</v>
      </c>
      <c r="S35" t="e">
        <f t="shared" si="0"/>
        <v>#DIV/0!</v>
      </c>
    </row>
    <row r="36" spans="8:19" x14ac:dyDescent="0.55000000000000004">
      <c r="H36" s="7">
        <f t="shared" si="41"/>
        <v>0</v>
      </c>
      <c r="I36" s="7">
        <f t="shared" si="42"/>
        <v>0</v>
      </c>
      <c r="J36" s="19">
        <f t="shared" si="43"/>
        <v>0</v>
      </c>
      <c r="O36">
        <f t="shared" si="4"/>
        <v>0</v>
      </c>
      <c r="S36" t="e">
        <f t="shared" si="0"/>
        <v>#DIV/0!</v>
      </c>
    </row>
    <row r="37" spans="8:19" x14ac:dyDescent="0.55000000000000004">
      <c r="H37" s="7">
        <f t="shared" si="41"/>
        <v>0</v>
      </c>
      <c r="I37" s="7">
        <f t="shared" si="42"/>
        <v>0</v>
      </c>
      <c r="J37" s="19">
        <f t="shared" si="43"/>
        <v>0</v>
      </c>
      <c r="O37">
        <f t="shared" si="4"/>
        <v>0</v>
      </c>
      <c r="S37" t="e">
        <f t="shared" si="0"/>
        <v>#DIV/0!</v>
      </c>
    </row>
    <row r="38" spans="8:19" x14ac:dyDescent="0.55000000000000004">
      <c r="H38" s="7">
        <f t="shared" si="41"/>
        <v>0</v>
      </c>
      <c r="I38" s="7">
        <f t="shared" si="42"/>
        <v>0</v>
      </c>
      <c r="J38" s="19">
        <f t="shared" si="43"/>
        <v>0</v>
      </c>
      <c r="O38">
        <f t="shared" si="4"/>
        <v>0</v>
      </c>
      <c r="S38" t="e">
        <f t="shared" si="0"/>
        <v>#DIV/0!</v>
      </c>
    </row>
    <row r="39" spans="8:19" x14ac:dyDescent="0.55000000000000004">
      <c r="H39" s="7">
        <f t="shared" si="41"/>
        <v>0</v>
      </c>
      <c r="I39" s="7">
        <f t="shared" si="42"/>
        <v>0</v>
      </c>
      <c r="J39" s="19">
        <f t="shared" si="43"/>
        <v>0</v>
      </c>
      <c r="O39">
        <f t="shared" si="4"/>
        <v>0</v>
      </c>
      <c r="S39" t="e">
        <f t="shared" si="0"/>
        <v>#DIV/0!</v>
      </c>
    </row>
    <row r="40" spans="8:19" x14ac:dyDescent="0.55000000000000004">
      <c r="H40" s="7">
        <f t="shared" si="41"/>
        <v>0</v>
      </c>
      <c r="I40" s="7">
        <f t="shared" si="42"/>
        <v>0</v>
      </c>
      <c r="J40" s="19">
        <f t="shared" si="43"/>
        <v>0</v>
      </c>
      <c r="O40">
        <f t="shared" si="4"/>
        <v>0</v>
      </c>
      <c r="S40" t="e">
        <f t="shared" si="0"/>
        <v>#DIV/0!</v>
      </c>
    </row>
    <row r="41" spans="8:19" x14ac:dyDescent="0.55000000000000004">
      <c r="H41" s="7">
        <f t="shared" si="41"/>
        <v>0</v>
      </c>
      <c r="I41" s="7">
        <f t="shared" si="42"/>
        <v>0</v>
      </c>
      <c r="J41" s="19">
        <f t="shared" si="43"/>
        <v>0</v>
      </c>
      <c r="O41">
        <f t="shared" si="4"/>
        <v>0</v>
      </c>
      <c r="S41" t="e">
        <f t="shared" si="0"/>
        <v>#DIV/0!</v>
      </c>
    </row>
    <row r="42" spans="8:19" x14ac:dyDescent="0.55000000000000004">
      <c r="H42" s="7">
        <f t="shared" si="41"/>
        <v>0</v>
      </c>
      <c r="I42" s="7">
        <f t="shared" si="42"/>
        <v>0</v>
      </c>
      <c r="J42" s="19">
        <f t="shared" si="43"/>
        <v>0</v>
      </c>
      <c r="O42">
        <f t="shared" si="4"/>
        <v>0</v>
      </c>
      <c r="S42" t="e">
        <f t="shared" si="0"/>
        <v>#DIV/0!</v>
      </c>
    </row>
    <row r="43" spans="8:19" x14ac:dyDescent="0.55000000000000004">
      <c r="H43" s="7">
        <f t="shared" si="41"/>
        <v>0</v>
      </c>
      <c r="I43" s="7">
        <f t="shared" si="42"/>
        <v>0</v>
      </c>
      <c r="J43" s="19">
        <f t="shared" si="43"/>
        <v>0</v>
      </c>
      <c r="O43">
        <f t="shared" si="4"/>
        <v>0</v>
      </c>
      <c r="S43" t="e">
        <f t="shared" si="0"/>
        <v>#DIV/0!</v>
      </c>
    </row>
    <row r="44" spans="8:19" x14ac:dyDescent="0.55000000000000004">
      <c r="H44" s="7">
        <f t="shared" si="41"/>
        <v>0</v>
      </c>
      <c r="I44" s="7">
        <f t="shared" si="42"/>
        <v>0</v>
      </c>
      <c r="J44" s="19">
        <f t="shared" si="43"/>
        <v>0</v>
      </c>
      <c r="O44">
        <f t="shared" si="4"/>
        <v>0</v>
      </c>
      <c r="S44" t="e">
        <f t="shared" si="0"/>
        <v>#DIV/0!</v>
      </c>
    </row>
    <row r="45" spans="8:19" x14ac:dyDescent="0.55000000000000004">
      <c r="H45" s="7">
        <f t="shared" si="41"/>
        <v>0</v>
      </c>
      <c r="I45" s="7">
        <f t="shared" si="42"/>
        <v>0</v>
      </c>
      <c r="J45" s="19">
        <f t="shared" si="43"/>
        <v>0</v>
      </c>
      <c r="O45">
        <f t="shared" si="4"/>
        <v>0</v>
      </c>
      <c r="S45" t="e">
        <f t="shared" si="0"/>
        <v>#DIV/0!</v>
      </c>
    </row>
    <row r="46" spans="8:19" x14ac:dyDescent="0.55000000000000004">
      <c r="H46" s="7">
        <f t="shared" si="41"/>
        <v>0</v>
      </c>
      <c r="I46" s="7">
        <f t="shared" si="42"/>
        <v>0</v>
      </c>
      <c r="J46" s="19">
        <f t="shared" si="43"/>
        <v>0</v>
      </c>
      <c r="O46">
        <f t="shared" si="4"/>
        <v>0</v>
      </c>
      <c r="S46" t="e">
        <f t="shared" si="0"/>
        <v>#DIV/0!</v>
      </c>
    </row>
    <row r="47" spans="8:19" x14ac:dyDescent="0.55000000000000004">
      <c r="H47" s="7">
        <f t="shared" si="41"/>
        <v>0</v>
      </c>
      <c r="I47" s="7">
        <f t="shared" si="42"/>
        <v>0</v>
      </c>
      <c r="J47" s="19">
        <f t="shared" si="43"/>
        <v>0</v>
      </c>
      <c r="O47">
        <f t="shared" si="4"/>
        <v>0</v>
      </c>
      <c r="S47" t="e">
        <f t="shared" si="0"/>
        <v>#DIV/0!</v>
      </c>
    </row>
    <row r="48" spans="8:19" x14ac:dyDescent="0.55000000000000004">
      <c r="H48" s="7">
        <f t="shared" si="41"/>
        <v>0</v>
      </c>
      <c r="I48" s="7">
        <f t="shared" si="42"/>
        <v>0</v>
      </c>
      <c r="J48" s="19">
        <f t="shared" si="43"/>
        <v>0</v>
      </c>
      <c r="O48">
        <f t="shared" si="4"/>
        <v>0</v>
      </c>
      <c r="S48" t="e">
        <f t="shared" si="0"/>
        <v>#DIV/0!</v>
      </c>
    </row>
    <row r="49" spans="8:20" x14ac:dyDescent="0.55000000000000004">
      <c r="H49" s="7">
        <f t="shared" si="41"/>
        <v>0</v>
      </c>
      <c r="I49" s="7">
        <f t="shared" si="42"/>
        <v>0</v>
      </c>
      <c r="J49" s="19">
        <f t="shared" si="43"/>
        <v>0</v>
      </c>
      <c r="O49">
        <f t="shared" si="4"/>
        <v>0</v>
      </c>
      <c r="S49" t="e">
        <f t="shared" si="0"/>
        <v>#DIV/0!</v>
      </c>
    </row>
    <row r="50" spans="8:20" x14ac:dyDescent="0.55000000000000004">
      <c r="H50" s="7">
        <f t="shared" si="41"/>
        <v>0</v>
      </c>
      <c r="I50" s="7">
        <f t="shared" si="42"/>
        <v>0</v>
      </c>
      <c r="J50" s="19">
        <f t="shared" si="43"/>
        <v>0</v>
      </c>
      <c r="O50">
        <f t="shared" si="4"/>
        <v>0</v>
      </c>
      <c r="S50" t="e">
        <f t="shared" si="0"/>
        <v>#DIV/0!</v>
      </c>
    </row>
    <row r="51" spans="8:20" x14ac:dyDescent="0.55000000000000004">
      <c r="H51" s="7">
        <f t="shared" si="41"/>
        <v>0</v>
      </c>
      <c r="I51" s="7">
        <f t="shared" si="42"/>
        <v>0</v>
      </c>
      <c r="J51" s="19">
        <f t="shared" si="43"/>
        <v>0</v>
      </c>
      <c r="O51">
        <f t="shared" si="4"/>
        <v>0</v>
      </c>
      <c r="S51" t="e">
        <f t="shared" si="0"/>
        <v>#DIV/0!</v>
      </c>
    </row>
    <row r="52" spans="8:20" x14ac:dyDescent="0.55000000000000004">
      <c r="H52" s="7">
        <f t="shared" si="41"/>
        <v>0</v>
      </c>
      <c r="I52" s="7">
        <f t="shared" si="42"/>
        <v>0</v>
      </c>
      <c r="J52" s="19">
        <f t="shared" si="43"/>
        <v>0</v>
      </c>
      <c r="O52">
        <f t="shared" si="4"/>
        <v>0</v>
      </c>
      <c r="S52" t="e">
        <f t="shared" si="0"/>
        <v>#DIV/0!</v>
      </c>
    </row>
    <row r="53" spans="8:20" x14ac:dyDescent="0.55000000000000004">
      <c r="H53" s="7">
        <f t="shared" si="41"/>
        <v>0</v>
      </c>
      <c r="I53" s="7">
        <f t="shared" si="42"/>
        <v>0</v>
      </c>
      <c r="J53" s="19">
        <f t="shared" si="43"/>
        <v>0</v>
      </c>
      <c r="O53">
        <f t="shared" si="4"/>
        <v>0</v>
      </c>
      <c r="S53" t="e">
        <f t="shared" si="0"/>
        <v>#DIV/0!</v>
      </c>
    </row>
    <row r="54" spans="8:20" x14ac:dyDescent="0.55000000000000004">
      <c r="H54" s="7">
        <f t="shared" si="41"/>
        <v>0</v>
      </c>
      <c r="I54" s="7">
        <f t="shared" si="42"/>
        <v>0</v>
      </c>
      <c r="J54" s="19">
        <f t="shared" si="43"/>
        <v>0</v>
      </c>
      <c r="O54">
        <f t="shared" si="4"/>
        <v>0</v>
      </c>
      <c r="S54" t="e">
        <f t="shared" si="0"/>
        <v>#DIV/0!</v>
      </c>
    </row>
    <row r="55" spans="8:20" x14ac:dyDescent="0.55000000000000004">
      <c r="H55" s="7"/>
      <c r="I55" s="7"/>
      <c r="J55" s="19"/>
    </row>
    <row r="56" spans="8:20" x14ac:dyDescent="0.55000000000000004">
      <c r="H56" s="7"/>
      <c r="I56" s="7"/>
      <c r="J56" s="19"/>
    </row>
    <row r="57" spans="8:20" x14ac:dyDescent="0.55000000000000004">
      <c r="H57" s="7"/>
      <c r="Q57">
        <f>SUM(Q2:Q54)</f>
        <v>61</v>
      </c>
      <c r="R57">
        <f>SUM(R2:R54)</f>
        <v>12</v>
      </c>
      <c r="S57">
        <f>(SUM(S2:S4,S7,S8,S16))/(COUNT(S2:S4,S7,S8,S16))*100</f>
        <v>20.342522974101922</v>
      </c>
      <c r="T57" s="3">
        <f xml:space="preserve"> STDEV(S2:S4,S7,S8,S16)/SQRT(COUNT(S2:S4,S7,S8,S16))*100</f>
        <v>9.8162071846282366</v>
      </c>
    </row>
    <row r="58" spans="8:20" x14ac:dyDescent="0.55000000000000004">
      <c r="H58" s="7"/>
      <c r="I58" t="s">
        <v>225</v>
      </c>
      <c r="J58" s="3" t="e">
        <f>(SUM(#REF!,#REF!,J3:J5,J7,J9,J12:J13,J20,J22:J23,J25,J27,J29,J31,J33:J34,J36,J42:J43,J45:J48,J50,J52,J54))/(COUNT(#REF!,#REF!,J3:J5,J7,J9,J12:J13,J20,J22:J23,J25,J27,J29,J31,J33:J34,J36,J42:J43,J45:J48,J50,J52,J54))</f>
        <v>#REF!</v>
      </c>
      <c r="R58">
        <f>(R57/Q57)*100</f>
        <v>19.672131147540984</v>
      </c>
    </row>
    <row r="59" spans="8:20" x14ac:dyDescent="0.55000000000000004">
      <c r="H59" s="7"/>
      <c r="I59" t="s">
        <v>226</v>
      </c>
      <c r="J59" s="3" t="e">
        <f xml:space="preserve"> STDEV(#REF!,#REF!,J3:J5,J7,J9,J12:J13,J20,J22:J23,J25,J27,J29,J31,J33:J34,J36,J42:J43,J45:J48,J50,J52,J54)/SQRT(COUNT(#REF!,#REF!,J3:J5,J7,J9,J12:J13,J20,J22:J23,J25,J27,J29,J31,J33:J34,J36,J42:J43,J45:J48,J50,J52,J54))</f>
        <v>#REF!</v>
      </c>
    </row>
    <row r="60" spans="8:20" x14ac:dyDescent="0.55000000000000004">
      <c r="H60" s="7"/>
      <c r="I60" s="7"/>
      <c r="J60" s="19"/>
    </row>
    <row r="61" spans="8:20" x14ac:dyDescent="0.55000000000000004">
      <c r="H61" s="7"/>
      <c r="I61" s="7"/>
      <c r="J61" s="19"/>
    </row>
    <row r="62" spans="8:20" x14ac:dyDescent="0.55000000000000004">
      <c r="H62" s="7"/>
      <c r="I62" s="7"/>
      <c r="J62" s="19"/>
    </row>
    <row r="63" spans="8:20" x14ac:dyDescent="0.55000000000000004">
      <c r="H63" s="7"/>
      <c r="I63" s="7"/>
      <c r="J63" s="19"/>
    </row>
    <row r="64" spans="8:20" x14ac:dyDescent="0.55000000000000004">
      <c r="H64" s="7"/>
      <c r="I64" s="7"/>
      <c r="J64" s="19"/>
    </row>
    <row r="65" spans="8:10" x14ac:dyDescent="0.55000000000000004">
      <c r="H65" s="7"/>
      <c r="I65" s="7"/>
      <c r="J65" s="19"/>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8558FE-28DB-4E8D-8CB6-8CD75D6F050D}">
  <dimension ref="A1"/>
  <sheetViews>
    <sheetView workbookViewId="0"/>
  </sheetViews>
  <sheetFormatPr defaultRowHeight="14.4" x14ac:dyDescent="0.55000000000000004"/>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48415A-9DAF-4D2E-B7E1-2A23B8A67FB0}">
  <dimension ref="A1"/>
  <sheetViews>
    <sheetView workbookViewId="0"/>
  </sheetViews>
  <sheetFormatPr defaultRowHeight="14.4" x14ac:dyDescent="0.55000000000000004"/>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AB128"/>
  <sheetViews>
    <sheetView topLeftCell="A31" zoomScale="70" zoomScaleNormal="70" workbookViewId="0">
      <selection activeCell="AC50" sqref="AC50"/>
    </sheetView>
  </sheetViews>
  <sheetFormatPr defaultRowHeight="14.4" x14ac:dyDescent="0.55000000000000004"/>
  <cols>
    <col min="3" max="3" width="10.7890625" customWidth="1"/>
    <col min="4" max="4" width="12.15625" customWidth="1"/>
    <col min="5" max="5" width="14.3125" customWidth="1"/>
  </cols>
  <sheetData>
    <row r="1" spans="2:27" ht="57.6" x14ac:dyDescent="0.55000000000000004">
      <c r="B1" s="81"/>
      <c r="D1" t="s">
        <v>90</v>
      </c>
      <c r="E1" s="1" t="s">
        <v>0</v>
      </c>
      <c r="F1" s="1" t="s">
        <v>1</v>
      </c>
      <c r="G1" s="1" t="s">
        <v>88</v>
      </c>
      <c r="H1" s="1"/>
      <c r="I1" s="1" t="s">
        <v>569</v>
      </c>
      <c r="J1" s="1" t="s">
        <v>2</v>
      </c>
      <c r="K1" s="1" t="s">
        <v>3</v>
      </c>
      <c r="L1" s="1" t="s">
        <v>11</v>
      </c>
      <c r="M1" s="1" t="s">
        <v>12</v>
      </c>
      <c r="N1" s="2" t="s">
        <v>4</v>
      </c>
      <c r="O1" s="1" t="s">
        <v>19</v>
      </c>
      <c r="P1" s="1" t="s">
        <v>10</v>
      </c>
      <c r="Q1" s="1" t="s">
        <v>8</v>
      </c>
      <c r="R1" s="1" t="s">
        <v>9</v>
      </c>
      <c r="S1" s="1" t="s">
        <v>123</v>
      </c>
      <c r="T1" s="1" t="s">
        <v>5</v>
      </c>
      <c r="U1" s="1" t="s">
        <v>355</v>
      </c>
      <c r="V1" s="1" t="s">
        <v>327</v>
      </c>
    </row>
    <row r="2" spans="2:27" x14ac:dyDescent="0.55000000000000004">
      <c r="B2" s="73">
        <v>1</v>
      </c>
      <c r="C2">
        <v>1</v>
      </c>
      <c r="D2" t="s">
        <v>559</v>
      </c>
      <c r="E2" t="s">
        <v>570</v>
      </c>
      <c r="F2" t="s">
        <v>563</v>
      </c>
      <c r="G2" t="s">
        <v>384</v>
      </c>
      <c r="H2" t="s">
        <v>641</v>
      </c>
      <c r="I2">
        <v>20</v>
      </c>
      <c r="J2">
        <v>81.41</v>
      </c>
      <c r="K2">
        <v>89.171000000000006</v>
      </c>
      <c r="L2">
        <f t="shared" ref="L2:L26" si="0">K2-J2</f>
        <v>7.7610000000000099</v>
      </c>
      <c r="M2">
        <f t="shared" ref="M2:M26" si="1">L2*0.0973</f>
        <v>0.75514530000000091</v>
      </c>
      <c r="N2" s="3">
        <f t="shared" ref="N2:N26" si="2">M2*20</f>
        <v>15.102906000000019</v>
      </c>
      <c r="O2">
        <v>82.92</v>
      </c>
      <c r="P2">
        <v>2036</v>
      </c>
      <c r="Q2">
        <v>2529</v>
      </c>
      <c r="R2">
        <v>128.33000000000001</v>
      </c>
      <c r="S2">
        <f>R2-O2</f>
        <v>45.410000000000011</v>
      </c>
      <c r="U2" s="3">
        <v>10</v>
      </c>
      <c r="V2" s="3">
        <v>2</v>
      </c>
      <c r="X2">
        <f>V2/(U2)</f>
        <v>0.2</v>
      </c>
    </row>
    <row r="3" spans="2:27" x14ac:dyDescent="0.55000000000000004">
      <c r="B3" s="7">
        <v>2</v>
      </c>
      <c r="C3">
        <v>2</v>
      </c>
      <c r="D3" t="s">
        <v>559</v>
      </c>
      <c r="E3" t="s">
        <v>571</v>
      </c>
      <c r="F3" t="s">
        <v>563</v>
      </c>
      <c r="G3" t="s">
        <v>384</v>
      </c>
      <c r="H3" t="s">
        <v>641</v>
      </c>
      <c r="I3">
        <v>20</v>
      </c>
      <c r="J3">
        <v>86.375</v>
      </c>
      <c r="K3">
        <v>124.188</v>
      </c>
      <c r="L3">
        <f t="shared" si="0"/>
        <v>37.813000000000002</v>
      </c>
      <c r="M3">
        <f t="shared" si="1"/>
        <v>3.6792049000000002</v>
      </c>
      <c r="N3" s="3">
        <f t="shared" si="2"/>
        <v>73.584098000000012</v>
      </c>
      <c r="O3">
        <v>82.92</v>
      </c>
      <c r="P3">
        <v>1777</v>
      </c>
      <c r="Q3">
        <v>4480</v>
      </c>
      <c r="R3">
        <v>227.34</v>
      </c>
      <c r="S3">
        <f>R3-O3</f>
        <v>144.42000000000002</v>
      </c>
      <c r="U3" s="92"/>
      <c r="V3" s="92"/>
    </row>
    <row r="4" spans="2:27" x14ac:dyDescent="0.55000000000000004">
      <c r="B4" s="7"/>
      <c r="D4" t="s">
        <v>559</v>
      </c>
      <c r="E4" t="s">
        <v>560</v>
      </c>
      <c r="F4" t="s">
        <v>564</v>
      </c>
      <c r="G4" t="s">
        <v>384</v>
      </c>
      <c r="H4" t="s">
        <v>641</v>
      </c>
      <c r="I4">
        <v>20</v>
      </c>
      <c r="J4" t="s">
        <v>325</v>
      </c>
      <c r="N4" s="3"/>
      <c r="O4">
        <v>86.22</v>
      </c>
      <c r="U4" s="3">
        <v>2</v>
      </c>
      <c r="V4" s="3">
        <v>1</v>
      </c>
      <c r="X4">
        <f>V4/(U4)</f>
        <v>0.5</v>
      </c>
    </row>
    <row r="5" spans="2:27" x14ac:dyDescent="0.55000000000000004">
      <c r="B5" s="7">
        <v>3</v>
      </c>
      <c r="C5">
        <v>3</v>
      </c>
      <c r="D5" t="s">
        <v>559</v>
      </c>
      <c r="E5" t="s">
        <v>575</v>
      </c>
      <c r="F5" t="s">
        <v>565</v>
      </c>
      <c r="G5" t="s">
        <v>384</v>
      </c>
      <c r="H5" t="s">
        <v>641</v>
      </c>
      <c r="I5">
        <v>20</v>
      </c>
      <c r="J5">
        <v>78.561999999999998</v>
      </c>
      <c r="K5">
        <v>101.20099999999999</v>
      </c>
      <c r="L5">
        <f t="shared" si="0"/>
        <v>22.638999999999996</v>
      </c>
      <c r="M5">
        <f t="shared" si="1"/>
        <v>2.2027746999999995</v>
      </c>
      <c r="N5" s="3">
        <f t="shared" si="2"/>
        <v>44.055493999999989</v>
      </c>
      <c r="O5">
        <v>78.400000000000006</v>
      </c>
      <c r="P5">
        <v>1966</v>
      </c>
      <c r="Q5">
        <v>2783</v>
      </c>
      <c r="R5">
        <v>136.71</v>
      </c>
      <c r="S5">
        <f t="shared" ref="S5:S26" si="3">R5-O5</f>
        <v>58.31</v>
      </c>
      <c r="T5" t="s">
        <v>572</v>
      </c>
      <c r="U5" s="3">
        <v>8</v>
      </c>
      <c r="V5" s="3">
        <v>2</v>
      </c>
      <c r="X5">
        <f>V5/(U5)</f>
        <v>0.25</v>
      </c>
    </row>
    <row r="6" spans="2:27" x14ac:dyDescent="0.55000000000000004">
      <c r="B6" s="7">
        <v>4</v>
      </c>
      <c r="C6">
        <v>4</v>
      </c>
      <c r="D6" t="s">
        <v>559</v>
      </c>
      <c r="E6" t="s">
        <v>574</v>
      </c>
      <c r="F6" t="s">
        <v>565</v>
      </c>
      <c r="G6" t="s">
        <v>384</v>
      </c>
      <c r="H6" t="s">
        <v>641</v>
      </c>
      <c r="I6">
        <v>20</v>
      </c>
      <c r="J6">
        <v>79.072999999999993</v>
      </c>
      <c r="K6">
        <v>84.591999999999999</v>
      </c>
      <c r="L6">
        <f t="shared" si="0"/>
        <v>5.5190000000000055</v>
      </c>
      <c r="M6">
        <f t="shared" si="1"/>
        <v>0.5369987000000005</v>
      </c>
      <c r="N6" s="3">
        <f t="shared" si="2"/>
        <v>10.739974000000011</v>
      </c>
      <c r="O6">
        <v>78.400000000000006</v>
      </c>
      <c r="P6">
        <v>1746</v>
      </c>
      <c r="Q6">
        <v>2979</v>
      </c>
      <c r="R6">
        <v>146.34</v>
      </c>
      <c r="S6">
        <f t="shared" si="3"/>
        <v>67.94</v>
      </c>
      <c r="U6" s="93"/>
      <c r="V6" s="93"/>
    </row>
    <row r="7" spans="2:27" x14ac:dyDescent="0.55000000000000004">
      <c r="B7" s="7">
        <v>5</v>
      </c>
      <c r="C7">
        <v>5</v>
      </c>
      <c r="D7" t="s">
        <v>559</v>
      </c>
      <c r="E7" t="s">
        <v>573</v>
      </c>
      <c r="F7" t="s">
        <v>565</v>
      </c>
      <c r="G7" t="s">
        <v>384</v>
      </c>
      <c r="H7" t="s">
        <v>641</v>
      </c>
      <c r="I7">
        <v>20</v>
      </c>
      <c r="J7">
        <v>81.033000000000001</v>
      </c>
      <c r="K7">
        <v>94.433999999999997</v>
      </c>
      <c r="L7">
        <f t="shared" si="0"/>
        <v>13.400999999999996</v>
      </c>
      <c r="M7">
        <f t="shared" si="1"/>
        <v>1.3039172999999995</v>
      </c>
      <c r="N7" s="3">
        <f t="shared" si="2"/>
        <v>26.078345999999989</v>
      </c>
      <c r="O7">
        <v>170.41</v>
      </c>
      <c r="P7">
        <v>4092</v>
      </c>
      <c r="Q7">
        <v>4973</v>
      </c>
      <c r="R7">
        <v>244.29</v>
      </c>
      <c r="S7">
        <f t="shared" si="3"/>
        <v>73.88</v>
      </c>
      <c r="U7" s="3">
        <v>10</v>
      </c>
      <c r="V7" s="3">
        <v>1</v>
      </c>
      <c r="X7">
        <f>V7/(U7)</f>
        <v>0.1</v>
      </c>
    </row>
    <row r="8" spans="2:27" x14ac:dyDescent="0.55000000000000004">
      <c r="B8" s="7"/>
      <c r="D8" t="s">
        <v>559</v>
      </c>
      <c r="E8" t="s">
        <v>576</v>
      </c>
      <c r="F8" t="s">
        <v>565</v>
      </c>
      <c r="G8" t="s">
        <v>384</v>
      </c>
      <c r="H8" t="s">
        <v>641</v>
      </c>
      <c r="I8">
        <v>20</v>
      </c>
      <c r="J8" t="s">
        <v>325</v>
      </c>
      <c r="N8" s="3"/>
      <c r="O8">
        <v>221.3</v>
      </c>
      <c r="U8" s="3">
        <v>8</v>
      </c>
      <c r="V8" s="3">
        <v>0</v>
      </c>
      <c r="X8">
        <f>V8/(U8)</f>
        <v>0</v>
      </c>
    </row>
    <row r="9" spans="2:27" x14ac:dyDescent="0.55000000000000004">
      <c r="B9" s="7">
        <v>6</v>
      </c>
      <c r="C9">
        <v>6</v>
      </c>
      <c r="D9" t="s">
        <v>559</v>
      </c>
      <c r="E9" t="s">
        <v>561</v>
      </c>
      <c r="F9" t="s">
        <v>566</v>
      </c>
      <c r="G9" t="s">
        <v>384</v>
      </c>
      <c r="H9" t="s">
        <v>641</v>
      </c>
      <c r="I9">
        <v>20</v>
      </c>
      <c r="J9">
        <v>79.063000000000002</v>
      </c>
      <c r="K9">
        <v>87.858999999999995</v>
      </c>
      <c r="L9">
        <f t="shared" si="0"/>
        <v>8.7959999999999923</v>
      </c>
      <c r="M9">
        <f t="shared" si="1"/>
        <v>0.85585079999999925</v>
      </c>
      <c r="N9" s="3">
        <f t="shared" si="2"/>
        <v>17.117015999999985</v>
      </c>
      <c r="O9">
        <v>48.66</v>
      </c>
      <c r="P9">
        <v>1245</v>
      </c>
      <c r="Q9">
        <v>2840</v>
      </c>
      <c r="R9">
        <v>143.05000000000001</v>
      </c>
      <c r="S9">
        <f t="shared" si="3"/>
        <v>94.390000000000015</v>
      </c>
      <c r="U9" s="3">
        <v>6</v>
      </c>
      <c r="V9" s="3">
        <v>2</v>
      </c>
      <c r="X9">
        <f>V9/(U9)</f>
        <v>0.33333333333333331</v>
      </c>
    </row>
    <row r="10" spans="2:27" x14ac:dyDescent="0.55000000000000004">
      <c r="B10" s="7">
        <v>7</v>
      </c>
      <c r="C10">
        <v>7</v>
      </c>
      <c r="D10" t="s">
        <v>559</v>
      </c>
      <c r="E10" t="s">
        <v>562</v>
      </c>
      <c r="F10" t="s">
        <v>567</v>
      </c>
      <c r="G10" t="s">
        <v>384</v>
      </c>
      <c r="H10" t="s">
        <v>641</v>
      </c>
      <c r="I10">
        <v>20</v>
      </c>
      <c r="J10">
        <v>75.36</v>
      </c>
      <c r="K10">
        <v>115.93899999999999</v>
      </c>
      <c r="L10">
        <f t="shared" si="0"/>
        <v>40.578999999999994</v>
      </c>
      <c r="M10">
        <f t="shared" si="1"/>
        <v>3.9483366999999991</v>
      </c>
      <c r="N10" s="3">
        <f t="shared" si="2"/>
        <v>78.966733999999988</v>
      </c>
      <c r="O10">
        <v>57.68</v>
      </c>
      <c r="P10">
        <v>3172</v>
      </c>
      <c r="Q10">
        <v>4366</v>
      </c>
      <c r="R10">
        <v>213.6</v>
      </c>
      <c r="S10">
        <f t="shared" si="3"/>
        <v>155.91999999999999</v>
      </c>
      <c r="T10" t="s">
        <v>577</v>
      </c>
      <c r="U10" s="3">
        <v>13</v>
      </c>
      <c r="V10" s="3">
        <v>3</v>
      </c>
      <c r="X10">
        <f>V10/(U10)</f>
        <v>0.23076923076923078</v>
      </c>
    </row>
    <row r="11" spans="2:27" x14ac:dyDescent="0.55000000000000004">
      <c r="B11" s="58"/>
      <c r="D11" t="s">
        <v>559</v>
      </c>
      <c r="E11" t="s">
        <v>562</v>
      </c>
      <c r="F11" t="s">
        <v>567</v>
      </c>
      <c r="G11" t="s">
        <v>384</v>
      </c>
      <c r="H11" t="s">
        <v>641</v>
      </c>
      <c r="I11">
        <v>20</v>
      </c>
      <c r="J11" s="6">
        <v>82.116</v>
      </c>
      <c r="K11" s="6">
        <v>76.899000000000001</v>
      </c>
      <c r="L11" s="6">
        <f t="shared" si="0"/>
        <v>-5.2169999999999987</v>
      </c>
      <c r="M11" s="6">
        <f t="shared" si="1"/>
        <v>-0.50761409999999985</v>
      </c>
      <c r="N11" s="12">
        <f t="shared" si="2"/>
        <v>-10.152281999999996</v>
      </c>
      <c r="O11" s="6">
        <v>57.68</v>
      </c>
      <c r="P11" s="6">
        <v>4366</v>
      </c>
      <c r="Q11" s="6">
        <v>4865</v>
      </c>
      <c r="R11" s="6">
        <v>238.02</v>
      </c>
      <c r="S11" s="6">
        <f t="shared" si="3"/>
        <v>180.34</v>
      </c>
      <c r="T11" t="s">
        <v>577</v>
      </c>
      <c r="U11" s="93"/>
      <c r="V11" s="93"/>
    </row>
    <row r="12" spans="2:27" x14ac:dyDescent="0.55000000000000004">
      <c r="B12" s="58">
        <v>9</v>
      </c>
      <c r="C12">
        <v>8</v>
      </c>
      <c r="D12" t="s">
        <v>559</v>
      </c>
      <c r="E12" t="s">
        <v>578</v>
      </c>
      <c r="F12" t="s">
        <v>568</v>
      </c>
      <c r="G12" t="s">
        <v>384</v>
      </c>
      <c r="H12" t="s">
        <v>641</v>
      </c>
      <c r="I12">
        <v>20</v>
      </c>
      <c r="J12">
        <v>84.091999999999999</v>
      </c>
      <c r="K12">
        <v>107.496</v>
      </c>
      <c r="L12">
        <f t="shared" si="0"/>
        <v>23.403999999999996</v>
      </c>
      <c r="M12">
        <f t="shared" si="1"/>
        <v>2.2772091999999997</v>
      </c>
      <c r="N12" s="3">
        <f t="shared" si="2"/>
        <v>45.544183999999994</v>
      </c>
      <c r="O12">
        <v>24.95</v>
      </c>
      <c r="P12">
        <v>734</v>
      </c>
      <c r="Q12">
        <v>1174</v>
      </c>
      <c r="R12">
        <v>56.77</v>
      </c>
      <c r="S12">
        <f t="shared" si="3"/>
        <v>31.820000000000004</v>
      </c>
      <c r="U12" s="3">
        <v>9</v>
      </c>
      <c r="V12" s="3">
        <v>2</v>
      </c>
      <c r="X12">
        <f>V12/(U12)</f>
        <v>0.22222222222222221</v>
      </c>
    </row>
    <row r="13" spans="2:27" x14ac:dyDescent="0.55000000000000004">
      <c r="B13" s="59">
        <v>10</v>
      </c>
      <c r="C13">
        <v>9</v>
      </c>
      <c r="D13" t="s">
        <v>559</v>
      </c>
      <c r="E13" t="s">
        <v>579</v>
      </c>
      <c r="F13" t="s">
        <v>568</v>
      </c>
      <c r="G13" t="s">
        <v>384</v>
      </c>
      <c r="H13" t="s">
        <v>641</v>
      </c>
      <c r="I13">
        <v>20</v>
      </c>
      <c r="J13">
        <v>84.59</v>
      </c>
      <c r="K13">
        <v>109.836</v>
      </c>
      <c r="L13">
        <f t="shared" si="0"/>
        <v>25.245999999999995</v>
      </c>
      <c r="M13">
        <f t="shared" si="1"/>
        <v>2.4564357999999995</v>
      </c>
      <c r="N13" s="3">
        <f t="shared" si="2"/>
        <v>49.12871599999999</v>
      </c>
      <c r="O13">
        <v>24.95</v>
      </c>
      <c r="P13">
        <v>379</v>
      </c>
      <c r="Q13">
        <v>2139</v>
      </c>
      <c r="R13">
        <v>103.43</v>
      </c>
      <c r="S13">
        <f t="shared" si="3"/>
        <v>78.48</v>
      </c>
      <c r="U13" s="93"/>
      <c r="V13" s="93"/>
      <c r="Y13">
        <f>SUM(U2:U12)</f>
        <v>66</v>
      </c>
      <c r="Z13">
        <f>SUM(V2:V12)</f>
        <v>13</v>
      </c>
      <c r="AA13">
        <f>Z13/(Y13+Z13)</f>
        <v>0.16455696202531644</v>
      </c>
    </row>
    <row r="14" spans="2:27" x14ac:dyDescent="0.55000000000000004">
      <c r="B14" s="59">
        <v>11</v>
      </c>
      <c r="C14">
        <v>10</v>
      </c>
      <c r="D14" t="s">
        <v>587</v>
      </c>
      <c r="E14" s="57" t="s">
        <v>589</v>
      </c>
      <c r="F14" t="s">
        <v>582</v>
      </c>
      <c r="G14" t="s">
        <v>384</v>
      </c>
      <c r="H14" t="s">
        <v>641</v>
      </c>
      <c r="I14">
        <v>20</v>
      </c>
      <c r="J14">
        <v>85.917000000000002</v>
      </c>
      <c r="K14">
        <v>90.34</v>
      </c>
      <c r="L14">
        <f t="shared" si="0"/>
        <v>4.4230000000000018</v>
      </c>
      <c r="M14">
        <f t="shared" si="1"/>
        <v>0.43035790000000018</v>
      </c>
      <c r="N14" s="63">
        <f t="shared" si="2"/>
        <v>8.6071580000000036</v>
      </c>
      <c r="O14">
        <v>77.150000000000006</v>
      </c>
      <c r="P14">
        <v>1664</v>
      </c>
      <c r="Q14">
        <v>2603</v>
      </c>
      <c r="R14">
        <v>129.9</v>
      </c>
      <c r="S14">
        <f t="shared" si="3"/>
        <v>52.75</v>
      </c>
      <c r="T14" t="s">
        <v>588</v>
      </c>
      <c r="U14">
        <v>4</v>
      </c>
      <c r="V14">
        <v>2</v>
      </c>
      <c r="X14">
        <f>V14/(U14)</f>
        <v>0.5</v>
      </c>
    </row>
    <row r="15" spans="2:27" x14ac:dyDescent="0.55000000000000004">
      <c r="B15" s="7"/>
      <c r="D15" s="36" t="s">
        <v>587</v>
      </c>
      <c r="E15" s="66" t="s">
        <v>590</v>
      </c>
      <c r="F15" s="36" t="s">
        <v>582</v>
      </c>
      <c r="G15" s="36" t="s">
        <v>384</v>
      </c>
      <c r="H15" t="s">
        <v>641</v>
      </c>
      <c r="I15" s="36">
        <v>20</v>
      </c>
      <c r="J15" s="36">
        <v>83.123999999999995</v>
      </c>
      <c r="K15" s="36">
        <v>93.346999999999994</v>
      </c>
      <c r="L15" s="36">
        <f t="shared" si="0"/>
        <v>10.222999999999999</v>
      </c>
      <c r="M15" s="36">
        <f t="shared" si="1"/>
        <v>0.99469789999999991</v>
      </c>
      <c r="N15" s="65">
        <f t="shared" si="2"/>
        <v>19.893957999999998</v>
      </c>
      <c r="O15" s="36">
        <v>77.150000000000006</v>
      </c>
      <c r="P15" s="36">
        <v>1664</v>
      </c>
      <c r="Q15" s="36">
        <v>2603</v>
      </c>
      <c r="R15" s="36">
        <v>129.9</v>
      </c>
      <c r="S15" s="36">
        <f>R15-O15</f>
        <v>52.75</v>
      </c>
      <c r="T15" s="36" t="s">
        <v>588</v>
      </c>
      <c r="U15" s="41"/>
      <c r="V15" s="41"/>
    </row>
    <row r="16" spans="2:27" x14ac:dyDescent="0.55000000000000004">
      <c r="B16" s="7">
        <v>12</v>
      </c>
      <c r="C16">
        <v>11</v>
      </c>
      <c r="D16" t="s">
        <v>587</v>
      </c>
      <c r="E16" s="55" t="s">
        <v>591</v>
      </c>
      <c r="F16" t="s">
        <v>582</v>
      </c>
      <c r="G16" t="s">
        <v>384</v>
      </c>
      <c r="H16" t="s">
        <v>641</v>
      </c>
      <c r="I16">
        <v>20</v>
      </c>
      <c r="J16">
        <v>80.606999999999999</v>
      </c>
      <c r="K16">
        <v>95.605000000000004</v>
      </c>
      <c r="L16">
        <f t="shared" si="0"/>
        <v>14.998000000000005</v>
      </c>
      <c r="M16">
        <f t="shared" si="1"/>
        <v>1.4593054000000003</v>
      </c>
      <c r="N16" s="68">
        <f t="shared" si="2"/>
        <v>29.186108000000004</v>
      </c>
      <c r="O16">
        <v>77.150000000000006</v>
      </c>
      <c r="P16">
        <v>3459</v>
      </c>
      <c r="Q16">
        <v>4477</v>
      </c>
      <c r="R16">
        <v>223.42</v>
      </c>
      <c r="S16">
        <f t="shared" si="3"/>
        <v>146.26999999999998</v>
      </c>
      <c r="T16" t="s">
        <v>588</v>
      </c>
      <c r="U16" s="41"/>
      <c r="V16" s="41"/>
    </row>
    <row r="17" spans="2:27" x14ac:dyDescent="0.55000000000000004">
      <c r="B17" s="58"/>
      <c r="D17" s="36" t="s">
        <v>587</v>
      </c>
      <c r="E17" s="67" t="s">
        <v>592</v>
      </c>
      <c r="F17" s="36" t="s">
        <v>582</v>
      </c>
      <c r="G17" s="36" t="s">
        <v>384</v>
      </c>
      <c r="H17" t="s">
        <v>641</v>
      </c>
      <c r="I17" s="36">
        <v>20</v>
      </c>
      <c r="J17" s="36">
        <v>83.123999999999995</v>
      </c>
      <c r="K17" s="36">
        <v>94.23</v>
      </c>
      <c r="L17" s="36">
        <f t="shared" si="0"/>
        <v>11.106000000000009</v>
      </c>
      <c r="M17" s="36">
        <f t="shared" si="1"/>
        <v>1.0806138000000007</v>
      </c>
      <c r="N17" s="69">
        <f t="shared" si="2"/>
        <v>21.612276000000016</v>
      </c>
      <c r="O17" s="36">
        <v>77.150000000000006</v>
      </c>
      <c r="P17" s="36">
        <v>1664</v>
      </c>
      <c r="Q17" s="36">
        <v>4477</v>
      </c>
      <c r="R17" s="36">
        <v>223.42</v>
      </c>
      <c r="S17" s="36">
        <f>R17-O17</f>
        <v>146.26999999999998</v>
      </c>
      <c r="T17" s="36" t="s">
        <v>593</v>
      </c>
      <c r="U17" s="42"/>
      <c r="V17" s="42"/>
    </row>
    <row r="18" spans="2:27" x14ac:dyDescent="0.55000000000000004">
      <c r="B18" s="58"/>
      <c r="D18" t="s">
        <v>587</v>
      </c>
      <c r="E18" t="s">
        <v>580</v>
      </c>
      <c r="F18" t="s">
        <v>583</v>
      </c>
      <c r="G18" t="s">
        <v>384</v>
      </c>
      <c r="H18" t="s">
        <v>641</v>
      </c>
      <c r="I18">
        <v>20</v>
      </c>
      <c r="J18" t="s">
        <v>325</v>
      </c>
      <c r="N18" s="3"/>
      <c r="O18">
        <v>55.56</v>
      </c>
      <c r="S18">
        <f t="shared" si="3"/>
        <v>-55.56</v>
      </c>
      <c r="U18">
        <v>6</v>
      </c>
      <c r="V18">
        <v>1</v>
      </c>
      <c r="X18">
        <f>V18/(U18)</f>
        <v>0.16666666666666666</v>
      </c>
    </row>
    <row r="19" spans="2:27" x14ac:dyDescent="0.55000000000000004">
      <c r="B19" s="59"/>
      <c r="D19" t="s">
        <v>587</v>
      </c>
      <c r="E19" t="s">
        <v>581</v>
      </c>
      <c r="F19" t="s">
        <v>584</v>
      </c>
      <c r="G19" t="s">
        <v>384</v>
      </c>
      <c r="H19" t="s">
        <v>641</v>
      </c>
      <c r="I19">
        <v>20</v>
      </c>
      <c r="J19" s="6">
        <v>83.825000000000003</v>
      </c>
      <c r="K19" s="6">
        <v>81.683000000000007</v>
      </c>
      <c r="L19" s="6">
        <f t="shared" si="0"/>
        <v>-2.1419999999999959</v>
      </c>
      <c r="M19" s="6">
        <f t="shared" si="1"/>
        <v>-0.20841659999999959</v>
      </c>
      <c r="N19" s="12">
        <f t="shared" si="2"/>
        <v>-4.1683319999999915</v>
      </c>
      <c r="O19" s="6">
        <v>59.09</v>
      </c>
      <c r="P19" s="6">
        <v>1380</v>
      </c>
      <c r="Q19" s="6">
        <v>2381</v>
      </c>
      <c r="R19" s="6">
        <v>117.82</v>
      </c>
      <c r="S19" s="6">
        <f t="shared" si="3"/>
        <v>58.72999999999999</v>
      </c>
      <c r="U19">
        <v>16</v>
      </c>
      <c r="V19">
        <v>1</v>
      </c>
      <c r="X19">
        <f>V19/(U19)</f>
        <v>6.25E-2</v>
      </c>
    </row>
    <row r="20" spans="2:27" x14ac:dyDescent="0.55000000000000004">
      <c r="B20" s="59">
        <v>13</v>
      </c>
      <c r="C20">
        <v>12</v>
      </c>
      <c r="D20" t="s">
        <v>587</v>
      </c>
      <c r="E20" t="s">
        <v>594</v>
      </c>
      <c r="F20" t="s">
        <v>585</v>
      </c>
      <c r="G20" t="s">
        <v>384</v>
      </c>
      <c r="H20" t="s">
        <v>641</v>
      </c>
      <c r="I20">
        <v>20</v>
      </c>
      <c r="J20">
        <v>84.888999999999996</v>
      </c>
      <c r="K20">
        <v>92.340999999999994</v>
      </c>
      <c r="L20">
        <f t="shared" si="0"/>
        <v>7.4519999999999982</v>
      </c>
      <c r="M20">
        <f t="shared" si="1"/>
        <v>0.72507959999999982</v>
      </c>
      <c r="N20" s="3">
        <f t="shared" si="2"/>
        <v>14.501591999999997</v>
      </c>
      <c r="O20">
        <v>32.49</v>
      </c>
      <c r="P20">
        <v>937</v>
      </c>
      <c r="Q20">
        <v>1421</v>
      </c>
      <c r="R20">
        <v>68.19</v>
      </c>
      <c r="S20">
        <f t="shared" si="3"/>
        <v>35.699999999999996</v>
      </c>
      <c r="T20" t="s">
        <v>596</v>
      </c>
      <c r="U20">
        <v>14</v>
      </c>
      <c r="V20">
        <v>4</v>
      </c>
      <c r="X20">
        <f>V20/(U20)</f>
        <v>0.2857142857142857</v>
      </c>
    </row>
    <row r="21" spans="2:27" x14ac:dyDescent="0.55000000000000004">
      <c r="B21" s="58">
        <v>17</v>
      </c>
      <c r="C21">
        <v>13</v>
      </c>
      <c r="D21" t="s">
        <v>587</v>
      </c>
      <c r="E21" t="s">
        <v>595</v>
      </c>
      <c r="F21" t="s">
        <v>585</v>
      </c>
      <c r="G21" t="s">
        <v>384</v>
      </c>
      <c r="H21" t="s">
        <v>641</v>
      </c>
      <c r="I21">
        <v>20</v>
      </c>
      <c r="J21">
        <v>84.888999999999996</v>
      </c>
      <c r="K21">
        <v>93.108000000000004</v>
      </c>
      <c r="L21">
        <f t="shared" si="0"/>
        <v>8.2190000000000083</v>
      </c>
      <c r="M21">
        <f t="shared" si="1"/>
        <v>0.79970870000000083</v>
      </c>
      <c r="N21" s="3">
        <f t="shared" si="2"/>
        <v>15.994174000000017</v>
      </c>
      <c r="O21">
        <v>32.49</v>
      </c>
      <c r="P21">
        <v>937</v>
      </c>
      <c r="Q21">
        <v>1708</v>
      </c>
      <c r="R21">
        <v>81.97</v>
      </c>
      <c r="S21">
        <f t="shared" si="3"/>
        <v>49.48</v>
      </c>
      <c r="T21" t="s">
        <v>596</v>
      </c>
      <c r="U21" s="41"/>
      <c r="V21" s="41"/>
    </row>
    <row r="22" spans="2:27" x14ac:dyDescent="0.55000000000000004">
      <c r="B22" s="58"/>
      <c r="D22" t="s">
        <v>587</v>
      </c>
      <c r="E22" t="s">
        <v>597</v>
      </c>
      <c r="F22" t="s">
        <v>585</v>
      </c>
      <c r="G22" t="s">
        <v>384</v>
      </c>
      <c r="H22" t="s">
        <v>641</v>
      </c>
      <c r="I22">
        <v>20</v>
      </c>
      <c r="J22" s="6">
        <v>80.290999999999997</v>
      </c>
      <c r="K22" s="6">
        <v>73.558000000000007</v>
      </c>
      <c r="L22" s="6">
        <f t="shared" si="0"/>
        <v>-6.7329999999999899</v>
      </c>
      <c r="M22" s="6">
        <f t="shared" si="1"/>
        <v>-0.65512089999999901</v>
      </c>
      <c r="N22" s="12">
        <f t="shared" si="2"/>
        <v>-13.102417999999981</v>
      </c>
      <c r="O22" s="6">
        <v>32.49</v>
      </c>
      <c r="P22" s="6">
        <v>2151</v>
      </c>
      <c r="Q22" s="6">
        <v>2630</v>
      </c>
      <c r="R22" s="6">
        <v>126.21</v>
      </c>
      <c r="S22" s="6">
        <f t="shared" si="3"/>
        <v>93.72</v>
      </c>
      <c r="U22" s="41"/>
      <c r="V22" s="41"/>
    </row>
    <row r="23" spans="2:27" x14ac:dyDescent="0.55000000000000004">
      <c r="B23" s="59"/>
      <c r="C23">
        <v>14</v>
      </c>
      <c r="D23" t="s">
        <v>587</v>
      </c>
      <c r="E23" t="s">
        <v>598</v>
      </c>
      <c r="F23" t="s">
        <v>585</v>
      </c>
      <c r="G23" t="s">
        <v>384</v>
      </c>
      <c r="H23" t="s">
        <v>641</v>
      </c>
      <c r="I23">
        <v>20</v>
      </c>
      <c r="J23">
        <v>74.010999999999996</v>
      </c>
      <c r="K23">
        <v>96.366</v>
      </c>
      <c r="L23">
        <f t="shared" si="0"/>
        <v>22.355000000000004</v>
      </c>
      <c r="M23">
        <f t="shared" si="1"/>
        <v>2.1751415000000005</v>
      </c>
      <c r="N23" s="3">
        <f t="shared" si="2"/>
        <v>43.50283000000001</v>
      </c>
      <c r="O23">
        <v>32.49</v>
      </c>
      <c r="P23">
        <v>2336</v>
      </c>
      <c r="Q23">
        <v>2764</v>
      </c>
      <c r="R23">
        <v>132.63999999999999</v>
      </c>
      <c r="S23">
        <f t="shared" si="3"/>
        <v>100.14999999999998</v>
      </c>
      <c r="U23" s="41"/>
      <c r="V23" s="41"/>
    </row>
    <row r="24" spans="2:27" x14ac:dyDescent="0.55000000000000004">
      <c r="B24" s="59"/>
      <c r="C24">
        <v>15</v>
      </c>
      <c r="D24" t="s">
        <v>587</v>
      </c>
      <c r="E24" s="57" t="s">
        <v>599</v>
      </c>
      <c r="F24" t="s">
        <v>586</v>
      </c>
      <c r="G24" t="s">
        <v>384</v>
      </c>
      <c r="H24" t="s">
        <v>641</v>
      </c>
      <c r="I24">
        <v>20</v>
      </c>
      <c r="J24">
        <v>81.766000000000005</v>
      </c>
      <c r="K24">
        <v>93.897000000000006</v>
      </c>
      <c r="L24">
        <f t="shared" si="0"/>
        <v>12.131</v>
      </c>
      <c r="M24">
        <f t="shared" si="1"/>
        <v>1.1803463000000001</v>
      </c>
      <c r="N24" s="63">
        <f t="shared" si="2"/>
        <v>23.606926000000001</v>
      </c>
      <c r="O24">
        <v>38.299999999999997</v>
      </c>
      <c r="P24">
        <v>1040</v>
      </c>
      <c r="Q24">
        <v>3017</v>
      </c>
      <c r="R24">
        <v>145.53</v>
      </c>
      <c r="S24">
        <f t="shared" si="3"/>
        <v>107.23</v>
      </c>
      <c r="T24" t="s">
        <v>614</v>
      </c>
      <c r="U24">
        <v>7</v>
      </c>
      <c r="V24">
        <v>1</v>
      </c>
      <c r="X24">
        <f>V24/(U24)</f>
        <v>0.14285714285714285</v>
      </c>
      <c r="Y24">
        <f>SUM(U14:U25)</f>
        <v>47</v>
      </c>
      <c r="Z24">
        <f>SUM(V14:V24)</f>
        <v>9</v>
      </c>
      <c r="AA24">
        <f>Z24/(Y24+Z24)</f>
        <v>0.16071428571428573</v>
      </c>
    </row>
    <row r="25" spans="2:27" x14ac:dyDescent="0.55000000000000004">
      <c r="B25" s="58"/>
      <c r="D25" t="s">
        <v>587</v>
      </c>
      <c r="E25" s="57" t="s">
        <v>600</v>
      </c>
      <c r="F25" t="s">
        <v>586</v>
      </c>
      <c r="G25" t="s">
        <v>384</v>
      </c>
      <c r="H25" t="s">
        <v>641</v>
      </c>
      <c r="I25">
        <v>20</v>
      </c>
      <c r="J25" s="35">
        <v>82.707999999999998</v>
      </c>
      <c r="K25" s="35">
        <v>94.483999999999995</v>
      </c>
      <c r="L25" s="35">
        <f t="shared" si="0"/>
        <v>11.775999999999996</v>
      </c>
      <c r="M25" s="35">
        <f t="shared" si="1"/>
        <v>1.1458047999999996</v>
      </c>
      <c r="N25" s="64">
        <f t="shared" si="2"/>
        <v>22.916095999999992</v>
      </c>
      <c r="O25" s="35">
        <v>38.299999999999997</v>
      </c>
      <c r="P25" s="35">
        <v>1040</v>
      </c>
      <c r="Q25" s="35">
        <v>3017</v>
      </c>
      <c r="R25" s="35">
        <v>145.53</v>
      </c>
      <c r="S25" s="35">
        <f>R25-O25</f>
        <v>107.23</v>
      </c>
      <c r="T25" s="35" t="s">
        <v>614</v>
      </c>
      <c r="U25" s="41"/>
      <c r="V25" s="41"/>
    </row>
    <row r="26" spans="2:27" x14ac:dyDescent="0.55000000000000004">
      <c r="B26" s="58"/>
      <c r="C26">
        <v>16</v>
      </c>
      <c r="D26" t="s">
        <v>601</v>
      </c>
      <c r="E26" t="s">
        <v>612</v>
      </c>
      <c r="F26" t="s">
        <v>602</v>
      </c>
      <c r="G26" t="s">
        <v>384</v>
      </c>
      <c r="H26" t="s">
        <v>641</v>
      </c>
      <c r="I26">
        <v>20</v>
      </c>
      <c r="J26">
        <v>79.212999999999994</v>
      </c>
      <c r="K26">
        <v>96.311000000000007</v>
      </c>
      <c r="L26">
        <f t="shared" si="0"/>
        <v>17.098000000000013</v>
      </c>
      <c r="M26">
        <f t="shared" si="1"/>
        <v>1.6636354000000013</v>
      </c>
      <c r="N26" s="3">
        <f t="shared" si="2"/>
        <v>33.272708000000023</v>
      </c>
      <c r="O26">
        <v>0</v>
      </c>
      <c r="P26">
        <v>286</v>
      </c>
      <c r="Q26">
        <v>1235</v>
      </c>
      <c r="R26">
        <v>62.26</v>
      </c>
      <c r="S26">
        <f t="shared" si="3"/>
        <v>62.26</v>
      </c>
      <c r="T26" t="s">
        <v>615</v>
      </c>
      <c r="U26" s="3">
        <v>10</v>
      </c>
      <c r="V26" s="3">
        <v>4</v>
      </c>
      <c r="X26">
        <f>V26/(U26)</f>
        <v>0.4</v>
      </c>
    </row>
    <row r="27" spans="2:27" x14ac:dyDescent="0.55000000000000004">
      <c r="C27">
        <v>17</v>
      </c>
      <c r="D27" t="s">
        <v>601</v>
      </c>
      <c r="E27" t="s">
        <v>609</v>
      </c>
      <c r="F27" t="s">
        <v>602</v>
      </c>
      <c r="G27" t="s">
        <v>384</v>
      </c>
      <c r="H27" t="s">
        <v>641</v>
      </c>
      <c r="I27">
        <v>20</v>
      </c>
      <c r="J27">
        <v>79.212999999999994</v>
      </c>
      <c r="K27">
        <v>95.953999999999994</v>
      </c>
      <c r="L27">
        <f>K27-J27</f>
        <v>16.741</v>
      </c>
      <c r="M27">
        <f>L27*0.0973</f>
        <v>1.6288992999999998</v>
      </c>
      <c r="N27" s="3">
        <f>M27*20</f>
        <v>32.577985999999996</v>
      </c>
      <c r="O27">
        <v>0</v>
      </c>
      <c r="P27">
        <v>286</v>
      </c>
      <c r="Q27">
        <v>1732</v>
      </c>
      <c r="R27">
        <v>87.32</v>
      </c>
      <c r="S27">
        <f>R27-O27</f>
        <v>87.32</v>
      </c>
      <c r="T27" t="s">
        <v>616</v>
      </c>
      <c r="U27" s="93"/>
      <c r="V27" s="93"/>
    </row>
    <row r="28" spans="2:27" x14ac:dyDescent="0.55000000000000004">
      <c r="C28">
        <v>18</v>
      </c>
      <c r="D28" t="s">
        <v>601</v>
      </c>
      <c r="E28" s="55" t="s">
        <v>610</v>
      </c>
      <c r="F28" t="s">
        <v>602</v>
      </c>
      <c r="G28" t="s">
        <v>384</v>
      </c>
      <c r="H28" t="s">
        <v>641</v>
      </c>
      <c r="I28">
        <v>20</v>
      </c>
      <c r="J28">
        <v>90.471000000000004</v>
      </c>
      <c r="K28">
        <v>107.453</v>
      </c>
      <c r="L28">
        <f>K28-J28</f>
        <v>16.981999999999999</v>
      </c>
      <c r="M28">
        <f>L28*0.0973</f>
        <v>1.6523485999999998</v>
      </c>
      <c r="N28" s="68">
        <f>M28*20</f>
        <v>33.046971999999997</v>
      </c>
      <c r="O28">
        <v>0</v>
      </c>
      <c r="P28">
        <v>134</v>
      </c>
      <c r="Q28">
        <v>2201</v>
      </c>
      <c r="R28">
        <v>110.97</v>
      </c>
      <c r="S28">
        <f>R28-O28</f>
        <v>110.97</v>
      </c>
      <c r="U28" s="93"/>
      <c r="V28" s="93"/>
    </row>
    <row r="29" spans="2:27" x14ac:dyDescent="0.55000000000000004">
      <c r="D29" t="s">
        <v>601</v>
      </c>
      <c r="E29" s="55" t="s">
        <v>611</v>
      </c>
      <c r="F29" t="s">
        <v>602</v>
      </c>
      <c r="G29" t="s">
        <v>384</v>
      </c>
      <c r="H29" t="s">
        <v>641</v>
      </c>
      <c r="I29">
        <v>20</v>
      </c>
      <c r="J29" s="39">
        <v>89.111000000000004</v>
      </c>
      <c r="K29" s="39">
        <v>106.31399999999999</v>
      </c>
      <c r="L29" s="39">
        <f>K29-J29</f>
        <v>17.202999999999989</v>
      </c>
      <c r="M29" s="39">
        <f>L29*0.0973</f>
        <v>1.6738518999999989</v>
      </c>
      <c r="N29" s="70">
        <f>M29*20</f>
        <v>33.477037999999979</v>
      </c>
      <c r="O29" s="39">
        <v>0</v>
      </c>
      <c r="P29" s="39">
        <v>134</v>
      </c>
      <c r="Q29" s="39">
        <v>2201</v>
      </c>
      <c r="R29" s="39">
        <v>110.97</v>
      </c>
      <c r="S29" s="39">
        <f>R29-O29</f>
        <v>110.97</v>
      </c>
      <c r="T29" s="39" t="s">
        <v>614</v>
      </c>
      <c r="U29" s="93"/>
      <c r="V29" s="93"/>
    </row>
    <row r="30" spans="2:27" x14ac:dyDescent="0.55000000000000004">
      <c r="D30" t="s">
        <v>601</v>
      </c>
      <c r="E30" s="57" t="s">
        <v>617</v>
      </c>
      <c r="F30" t="s">
        <v>602</v>
      </c>
      <c r="G30" t="s">
        <v>384</v>
      </c>
      <c r="H30" t="s">
        <v>641</v>
      </c>
      <c r="I30">
        <v>20</v>
      </c>
      <c r="J30" s="6">
        <v>87.974000000000004</v>
      </c>
      <c r="K30" s="6">
        <v>88.872</v>
      </c>
      <c r="L30" s="6">
        <f>K30-J30</f>
        <v>0.89799999999999613</v>
      </c>
      <c r="M30" s="6">
        <f>L30*0.0973</f>
        <v>8.7375399999999617E-2</v>
      </c>
      <c r="N30" s="60">
        <f>M30*20</f>
        <v>1.7475079999999923</v>
      </c>
      <c r="O30" s="6">
        <v>0</v>
      </c>
      <c r="P30" s="6">
        <v>286</v>
      </c>
      <c r="Q30" s="6">
        <v>3059</v>
      </c>
      <c r="R30" s="6">
        <v>154.22</v>
      </c>
      <c r="S30" s="6">
        <f>R30-O30</f>
        <v>154.22</v>
      </c>
      <c r="T30" s="6" t="s">
        <v>619</v>
      </c>
      <c r="U30" s="93"/>
      <c r="V30" s="93"/>
    </row>
    <row r="31" spans="2:27" x14ac:dyDescent="0.55000000000000004">
      <c r="C31">
        <v>19</v>
      </c>
      <c r="D31" t="s">
        <v>601</v>
      </c>
      <c r="E31" s="57" t="s">
        <v>618</v>
      </c>
      <c r="F31" t="s">
        <v>602</v>
      </c>
      <c r="G31" t="s">
        <v>384</v>
      </c>
      <c r="H31" t="s">
        <v>641</v>
      </c>
      <c r="I31">
        <v>20</v>
      </c>
      <c r="J31">
        <v>87.715999999999994</v>
      </c>
      <c r="K31">
        <v>97.587999999999994</v>
      </c>
      <c r="L31" s="7">
        <f>K31-J31</f>
        <v>9.8719999999999999</v>
      </c>
      <c r="M31" s="7">
        <f>L31*0.0973</f>
        <v>0.9605456</v>
      </c>
      <c r="N31" s="61">
        <f>M31*20</f>
        <v>19.210912</v>
      </c>
      <c r="O31" s="7">
        <v>0</v>
      </c>
      <c r="P31" s="7">
        <v>286</v>
      </c>
      <c r="Q31" s="7">
        <v>3059</v>
      </c>
      <c r="R31" s="7">
        <v>154.22</v>
      </c>
      <c r="S31" s="7">
        <f>R31-O31</f>
        <v>154.22</v>
      </c>
      <c r="T31" s="7" t="s">
        <v>614</v>
      </c>
      <c r="U31" s="93"/>
      <c r="V31" s="93"/>
    </row>
    <row r="32" spans="2:27" x14ac:dyDescent="0.55000000000000004">
      <c r="D32" t="s">
        <v>601</v>
      </c>
      <c r="E32" t="s">
        <v>620</v>
      </c>
      <c r="F32" t="s">
        <v>49</v>
      </c>
      <c r="G32" t="s">
        <v>384</v>
      </c>
      <c r="H32" t="s">
        <v>641</v>
      </c>
      <c r="I32">
        <v>20</v>
      </c>
      <c r="J32" t="s">
        <v>622</v>
      </c>
      <c r="N32" s="3"/>
      <c r="O32">
        <v>125.08</v>
      </c>
      <c r="S32" s="7"/>
      <c r="U32" s="3">
        <v>2</v>
      </c>
      <c r="V32" s="3">
        <v>1</v>
      </c>
      <c r="X32">
        <f>V32/(U32)</f>
        <v>0.5</v>
      </c>
    </row>
    <row r="33" spans="2:25" x14ac:dyDescent="0.55000000000000004">
      <c r="C33">
        <v>20</v>
      </c>
      <c r="D33" t="s">
        <v>601</v>
      </c>
      <c r="E33" t="s">
        <v>621</v>
      </c>
      <c r="F33" t="s">
        <v>49</v>
      </c>
      <c r="G33" t="s">
        <v>384</v>
      </c>
      <c r="H33" t="s">
        <v>641</v>
      </c>
      <c r="I33">
        <v>20</v>
      </c>
      <c r="J33">
        <v>80.623000000000005</v>
      </c>
      <c r="K33">
        <v>86.643000000000001</v>
      </c>
      <c r="L33">
        <f t="shared" ref="L33:L62" si="4">K33-J33</f>
        <v>6.019999999999996</v>
      </c>
      <c r="M33">
        <f t="shared" ref="M33:M62" si="5">L33*0.0973</f>
        <v>0.58574599999999954</v>
      </c>
      <c r="N33" s="3">
        <f t="shared" ref="N33:N62" si="6">M33*20</f>
        <v>11.71491999999999</v>
      </c>
      <c r="O33">
        <v>149.41</v>
      </c>
      <c r="P33">
        <v>4701</v>
      </c>
      <c r="Q33">
        <v>5057</v>
      </c>
      <c r="R33">
        <v>259.55</v>
      </c>
      <c r="S33" s="7">
        <f>R33-O33</f>
        <v>110.14000000000001</v>
      </c>
      <c r="U33" s="3">
        <v>9</v>
      </c>
      <c r="V33" s="3">
        <v>1</v>
      </c>
      <c r="X33">
        <f>V33/(U33)</f>
        <v>0.1111111111111111</v>
      </c>
    </row>
    <row r="34" spans="2:25" x14ac:dyDescent="0.55000000000000004">
      <c r="C34">
        <v>21</v>
      </c>
      <c r="D34" t="s">
        <v>601</v>
      </c>
      <c r="E34" t="s">
        <v>623</v>
      </c>
      <c r="F34" t="s">
        <v>603</v>
      </c>
      <c r="G34" t="s">
        <v>384</v>
      </c>
      <c r="H34" t="s">
        <v>641</v>
      </c>
      <c r="I34">
        <v>20</v>
      </c>
      <c r="J34">
        <v>77.894000000000005</v>
      </c>
      <c r="K34">
        <v>95.399000000000001</v>
      </c>
      <c r="L34">
        <f t="shared" si="4"/>
        <v>17.504999999999995</v>
      </c>
      <c r="M34">
        <f t="shared" si="5"/>
        <v>1.7032364999999996</v>
      </c>
      <c r="N34" s="3">
        <f t="shared" si="6"/>
        <v>34.06472999999999</v>
      </c>
      <c r="O34">
        <v>74.58</v>
      </c>
      <c r="P34">
        <v>1690</v>
      </c>
      <c r="Q34">
        <v>2638</v>
      </c>
      <c r="R34">
        <v>131</v>
      </c>
      <c r="S34">
        <f>R34-O34</f>
        <v>56.42</v>
      </c>
      <c r="T34" t="s">
        <v>628</v>
      </c>
      <c r="U34" s="3">
        <v>12</v>
      </c>
      <c r="V34" s="3">
        <v>4</v>
      </c>
      <c r="X34">
        <f>V34/(U34)</f>
        <v>0.33333333333333331</v>
      </c>
    </row>
    <row r="35" spans="2:25" x14ac:dyDescent="0.55000000000000004">
      <c r="C35">
        <v>22</v>
      </c>
      <c r="D35" t="s">
        <v>601</v>
      </c>
      <c r="E35" t="s">
        <v>624</v>
      </c>
      <c r="F35" t="s">
        <v>603</v>
      </c>
      <c r="G35" t="s">
        <v>384</v>
      </c>
      <c r="H35" t="s">
        <v>641</v>
      </c>
      <c r="I35">
        <v>20</v>
      </c>
      <c r="J35">
        <v>90.950999999999993</v>
      </c>
      <c r="K35">
        <v>116.182</v>
      </c>
      <c r="L35">
        <f t="shared" si="4"/>
        <v>25.231000000000009</v>
      </c>
      <c r="M35">
        <f t="shared" si="5"/>
        <v>2.4549763000000007</v>
      </c>
      <c r="N35" s="3">
        <f t="shared" si="6"/>
        <v>49.099526000000012</v>
      </c>
      <c r="O35">
        <v>74.58</v>
      </c>
      <c r="P35">
        <v>2385</v>
      </c>
      <c r="Q35">
        <v>3151</v>
      </c>
      <c r="R35">
        <v>156.47</v>
      </c>
      <c r="S35">
        <f>R35-O35</f>
        <v>81.89</v>
      </c>
      <c r="T35" t="s">
        <v>626</v>
      </c>
      <c r="U35" s="93"/>
      <c r="V35" s="93"/>
    </row>
    <row r="36" spans="2:25" x14ac:dyDescent="0.55000000000000004">
      <c r="C36">
        <v>23</v>
      </c>
      <c r="D36" t="s">
        <v>601</v>
      </c>
      <c r="E36" t="s">
        <v>625</v>
      </c>
      <c r="F36" t="s">
        <v>603</v>
      </c>
      <c r="G36" t="s">
        <v>384</v>
      </c>
      <c r="H36" t="s">
        <v>641</v>
      </c>
      <c r="I36">
        <v>20</v>
      </c>
      <c r="J36">
        <v>77.894000000000005</v>
      </c>
      <c r="K36">
        <v>110.613</v>
      </c>
      <c r="L36">
        <f t="shared" si="4"/>
        <v>32.718999999999994</v>
      </c>
      <c r="M36">
        <f t="shared" si="5"/>
        <v>3.1835586999999994</v>
      </c>
      <c r="N36" s="3">
        <f t="shared" si="6"/>
        <v>63.671173999999986</v>
      </c>
      <c r="O36">
        <v>74.58</v>
      </c>
      <c r="P36">
        <v>1690</v>
      </c>
      <c r="Q36">
        <v>3811</v>
      </c>
      <c r="R36">
        <v>189.24</v>
      </c>
      <c r="S36">
        <f>R36-O36</f>
        <v>114.66000000000001</v>
      </c>
      <c r="T36" t="s">
        <v>627</v>
      </c>
      <c r="U36" s="93"/>
      <c r="V36" s="93"/>
    </row>
    <row r="37" spans="2:25" x14ac:dyDescent="0.55000000000000004">
      <c r="B37" s="68"/>
      <c r="C37">
        <v>24</v>
      </c>
      <c r="D37" t="s">
        <v>601</v>
      </c>
      <c r="E37" s="55" t="s">
        <v>629</v>
      </c>
      <c r="F37" t="s">
        <v>603</v>
      </c>
      <c r="G37" t="s">
        <v>384</v>
      </c>
      <c r="H37" t="s">
        <v>641</v>
      </c>
      <c r="I37">
        <v>20</v>
      </c>
      <c r="J37">
        <v>77.894000000000005</v>
      </c>
      <c r="K37">
        <v>92.474999999999994</v>
      </c>
      <c r="L37">
        <f t="shared" si="4"/>
        <v>14.580999999999989</v>
      </c>
      <c r="M37">
        <f t="shared" si="5"/>
        <v>1.4187312999999988</v>
      </c>
      <c r="N37" s="68">
        <f t="shared" si="6"/>
        <v>28.374625999999978</v>
      </c>
      <c r="O37">
        <v>74.58</v>
      </c>
      <c r="P37">
        <v>1690</v>
      </c>
      <c r="Q37">
        <v>4613</v>
      </c>
      <c r="R37">
        <v>229.07</v>
      </c>
      <c r="S37" t="s">
        <v>631</v>
      </c>
      <c r="U37" s="93"/>
      <c r="V37" s="93"/>
    </row>
    <row r="38" spans="2:25" x14ac:dyDescent="0.55000000000000004">
      <c r="B38" s="71"/>
      <c r="D38" s="7" t="s">
        <v>601</v>
      </c>
      <c r="E38" s="59" t="s">
        <v>630</v>
      </c>
      <c r="F38" s="7" t="s">
        <v>603</v>
      </c>
      <c r="G38" s="7" t="s">
        <v>384</v>
      </c>
      <c r="H38" t="s">
        <v>641</v>
      </c>
      <c r="I38" s="7">
        <v>20</v>
      </c>
      <c r="J38" s="7">
        <v>77.472999999999999</v>
      </c>
      <c r="K38" s="7">
        <v>89.168000000000006</v>
      </c>
      <c r="L38" s="7">
        <f t="shared" si="4"/>
        <v>11.695000000000007</v>
      </c>
      <c r="M38" s="7">
        <f t="shared" si="5"/>
        <v>1.1379235000000008</v>
      </c>
      <c r="N38" s="71">
        <f t="shared" si="6"/>
        <v>22.758470000000017</v>
      </c>
      <c r="O38" s="7">
        <v>74.58</v>
      </c>
      <c r="P38" s="7">
        <v>1028</v>
      </c>
      <c r="Q38" s="7">
        <v>4613</v>
      </c>
      <c r="R38" s="7">
        <v>229.07</v>
      </c>
      <c r="S38" s="7" t="s">
        <v>632</v>
      </c>
      <c r="T38" s="7"/>
      <c r="U38" s="93"/>
      <c r="V38" s="93"/>
      <c r="Y38" s="40"/>
    </row>
    <row r="39" spans="2:25" x14ac:dyDescent="0.55000000000000004">
      <c r="B39" s="19">
        <v>68.279301999999973</v>
      </c>
      <c r="C39">
        <v>25</v>
      </c>
      <c r="D39" s="7" t="s">
        <v>601</v>
      </c>
      <c r="E39" s="7" t="s">
        <v>642</v>
      </c>
      <c r="F39" s="7" t="s">
        <v>604</v>
      </c>
      <c r="G39" s="7" t="s">
        <v>384</v>
      </c>
      <c r="H39" t="s">
        <v>641</v>
      </c>
      <c r="I39" s="7">
        <v>20</v>
      </c>
      <c r="J39" s="7">
        <v>78.62</v>
      </c>
      <c r="K39" s="7">
        <v>113.70699999999999</v>
      </c>
      <c r="L39" s="7">
        <f t="shared" si="4"/>
        <v>35.086999999999989</v>
      </c>
      <c r="M39" s="7">
        <f t="shared" si="5"/>
        <v>3.4139650999999986</v>
      </c>
      <c r="N39" s="19">
        <f t="shared" si="6"/>
        <v>68.279301999999973</v>
      </c>
      <c r="O39" s="7">
        <v>16.37</v>
      </c>
      <c r="P39" s="7">
        <v>390</v>
      </c>
      <c r="Q39" s="7">
        <v>867</v>
      </c>
      <c r="R39" s="7">
        <v>43.01</v>
      </c>
      <c r="S39" s="7">
        <f t="shared" ref="S39:S62" si="7">R39-O39</f>
        <v>26.639999999999997</v>
      </c>
      <c r="T39" s="7"/>
      <c r="U39" s="3">
        <v>9</v>
      </c>
      <c r="V39" s="3">
        <v>3</v>
      </c>
      <c r="X39">
        <f>V39/(U39)</f>
        <v>0.33333333333333331</v>
      </c>
      <c r="Y39" s="3"/>
    </row>
    <row r="40" spans="2:25" x14ac:dyDescent="0.55000000000000004">
      <c r="B40" s="19">
        <v>50.619351999999999</v>
      </c>
      <c r="C40">
        <v>26</v>
      </c>
      <c r="D40" s="7" t="s">
        <v>601</v>
      </c>
      <c r="E40" s="7" t="s">
        <v>642</v>
      </c>
      <c r="F40" s="7" t="s">
        <v>604</v>
      </c>
      <c r="G40" s="7" t="s">
        <v>384</v>
      </c>
      <c r="H40" t="s">
        <v>641</v>
      </c>
      <c r="I40" s="7">
        <v>20</v>
      </c>
      <c r="J40" s="7">
        <v>81.504999999999995</v>
      </c>
      <c r="K40" s="7">
        <v>107.517</v>
      </c>
      <c r="L40" s="7">
        <f t="shared" si="4"/>
        <v>26.012</v>
      </c>
      <c r="M40" s="7">
        <f t="shared" si="5"/>
        <v>2.5309675999999999</v>
      </c>
      <c r="N40" s="19">
        <f t="shared" si="6"/>
        <v>50.619351999999999</v>
      </c>
      <c r="O40" s="7">
        <v>16.37</v>
      </c>
      <c r="P40" s="7">
        <v>1120</v>
      </c>
      <c r="Q40" s="7">
        <v>2091</v>
      </c>
      <c r="R40" s="7">
        <v>103.73</v>
      </c>
      <c r="S40" s="7">
        <f t="shared" si="7"/>
        <v>87.36</v>
      </c>
      <c r="T40" s="7" t="s">
        <v>644</v>
      </c>
      <c r="U40" s="94"/>
      <c r="V40" s="94"/>
      <c r="Y40" s="3"/>
    </row>
    <row r="41" spans="2:25" x14ac:dyDescent="0.55000000000000004">
      <c r="B41" s="19">
        <v>56.871850000000009</v>
      </c>
      <c r="C41">
        <v>27</v>
      </c>
      <c r="D41" s="7" t="s">
        <v>601</v>
      </c>
      <c r="E41" s="7" t="s">
        <v>643</v>
      </c>
      <c r="F41" s="7" t="s">
        <v>604</v>
      </c>
      <c r="G41" s="7" t="s">
        <v>384</v>
      </c>
      <c r="H41" t="s">
        <v>641</v>
      </c>
      <c r="I41" s="7">
        <v>20</v>
      </c>
      <c r="J41" s="7">
        <v>81.504999999999995</v>
      </c>
      <c r="K41" s="7">
        <v>110.73</v>
      </c>
      <c r="L41" s="7">
        <f t="shared" si="4"/>
        <v>29.225000000000009</v>
      </c>
      <c r="M41" s="7">
        <f t="shared" si="5"/>
        <v>2.8435925000000006</v>
      </c>
      <c r="N41" s="19">
        <f t="shared" si="6"/>
        <v>56.871850000000009</v>
      </c>
      <c r="O41" s="7">
        <v>16.37</v>
      </c>
      <c r="P41" s="7">
        <v>1120</v>
      </c>
      <c r="Q41" s="7">
        <v>2459</v>
      </c>
      <c r="R41" s="7">
        <v>121.98</v>
      </c>
      <c r="S41" s="7">
        <f t="shared" si="7"/>
        <v>105.61</v>
      </c>
      <c r="T41" s="7" t="s">
        <v>644</v>
      </c>
      <c r="U41" s="95"/>
      <c r="V41" s="94"/>
      <c r="Y41" s="3"/>
    </row>
    <row r="42" spans="2:25" x14ac:dyDescent="0.55000000000000004">
      <c r="B42" s="19">
        <v>10.537589999999984</v>
      </c>
      <c r="C42">
        <v>28</v>
      </c>
      <c r="D42" s="7" t="s">
        <v>601</v>
      </c>
      <c r="E42" s="7" t="s">
        <v>645</v>
      </c>
      <c r="F42" s="7" t="s">
        <v>605</v>
      </c>
      <c r="G42" s="7" t="s">
        <v>384</v>
      </c>
      <c r="H42" t="s">
        <v>641</v>
      </c>
      <c r="I42" s="7">
        <v>20</v>
      </c>
      <c r="J42" s="7">
        <v>78.766000000000005</v>
      </c>
      <c r="K42" s="7">
        <v>84.180999999999997</v>
      </c>
      <c r="L42" s="7">
        <f t="shared" si="4"/>
        <v>5.414999999999992</v>
      </c>
      <c r="M42" s="7">
        <f t="shared" si="5"/>
        <v>0.52687949999999917</v>
      </c>
      <c r="N42" s="19">
        <f t="shared" si="6"/>
        <v>10.537589999999984</v>
      </c>
      <c r="O42" s="7">
        <v>6.21</v>
      </c>
      <c r="P42" s="7">
        <v>473</v>
      </c>
      <c r="Q42" s="7">
        <v>800</v>
      </c>
      <c r="R42" s="7">
        <v>40.04</v>
      </c>
      <c r="S42" s="7">
        <f t="shared" si="7"/>
        <v>33.83</v>
      </c>
      <c r="T42" s="7" t="s">
        <v>648</v>
      </c>
      <c r="U42" s="3">
        <v>16</v>
      </c>
      <c r="V42" s="3">
        <v>5</v>
      </c>
      <c r="X42">
        <f>V42/(U42)</f>
        <v>0.3125</v>
      </c>
      <c r="Y42" s="3"/>
    </row>
    <row r="43" spans="2:25" x14ac:dyDescent="0.55000000000000004">
      <c r="B43" s="19">
        <v>8.5604540000000018</v>
      </c>
      <c r="C43">
        <v>29</v>
      </c>
      <c r="D43" s="7" t="s">
        <v>601</v>
      </c>
      <c r="E43" s="7" t="s">
        <v>646</v>
      </c>
      <c r="F43" s="7" t="s">
        <v>605</v>
      </c>
      <c r="G43" s="7" t="s">
        <v>384</v>
      </c>
      <c r="H43" t="s">
        <v>641</v>
      </c>
      <c r="I43" s="7">
        <v>20</v>
      </c>
      <c r="J43" s="7">
        <v>83.63</v>
      </c>
      <c r="K43" s="7">
        <v>88.028999999999996</v>
      </c>
      <c r="L43" s="7">
        <f t="shared" si="4"/>
        <v>4.3990000000000009</v>
      </c>
      <c r="M43" s="7">
        <f t="shared" si="5"/>
        <v>0.42802270000000009</v>
      </c>
      <c r="N43" s="19">
        <f t="shared" si="6"/>
        <v>8.5604540000000018</v>
      </c>
      <c r="O43" s="7">
        <v>6.21</v>
      </c>
      <c r="P43" s="7">
        <v>847</v>
      </c>
      <c r="Q43" s="7">
        <v>1465</v>
      </c>
      <c r="R43" s="7">
        <v>73.31</v>
      </c>
      <c r="S43" s="7">
        <f t="shared" si="7"/>
        <v>67.100000000000009</v>
      </c>
      <c r="T43" s="7"/>
      <c r="U43" s="94"/>
      <c r="V43" s="94"/>
      <c r="Y43" s="3"/>
    </row>
    <row r="44" spans="2:25" x14ac:dyDescent="0.55000000000000004">
      <c r="B44" s="19">
        <v>28.555603999999985</v>
      </c>
      <c r="C44">
        <v>30</v>
      </c>
      <c r="D44" s="7" t="s">
        <v>601</v>
      </c>
      <c r="E44" s="7" t="s">
        <v>647</v>
      </c>
      <c r="F44" s="7" t="s">
        <v>605</v>
      </c>
      <c r="G44" s="7" t="s">
        <v>384</v>
      </c>
      <c r="H44" t="s">
        <v>641</v>
      </c>
      <c r="I44" s="7">
        <v>20</v>
      </c>
      <c r="J44" s="7">
        <v>78.766000000000005</v>
      </c>
      <c r="K44" s="7">
        <v>93.44</v>
      </c>
      <c r="L44" s="7">
        <f t="shared" si="4"/>
        <v>14.673999999999992</v>
      </c>
      <c r="M44" s="7">
        <f t="shared" si="5"/>
        <v>1.4277801999999993</v>
      </c>
      <c r="N44" s="19">
        <f t="shared" si="6"/>
        <v>28.555603999999985</v>
      </c>
      <c r="O44" s="7">
        <v>6.21</v>
      </c>
      <c r="P44" s="7">
        <v>473</v>
      </c>
      <c r="Q44" s="7">
        <v>2141</v>
      </c>
      <c r="R44" s="7">
        <v>107.14</v>
      </c>
      <c r="S44" s="7">
        <f t="shared" si="7"/>
        <v>100.93</v>
      </c>
      <c r="T44" s="7" t="s">
        <v>648</v>
      </c>
      <c r="U44" s="94"/>
      <c r="V44" s="94"/>
      <c r="Y44" s="3"/>
    </row>
    <row r="45" spans="2:25" x14ac:dyDescent="0.55000000000000004">
      <c r="B45" s="19">
        <v>23.503788000000007</v>
      </c>
      <c r="C45">
        <v>31</v>
      </c>
      <c r="D45" s="7" t="s">
        <v>601</v>
      </c>
      <c r="E45" s="7" t="s">
        <v>649</v>
      </c>
      <c r="F45" s="7" t="s">
        <v>605</v>
      </c>
      <c r="G45" s="7" t="s">
        <v>384</v>
      </c>
      <c r="H45" t="s">
        <v>641</v>
      </c>
      <c r="I45" s="7">
        <v>20</v>
      </c>
      <c r="J45" s="7">
        <v>83.033000000000001</v>
      </c>
      <c r="K45" s="7">
        <v>95.111000000000004</v>
      </c>
      <c r="L45" s="7">
        <f t="shared" si="4"/>
        <v>12.078000000000003</v>
      </c>
      <c r="M45" s="7">
        <f t="shared" si="5"/>
        <v>1.1751894000000003</v>
      </c>
      <c r="N45" s="19">
        <f t="shared" si="6"/>
        <v>23.503788000000007</v>
      </c>
      <c r="O45" s="7">
        <v>6.21</v>
      </c>
      <c r="P45" s="7">
        <v>850</v>
      </c>
      <c r="Q45" s="7">
        <v>3163</v>
      </c>
      <c r="R45" s="7">
        <v>158.29</v>
      </c>
      <c r="S45" s="7">
        <f t="shared" si="7"/>
        <v>152.07999999999998</v>
      </c>
      <c r="T45" s="7" t="s">
        <v>651</v>
      </c>
      <c r="U45" s="94"/>
      <c r="V45" s="94"/>
      <c r="Y45" s="3"/>
    </row>
    <row r="46" spans="2:25" x14ac:dyDescent="0.55000000000000004">
      <c r="B46" s="19">
        <v>53.193909999999988</v>
      </c>
      <c r="C46">
        <v>32</v>
      </c>
      <c r="D46" s="7" t="s">
        <v>601</v>
      </c>
      <c r="E46" s="7" t="s">
        <v>650</v>
      </c>
      <c r="F46" s="7" t="s">
        <v>605</v>
      </c>
      <c r="G46" s="7" t="s">
        <v>384</v>
      </c>
      <c r="H46" t="s">
        <v>641</v>
      </c>
      <c r="I46" s="7">
        <v>20</v>
      </c>
      <c r="J46" s="7">
        <v>83.033000000000001</v>
      </c>
      <c r="K46" s="7">
        <v>110.36799999999999</v>
      </c>
      <c r="L46" s="7">
        <f t="shared" si="4"/>
        <v>27.334999999999994</v>
      </c>
      <c r="M46" s="7">
        <f t="shared" si="5"/>
        <v>2.6596954999999993</v>
      </c>
      <c r="N46" s="19">
        <f t="shared" si="6"/>
        <v>53.193909999999988</v>
      </c>
      <c r="O46" s="7">
        <v>6.21</v>
      </c>
      <c r="P46" s="7">
        <v>850</v>
      </c>
      <c r="Q46" s="7">
        <v>3857</v>
      </c>
      <c r="R46" s="7">
        <v>193.02</v>
      </c>
      <c r="S46" s="7">
        <f t="shared" si="7"/>
        <v>186.81</v>
      </c>
      <c r="T46" s="7" t="s">
        <v>651</v>
      </c>
      <c r="U46" s="95"/>
      <c r="V46" s="95"/>
      <c r="Y46" s="3"/>
    </row>
    <row r="47" spans="2:25" x14ac:dyDescent="0.55000000000000004">
      <c r="B47" s="61">
        <v>46.166904000000002</v>
      </c>
      <c r="C47">
        <v>33</v>
      </c>
      <c r="D47" s="7" t="s">
        <v>601</v>
      </c>
      <c r="E47" s="58" t="s">
        <v>652</v>
      </c>
      <c r="F47" s="7" t="s">
        <v>606</v>
      </c>
      <c r="G47" s="7" t="s">
        <v>384</v>
      </c>
      <c r="H47" t="s">
        <v>641</v>
      </c>
      <c r="I47" s="7">
        <v>20</v>
      </c>
      <c r="J47" s="7">
        <v>80.745999999999995</v>
      </c>
      <c r="K47" s="7">
        <v>104.47</v>
      </c>
      <c r="L47" s="7">
        <f t="shared" si="4"/>
        <v>23.724000000000004</v>
      </c>
      <c r="M47" s="7">
        <f t="shared" si="5"/>
        <v>2.3083452000000002</v>
      </c>
      <c r="N47" s="61">
        <f t="shared" si="6"/>
        <v>46.166904000000002</v>
      </c>
      <c r="O47" s="7">
        <v>103.69</v>
      </c>
      <c r="P47" s="7">
        <v>2425</v>
      </c>
      <c r="Q47" s="7">
        <v>3366</v>
      </c>
      <c r="R47" s="7">
        <v>166.36</v>
      </c>
      <c r="S47" s="7">
        <f t="shared" si="7"/>
        <v>62.670000000000016</v>
      </c>
      <c r="T47" s="7" t="s">
        <v>656</v>
      </c>
      <c r="U47" s="3">
        <v>5</v>
      </c>
      <c r="V47" s="3">
        <v>2</v>
      </c>
      <c r="X47">
        <f>V47/(U47)</f>
        <v>0.4</v>
      </c>
    </row>
    <row r="48" spans="2:25" x14ac:dyDescent="0.55000000000000004">
      <c r="B48" s="62"/>
      <c r="D48" s="38" t="s">
        <v>601</v>
      </c>
      <c r="E48" s="56" t="s">
        <v>653</v>
      </c>
      <c r="F48" s="38" t="s">
        <v>606</v>
      </c>
      <c r="G48" s="38" t="s">
        <v>384</v>
      </c>
      <c r="H48" t="s">
        <v>641</v>
      </c>
      <c r="I48" s="38">
        <v>20</v>
      </c>
      <c r="J48" s="38">
        <v>85.95</v>
      </c>
      <c r="K48" s="38">
        <v>98.486999999999995</v>
      </c>
      <c r="L48" s="38">
        <f t="shared" si="4"/>
        <v>12.536999999999992</v>
      </c>
      <c r="M48" s="38">
        <f t="shared" si="5"/>
        <v>1.2198500999999993</v>
      </c>
      <c r="N48" s="62">
        <f t="shared" si="6"/>
        <v>24.397001999999986</v>
      </c>
      <c r="O48" s="38">
        <v>103.69</v>
      </c>
      <c r="P48" s="38">
        <v>2425</v>
      </c>
      <c r="Q48" s="38">
        <v>3366</v>
      </c>
      <c r="R48" s="38">
        <v>166.36</v>
      </c>
      <c r="S48" s="38">
        <f t="shared" si="7"/>
        <v>62.670000000000016</v>
      </c>
      <c r="T48" s="38" t="s">
        <v>614</v>
      </c>
      <c r="U48" s="95"/>
      <c r="V48" s="94"/>
    </row>
    <row r="49" spans="2:27" x14ac:dyDescent="0.55000000000000004">
      <c r="B49" s="71">
        <v>16.321102</v>
      </c>
      <c r="C49">
        <v>34</v>
      </c>
      <c r="D49" s="7" t="s">
        <v>601</v>
      </c>
      <c r="E49" s="59" t="s">
        <v>654</v>
      </c>
      <c r="F49" s="7" t="s">
        <v>606</v>
      </c>
      <c r="G49" s="7" t="s">
        <v>384</v>
      </c>
      <c r="H49" t="s">
        <v>641</v>
      </c>
      <c r="I49" s="7">
        <v>20</v>
      </c>
      <c r="J49" s="7">
        <v>87.628</v>
      </c>
      <c r="K49" s="7">
        <v>96.015000000000001</v>
      </c>
      <c r="L49" s="7">
        <f t="shared" si="4"/>
        <v>8.3870000000000005</v>
      </c>
      <c r="M49" s="7">
        <f t="shared" si="5"/>
        <v>0.81605510000000003</v>
      </c>
      <c r="N49" s="71">
        <f t="shared" si="6"/>
        <v>16.321102</v>
      </c>
      <c r="O49" s="7">
        <v>103.69</v>
      </c>
      <c r="P49" s="7">
        <v>4151</v>
      </c>
      <c r="Q49" s="7">
        <v>6168</v>
      </c>
      <c r="R49" s="7">
        <v>304.85000000000002</v>
      </c>
      <c r="S49" s="7">
        <f t="shared" si="7"/>
        <v>201.16000000000003</v>
      </c>
      <c r="T49" s="7" t="s">
        <v>614</v>
      </c>
      <c r="U49" s="96"/>
      <c r="V49" s="94"/>
    </row>
    <row r="50" spans="2:27" x14ac:dyDescent="0.55000000000000004">
      <c r="B50" s="72"/>
      <c r="D50" s="38" t="s">
        <v>601</v>
      </c>
      <c r="E50" s="54" t="s">
        <v>655</v>
      </c>
      <c r="F50" s="38" t="s">
        <v>606</v>
      </c>
      <c r="G50" s="38" t="s">
        <v>384</v>
      </c>
      <c r="H50" t="s">
        <v>641</v>
      </c>
      <c r="I50" s="38">
        <v>20</v>
      </c>
      <c r="J50" s="38">
        <v>86.405000000000001</v>
      </c>
      <c r="K50" s="38">
        <v>96.507000000000005</v>
      </c>
      <c r="L50" s="38">
        <f t="shared" si="4"/>
        <v>10.102000000000004</v>
      </c>
      <c r="M50" s="38">
        <f t="shared" si="5"/>
        <v>0.98292460000000037</v>
      </c>
      <c r="N50" s="72">
        <f t="shared" si="6"/>
        <v>19.658492000000006</v>
      </c>
      <c r="O50" s="38">
        <v>103.69</v>
      </c>
      <c r="P50" s="38">
        <v>4151</v>
      </c>
      <c r="Q50" s="38">
        <v>6168</v>
      </c>
      <c r="R50" s="38">
        <v>304.85000000000002</v>
      </c>
      <c r="S50" s="38">
        <f t="shared" si="7"/>
        <v>201.16000000000003</v>
      </c>
      <c r="T50" s="38" t="s">
        <v>614</v>
      </c>
      <c r="U50" s="95"/>
      <c r="V50" s="94"/>
    </row>
    <row r="51" spans="2:27" x14ac:dyDescent="0.55000000000000004">
      <c r="B51" s="19">
        <v>26.16980800000001</v>
      </c>
      <c r="C51">
        <v>35</v>
      </c>
      <c r="D51" t="s">
        <v>601</v>
      </c>
      <c r="E51" t="s">
        <v>657</v>
      </c>
      <c r="F51" t="s">
        <v>607</v>
      </c>
      <c r="G51" t="s">
        <v>384</v>
      </c>
      <c r="H51" t="s">
        <v>641</v>
      </c>
      <c r="I51">
        <v>20</v>
      </c>
      <c r="J51" s="7">
        <v>81.638999999999996</v>
      </c>
      <c r="K51" s="7">
        <v>95.087000000000003</v>
      </c>
      <c r="L51" s="7">
        <f t="shared" si="4"/>
        <v>13.448000000000008</v>
      </c>
      <c r="M51" s="7">
        <f t="shared" si="5"/>
        <v>1.3084904000000006</v>
      </c>
      <c r="N51" s="19">
        <f t="shared" si="6"/>
        <v>26.16980800000001</v>
      </c>
      <c r="O51" s="7">
        <v>22.81</v>
      </c>
      <c r="P51" s="7">
        <v>623</v>
      </c>
      <c r="Q51" s="7">
        <v>1225</v>
      </c>
      <c r="R51" s="7">
        <v>60.34</v>
      </c>
      <c r="S51" s="7">
        <f t="shared" si="7"/>
        <v>37.53</v>
      </c>
      <c r="T51" s="7" t="s">
        <v>661</v>
      </c>
      <c r="U51" s="19">
        <v>6</v>
      </c>
      <c r="V51" s="19">
        <v>4</v>
      </c>
      <c r="X51">
        <f>V51/(U51)</f>
        <v>0.66666666666666663</v>
      </c>
    </row>
    <row r="52" spans="2:27" x14ac:dyDescent="0.55000000000000004">
      <c r="B52" s="19">
        <v>25.718336000000015</v>
      </c>
      <c r="C52">
        <v>36</v>
      </c>
      <c r="D52" t="s">
        <v>601</v>
      </c>
      <c r="E52" t="s">
        <v>658</v>
      </c>
      <c r="F52" t="s">
        <v>607</v>
      </c>
      <c r="G52" t="s">
        <v>384</v>
      </c>
      <c r="H52" t="s">
        <v>641</v>
      </c>
      <c r="I52">
        <v>20</v>
      </c>
      <c r="J52" s="7">
        <v>85.224999999999994</v>
      </c>
      <c r="K52" s="7">
        <v>98.441000000000003</v>
      </c>
      <c r="L52" s="7">
        <f t="shared" si="4"/>
        <v>13.216000000000008</v>
      </c>
      <c r="M52" s="7">
        <f t="shared" si="5"/>
        <v>1.2859168000000007</v>
      </c>
      <c r="N52" s="19">
        <f t="shared" si="6"/>
        <v>25.718336000000015</v>
      </c>
      <c r="O52" s="7">
        <v>22.81</v>
      </c>
      <c r="P52" s="7">
        <v>733</v>
      </c>
      <c r="Q52" s="7">
        <v>1365</v>
      </c>
      <c r="R52" s="7">
        <v>67.23</v>
      </c>
      <c r="S52" s="7">
        <f t="shared" si="7"/>
        <v>44.42</v>
      </c>
      <c r="T52" s="7"/>
      <c r="U52" s="94"/>
      <c r="V52" s="94"/>
    </row>
    <row r="53" spans="2:27" x14ac:dyDescent="0.55000000000000004">
      <c r="B53" s="61">
        <v>29.158864000000015</v>
      </c>
      <c r="C53">
        <v>37</v>
      </c>
      <c r="D53" t="s">
        <v>601</v>
      </c>
      <c r="E53" s="57" t="s">
        <v>659</v>
      </c>
      <c r="F53" t="s">
        <v>607</v>
      </c>
      <c r="G53" t="s">
        <v>384</v>
      </c>
      <c r="H53" t="s">
        <v>641</v>
      </c>
      <c r="I53">
        <v>20</v>
      </c>
      <c r="J53" s="7">
        <v>81.638999999999996</v>
      </c>
      <c r="K53" s="7">
        <v>96.623000000000005</v>
      </c>
      <c r="L53" s="7">
        <f t="shared" si="4"/>
        <v>14.984000000000009</v>
      </c>
      <c r="M53" s="7">
        <f t="shared" si="5"/>
        <v>1.4579432000000008</v>
      </c>
      <c r="N53" s="61">
        <f t="shared" si="6"/>
        <v>29.158864000000015</v>
      </c>
      <c r="O53" s="7">
        <v>22.81</v>
      </c>
      <c r="P53" s="7">
        <v>623</v>
      </c>
      <c r="Q53" s="7">
        <v>1927</v>
      </c>
      <c r="R53" s="7">
        <v>94.91</v>
      </c>
      <c r="S53" s="7">
        <f t="shared" si="7"/>
        <v>72.099999999999994</v>
      </c>
      <c r="T53" s="7" t="s">
        <v>662</v>
      </c>
      <c r="U53" s="94"/>
      <c r="V53" s="94"/>
    </row>
    <row r="54" spans="2:27" x14ac:dyDescent="0.55000000000000004">
      <c r="B54" s="62"/>
      <c r="D54" s="38" t="s">
        <v>601</v>
      </c>
      <c r="E54" s="56" t="s">
        <v>660</v>
      </c>
      <c r="F54" s="38" t="s">
        <v>607</v>
      </c>
      <c r="G54" s="38" t="s">
        <v>384</v>
      </c>
      <c r="H54" t="s">
        <v>641</v>
      </c>
      <c r="I54" s="38">
        <v>20</v>
      </c>
      <c r="J54" s="38">
        <v>85.471999999999994</v>
      </c>
      <c r="K54" s="38">
        <v>95.646000000000001</v>
      </c>
      <c r="L54" s="38">
        <f t="shared" si="4"/>
        <v>10.174000000000007</v>
      </c>
      <c r="M54" s="38">
        <f t="shared" si="5"/>
        <v>0.98993020000000065</v>
      </c>
      <c r="N54" s="62">
        <f t="shared" si="6"/>
        <v>19.798604000000012</v>
      </c>
      <c r="O54" s="38">
        <v>22.81</v>
      </c>
      <c r="P54" s="38">
        <v>623</v>
      </c>
      <c r="Q54" s="38">
        <v>1927</v>
      </c>
      <c r="R54" s="38">
        <v>94.91</v>
      </c>
      <c r="S54" s="38">
        <f t="shared" si="7"/>
        <v>72.099999999999994</v>
      </c>
      <c r="T54" s="38" t="s">
        <v>662</v>
      </c>
      <c r="U54" s="97"/>
      <c r="V54" s="94"/>
    </row>
    <row r="55" spans="2:27" x14ac:dyDescent="0.55000000000000004">
      <c r="B55" s="71">
        <v>16.212126000000005</v>
      </c>
      <c r="C55">
        <v>38</v>
      </c>
      <c r="D55" t="s">
        <v>601</v>
      </c>
      <c r="E55" s="55" t="s">
        <v>663</v>
      </c>
      <c r="F55" t="s">
        <v>607</v>
      </c>
      <c r="G55" t="s">
        <v>384</v>
      </c>
      <c r="H55" t="s">
        <v>641</v>
      </c>
      <c r="I55">
        <v>20</v>
      </c>
      <c r="J55" s="7">
        <v>82.89</v>
      </c>
      <c r="K55" s="7">
        <v>91.221000000000004</v>
      </c>
      <c r="L55" s="7">
        <f t="shared" si="4"/>
        <v>8.3310000000000031</v>
      </c>
      <c r="M55" s="7">
        <f t="shared" si="5"/>
        <v>0.81060630000000022</v>
      </c>
      <c r="N55" s="71">
        <f t="shared" si="6"/>
        <v>16.212126000000005</v>
      </c>
      <c r="O55" s="7">
        <v>22.81</v>
      </c>
      <c r="P55" s="7">
        <v>1599</v>
      </c>
      <c r="Q55" s="7">
        <v>3700</v>
      </c>
      <c r="R55" s="7">
        <v>182.24</v>
      </c>
      <c r="S55" s="7">
        <f t="shared" si="7"/>
        <v>159.43</v>
      </c>
      <c r="T55" s="7" t="s">
        <v>668</v>
      </c>
      <c r="U55" s="94"/>
      <c r="V55" s="94"/>
    </row>
    <row r="56" spans="2:27" x14ac:dyDescent="0.55000000000000004">
      <c r="B56" s="72"/>
      <c r="D56" s="38" t="s">
        <v>601</v>
      </c>
      <c r="E56" s="54" t="s">
        <v>664</v>
      </c>
      <c r="F56" s="38" t="s">
        <v>607</v>
      </c>
      <c r="G56" s="38" t="s">
        <v>384</v>
      </c>
      <c r="H56" t="s">
        <v>641</v>
      </c>
      <c r="I56" s="38">
        <v>20</v>
      </c>
      <c r="J56" s="38">
        <v>85.471999999999994</v>
      </c>
      <c r="K56" s="38">
        <v>91.754000000000005</v>
      </c>
      <c r="L56" s="38">
        <f t="shared" si="4"/>
        <v>6.2820000000000107</v>
      </c>
      <c r="M56" s="38">
        <f t="shared" si="5"/>
        <v>0.61123860000000108</v>
      </c>
      <c r="N56" s="72">
        <f t="shared" si="6"/>
        <v>12.224772000000021</v>
      </c>
      <c r="O56" s="38">
        <v>22.81</v>
      </c>
      <c r="P56" s="38">
        <v>623</v>
      </c>
      <c r="Q56" s="38">
        <v>3700</v>
      </c>
      <c r="R56" s="38">
        <v>182.24</v>
      </c>
      <c r="S56" s="38">
        <f t="shared" si="7"/>
        <v>159.43</v>
      </c>
      <c r="T56" s="7" t="s">
        <v>667</v>
      </c>
      <c r="U56" s="94"/>
      <c r="V56" s="94"/>
    </row>
    <row r="57" spans="2:27" x14ac:dyDescent="0.55000000000000004">
      <c r="B57" s="61">
        <v>26.963775999999989</v>
      </c>
      <c r="C57">
        <v>39</v>
      </c>
      <c r="D57" t="s">
        <v>601</v>
      </c>
      <c r="E57" s="57" t="s">
        <v>665</v>
      </c>
      <c r="F57" t="s">
        <v>607</v>
      </c>
      <c r="G57" t="s">
        <v>384</v>
      </c>
      <c r="H57" t="s">
        <v>641</v>
      </c>
      <c r="I57">
        <v>20</v>
      </c>
      <c r="J57" s="7">
        <v>82.89</v>
      </c>
      <c r="K57" s="7">
        <v>96.745999999999995</v>
      </c>
      <c r="L57" s="7">
        <f t="shared" si="4"/>
        <v>13.855999999999995</v>
      </c>
      <c r="M57" s="7">
        <f t="shared" si="5"/>
        <v>1.3481887999999995</v>
      </c>
      <c r="N57" s="61">
        <f t="shared" si="6"/>
        <v>26.963775999999989</v>
      </c>
      <c r="O57" s="7">
        <v>22.81</v>
      </c>
      <c r="P57" s="7">
        <v>1599</v>
      </c>
      <c r="Q57" s="7">
        <v>4270</v>
      </c>
      <c r="R57" s="7">
        <v>210.32</v>
      </c>
      <c r="S57" s="7">
        <f t="shared" si="7"/>
        <v>187.51</v>
      </c>
      <c r="T57" s="7" t="s">
        <v>667</v>
      </c>
      <c r="U57" s="94"/>
      <c r="V57" s="94"/>
    </row>
    <row r="58" spans="2:27" x14ac:dyDescent="0.55000000000000004">
      <c r="B58" s="62"/>
      <c r="D58" s="38" t="s">
        <v>601</v>
      </c>
      <c r="E58" s="56" t="s">
        <v>666</v>
      </c>
      <c r="F58" s="38" t="s">
        <v>607</v>
      </c>
      <c r="G58" s="38" t="s">
        <v>384</v>
      </c>
      <c r="H58" t="s">
        <v>641</v>
      </c>
      <c r="I58" s="38">
        <v>20</v>
      </c>
      <c r="J58" s="38">
        <v>85.471999999999994</v>
      </c>
      <c r="K58" s="38">
        <v>100.925</v>
      </c>
      <c r="L58" s="38">
        <f t="shared" si="4"/>
        <v>15.453000000000003</v>
      </c>
      <c r="M58" s="38">
        <f t="shared" si="5"/>
        <v>1.5035769000000003</v>
      </c>
      <c r="N58" s="62">
        <f t="shared" si="6"/>
        <v>30.071538000000007</v>
      </c>
      <c r="O58" s="38">
        <v>22.81</v>
      </c>
      <c r="P58" s="38">
        <v>623</v>
      </c>
      <c r="Q58" s="38">
        <v>4270</v>
      </c>
      <c r="R58" s="38">
        <v>210.32</v>
      </c>
      <c r="S58" s="38">
        <f t="shared" si="7"/>
        <v>187.51</v>
      </c>
      <c r="T58" s="38" t="s">
        <v>667</v>
      </c>
      <c r="U58" s="94"/>
      <c r="V58" s="94"/>
    </row>
    <row r="59" spans="2:27" x14ac:dyDescent="0.55000000000000004">
      <c r="B59" s="72"/>
      <c r="D59" s="38" t="s">
        <v>601</v>
      </c>
      <c r="E59" s="54" t="s">
        <v>669</v>
      </c>
      <c r="F59" s="38" t="s">
        <v>608</v>
      </c>
      <c r="G59" s="38" t="s">
        <v>384</v>
      </c>
      <c r="H59" t="s">
        <v>641</v>
      </c>
      <c r="I59" s="38">
        <v>20</v>
      </c>
      <c r="J59" s="38">
        <v>83.161000000000001</v>
      </c>
      <c r="K59" s="38">
        <v>98.938999999999993</v>
      </c>
      <c r="L59" s="38">
        <f t="shared" si="4"/>
        <v>15.777999999999992</v>
      </c>
      <c r="M59" s="38">
        <f t="shared" si="5"/>
        <v>1.5351993999999991</v>
      </c>
      <c r="N59" s="72">
        <f t="shared" si="6"/>
        <v>30.703987999999981</v>
      </c>
      <c r="O59" s="38">
        <v>4.47</v>
      </c>
      <c r="P59" s="38">
        <v>200</v>
      </c>
      <c r="Q59" s="38">
        <v>973</v>
      </c>
      <c r="R59" s="38">
        <v>49.46</v>
      </c>
      <c r="S59" s="38">
        <f t="shared" si="7"/>
        <v>44.99</v>
      </c>
      <c r="T59" s="38" t="s">
        <v>673</v>
      </c>
      <c r="U59" s="19">
        <v>6</v>
      </c>
      <c r="V59" s="19">
        <v>2</v>
      </c>
      <c r="X59">
        <f>V59/(U59)</f>
        <v>0.33333333333333331</v>
      </c>
    </row>
    <row r="60" spans="2:27" x14ac:dyDescent="0.55000000000000004">
      <c r="B60" s="71">
        <v>31.690610000000021</v>
      </c>
      <c r="C60">
        <v>40</v>
      </c>
      <c r="D60" t="s">
        <v>601</v>
      </c>
      <c r="E60" s="55" t="s">
        <v>670</v>
      </c>
      <c r="F60" t="s">
        <v>608</v>
      </c>
      <c r="G60" t="s">
        <v>384</v>
      </c>
      <c r="H60" t="s">
        <v>641</v>
      </c>
      <c r="I60">
        <v>20</v>
      </c>
      <c r="J60" s="7">
        <v>82.105999999999995</v>
      </c>
      <c r="K60" s="7">
        <v>98.391000000000005</v>
      </c>
      <c r="L60" s="7">
        <f t="shared" si="4"/>
        <v>16.285000000000011</v>
      </c>
      <c r="M60" s="7">
        <f t="shared" si="5"/>
        <v>1.584530500000001</v>
      </c>
      <c r="N60" s="71">
        <f t="shared" si="6"/>
        <v>31.690610000000021</v>
      </c>
      <c r="O60" s="7">
        <v>4.47</v>
      </c>
      <c r="P60" s="7">
        <v>200</v>
      </c>
      <c r="Q60" s="7">
        <v>973</v>
      </c>
      <c r="R60" s="7">
        <v>49.46</v>
      </c>
      <c r="S60" s="7">
        <f t="shared" si="7"/>
        <v>44.99</v>
      </c>
      <c r="T60" s="7"/>
      <c r="U60" s="94"/>
      <c r="V60" s="94"/>
    </row>
    <row r="61" spans="2:27" x14ac:dyDescent="0.55000000000000004">
      <c r="B61" s="61">
        <v>32.206299999999992</v>
      </c>
      <c r="C61">
        <v>41</v>
      </c>
      <c r="D61" t="s">
        <v>601</v>
      </c>
      <c r="E61" s="57" t="s">
        <v>671</v>
      </c>
      <c r="F61" t="s">
        <v>608</v>
      </c>
      <c r="G61" t="s">
        <v>384</v>
      </c>
      <c r="H61" t="s">
        <v>641</v>
      </c>
      <c r="I61">
        <v>20</v>
      </c>
      <c r="J61" s="7">
        <v>84.245000000000005</v>
      </c>
      <c r="K61" s="7">
        <v>100.795</v>
      </c>
      <c r="L61" s="7">
        <f t="shared" si="4"/>
        <v>16.549999999999997</v>
      </c>
      <c r="M61" s="7">
        <f t="shared" si="5"/>
        <v>1.6103149999999997</v>
      </c>
      <c r="N61" s="61">
        <f t="shared" si="6"/>
        <v>32.206299999999992</v>
      </c>
      <c r="O61" s="7">
        <v>4.47</v>
      </c>
      <c r="P61" s="7">
        <v>283</v>
      </c>
      <c r="Q61" s="7">
        <v>2843</v>
      </c>
      <c r="R61" s="7">
        <v>144.52000000000001</v>
      </c>
      <c r="S61" s="7">
        <f t="shared" si="7"/>
        <v>140.05000000000001</v>
      </c>
      <c r="T61" s="7"/>
      <c r="U61" s="94"/>
      <c r="V61" s="94"/>
    </row>
    <row r="62" spans="2:27" x14ac:dyDescent="0.55000000000000004">
      <c r="B62" s="62"/>
      <c r="D62" s="38" t="s">
        <v>601</v>
      </c>
      <c r="E62" s="56" t="s">
        <v>672</v>
      </c>
      <c r="F62" s="38" t="s">
        <v>608</v>
      </c>
      <c r="G62" s="38" t="s">
        <v>384</v>
      </c>
      <c r="H62" s="38" t="s">
        <v>641</v>
      </c>
      <c r="I62" s="38">
        <v>20</v>
      </c>
      <c r="J62" s="38">
        <v>85.382999999999996</v>
      </c>
      <c r="K62" s="38">
        <v>101.949</v>
      </c>
      <c r="L62" s="38">
        <f t="shared" si="4"/>
        <v>16.566000000000003</v>
      </c>
      <c r="M62" s="38">
        <f t="shared" si="5"/>
        <v>1.6118718000000003</v>
      </c>
      <c r="N62" s="62">
        <f t="shared" si="6"/>
        <v>32.237436000000002</v>
      </c>
      <c r="O62" s="38">
        <v>4.47</v>
      </c>
      <c r="P62" s="38">
        <v>283</v>
      </c>
      <c r="Q62" s="38">
        <v>2843</v>
      </c>
      <c r="R62" s="38">
        <v>144.52000000000001</v>
      </c>
      <c r="S62" s="38">
        <f t="shared" si="7"/>
        <v>140.05000000000001</v>
      </c>
      <c r="T62" s="7"/>
      <c r="U62" s="94"/>
      <c r="V62" s="94"/>
      <c r="Y62">
        <f>SUM(U26:U62)</f>
        <v>75</v>
      </c>
      <c r="Z62">
        <f>SUM(V26:V62)</f>
        <v>26</v>
      </c>
      <c r="AA62">
        <f>Z62/(Y62+Z62)</f>
        <v>0.25742574257425743</v>
      </c>
    </row>
    <row r="65" spans="2:28" x14ac:dyDescent="0.55000000000000004">
      <c r="M65">
        <f>(SUM(N2:N3,N5:N7,N9:N14,N16,N20:N21,N23:N24,M26:M28,N31,N33:N37,N39:N47,N49,N51:N53,N55,N57,N60:N61))/(COUNT(N2:N3,N5:N7,N9:N14,N16,N20:N21,N23:N24,M26:M28,N31,N33:N37,N39:N47,N49,N51:N53,N55,N57,N60:N61))</f>
        <v>29.699390983333334</v>
      </c>
      <c r="U65">
        <f>SUM(U2:U63)</f>
        <v>188</v>
      </c>
      <c r="V65">
        <f>SUM(V2:V62)</f>
        <v>48</v>
      </c>
      <c r="Y65">
        <f>SUM(Y2:Y62)</f>
        <v>188</v>
      </c>
      <c r="Z65">
        <f>SUM(Z13:Z62)</f>
        <v>48</v>
      </c>
      <c r="AA65" s="53">
        <f>((SUM(AA62,AA24,AA13))/3)*100</f>
        <v>19.423233010461985</v>
      </c>
      <c r="AB65" s="53">
        <f>(STDEV(AA13,AA24,AA62)/SQRT(COUNT(AA13,AA24,AA62)))*100</f>
        <v>3.161617241737817</v>
      </c>
    </row>
    <row r="66" spans="2:28" x14ac:dyDescent="0.55000000000000004">
      <c r="C66" t="s">
        <v>674</v>
      </c>
      <c r="D66" t="s">
        <v>675</v>
      </c>
      <c r="V66">
        <f>(V65/U65)*100</f>
        <v>25.531914893617021</v>
      </c>
    </row>
    <row r="67" spans="2:28" x14ac:dyDescent="0.55000000000000004">
      <c r="B67">
        <v>41</v>
      </c>
      <c r="C67">
        <v>32.206299999999992</v>
      </c>
      <c r="D67">
        <v>32.237436000000002</v>
      </c>
      <c r="X67" s="51">
        <f>((SUM(X2,X4:X5,X7:X10,X12,X14,X18:X20,X24,X26,X32:X34,X39,X42,X47,X51,X59))/(COUNT(X2,X4:X5,X7:X10,X12,X14,X18:X20,X24,X26,X32:X34,X39,X42,X47,X51,X59)))*100</f>
        <v>29.019730269730264</v>
      </c>
      <c r="Y67" s="51">
        <f>(STDEV(X2,X4:X5,X7:X10,X12,X14,X18:X20,X24,X26,X32:X34,X39,X42,X47,X51,X59)/SQRT(COUNT(X2,X4:X5,X7:X10,X12,X14,X18:X20,X24,X26,X32:X34,X39,X42,X47,X51,X59)))*100</f>
        <v>3.4971676142488342</v>
      </c>
    </row>
    <row r="68" spans="2:28" x14ac:dyDescent="0.55000000000000004">
      <c r="B68">
        <v>40</v>
      </c>
      <c r="C68">
        <v>30.703987999999981</v>
      </c>
      <c r="D68">
        <v>31.690610000000021</v>
      </c>
      <c r="Q68">
        <v>45.410000000000011</v>
      </c>
      <c r="R68">
        <v>15.102906000000019</v>
      </c>
    </row>
    <row r="69" spans="2:28" x14ac:dyDescent="0.55000000000000004">
      <c r="B69">
        <v>39</v>
      </c>
      <c r="C69">
        <v>26.963775999999989</v>
      </c>
      <c r="D69">
        <v>30.071538000000007</v>
      </c>
      <c r="Q69">
        <v>144.42000000000002</v>
      </c>
      <c r="R69">
        <v>73.584098000000012</v>
      </c>
    </row>
    <row r="70" spans="2:28" x14ac:dyDescent="0.55000000000000004">
      <c r="B70">
        <v>38</v>
      </c>
      <c r="C70">
        <v>16.212126000000005</v>
      </c>
      <c r="D70">
        <v>12.224772000000021</v>
      </c>
    </row>
    <row r="71" spans="2:28" x14ac:dyDescent="0.55000000000000004">
      <c r="B71">
        <v>37</v>
      </c>
      <c r="C71">
        <v>29.158864000000015</v>
      </c>
      <c r="D71">
        <v>19.798604000000012</v>
      </c>
      <c r="Q71">
        <v>58.31</v>
      </c>
      <c r="R71">
        <v>44.055493999999989</v>
      </c>
    </row>
    <row r="72" spans="2:28" x14ac:dyDescent="0.55000000000000004">
      <c r="B72">
        <v>34</v>
      </c>
      <c r="C72">
        <v>16.321102</v>
      </c>
      <c r="D72">
        <v>19.658492000000006</v>
      </c>
      <c r="Q72">
        <v>67.94</v>
      </c>
      <c r="R72">
        <v>10.739974000000011</v>
      </c>
    </row>
    <row r="73" spans="2:28" x14ac:dyDescent="0.55000000000000004">
      <c r="B73">
        <v>33</v>
      </c>
      <c r="C73" s="73">
        <v>46.166904000000002</v>
      </c>
      <c r="D73">
        <v>24.397001999999986</v>
      </c>
      <c r="Q73">
        <v>73.88</v>
      </c>
      <c r="R73">
        <v>26.078345999999989</v>
      </c>
    </row>
    <row r="74" spans="2:28" x14ac:dyDescent="0.55000000000000004">
      <c r="B74">
        <v>24</v>
      </c>
      <c r="C74">
        <v>28.374625999999978</v>
      </c>
      <c r="D74">
        <v>22.758470000000017</v>
      </c>
    </row>
    <row r="75" spans="2:28" x14ac:dyDescent="0.55000000000000004">
      <c r="B75">
        <v>18</v>
      </c>
      <c r="C75">
        <v>33.046971999999997</v>
      </c>
      <c r="D75">
        <v>33.477037999999979</v>
      </c>
      <c r="Q75">
        <v>94.390000000000015</v>
      </c>
      <c r="R75">
        <v>17.117015999999985</v>
      </c>
    </row>
    <row r="76" spans="2:28" x14ac:dyDescent="0.55000000000000004">
      <c r="B76">
        <v>15</v>
      </c>
      <c r="C76">
        <v>23.606926000000001</v>
      </c>
      <c r="D76">
        <v>22.916095999999992</v>
      </c>
      <c r="Q76">
        <v>155.91999999999999</v>
      </c>
      <c r="R76">
        <v>78.966733999999988</v>
      </c>
    </row>
    <row r="77" spans="2:28" x14ac:dyDescent="0.55000000000000004">
      <c r="B77">
        <v>11</v>
      </c>
      <c r="C77">
        <v>29.186108000000004</v>
      </c>
      <c r="D77">
        <v>21.612276000000016</v>
      </c>
    </row>
    <row r="78" spans="2:28" x14ac:dyDescent="0.55000000000000004">
      <c r="B78">
        <v>10</v>
      </c>
      <c r="C78">
        <v>8.6071580000000036</v>
      </c>
      <c r="D78">
        <v>19.893957999999998</v>
      </c>
      <c r="Q78">
        <v>31.820000000000004</v>
      </c>
      <c r="R78">
        <v>45.544183999999994</v>
      </c>
    </row>
    <row r="79" spans="2:28" x14ac:dyDescent="0.55000000000000004">
      <c r="Q79">
        <v>78.48</v>
      </c>
      <c r="R79">
        <v>49.12871599999999</v>
      </c>
    </row>
    <row r="80" spans="2:28" x14ac:dyDescent="0.55000000000000004">
      <c r="Q80">
        <v>52.75</v>
      </c>
      <c r="R80">
        <v>8.6071580000000036</v>
      </c>
    </row>
    <row r="81" spans="17:18" x14ac:dyDescent="0.55000000000000004">
      <c r="Q81">
        <v>52.75</v>
      </c>
      <c r="R81">
        <v>19.893957999999998</v>
      </c>
    </row>
    <row r="82" spans="17:18" x14ac:dyDescent="0.55000000000000004">
      <c r="Q82">
        <v>146.26999999999998</v>
      </c>
      <c r="R82">
        <v>29.186108000000004</v>
      </c>
    </row>
    <row r="83" spans="17:18" x14ac:dyDescent="0.55000000000000004">
      <c r="Q83">
        <v>146.26999999999998</v>
      </c>
      <c r="R83">
        <v>21.612276000000016</v>
      </c>
    </row>
    <row r="86" spans="17:18" x14ac:dyDescent="0.55000000000000004">
      <c r="Q86">
        <v>35.699999999999996</v>
      </c>
      <c r="R86">
        <v>14.501591999999997</v>
      </c>
    </row>
    <row r="87" spans="17:18" x14ac:dyDescent="0.55000000000000004">
      <c r="Q87">
        <v>49.48</v>
      </c>
      <c r="R87">
        <v>15.994174000000017</v>
      </c>
    </row>
    <row r="88" spans="17:18" x14ac:dyDescent="0.55000000000000004">
      <c r="Q88">
        <v>93.72</v>
      </c>
      <c r="R88">
        <v>-13.102417999999981</v>
      </c>
    </row>
    <row r="89" spans="17:18" x14ac:dyDescent="0.55000000000000004">
      <c r="Q89">
        <v>100.14999999999998</v>
      </c>
      <c r="R89">
        <v>43.50283000000001</v>
      </c>
    </row>
    <row r="90" spans="17:18" x14ac:dyDescent="0.55000000000000004">
      <c r="Q90">
        <v>107.23</v>
      </c>
      <c r="R90">
        <v>23.606926000000001</v>
      </c>
    </row>
    <row r="91" spans="17:18" x14ac:dyDescent="0.55000000000000004">
      <c r="Q91">
        <v>107.23</v>
      </c>
      <c r="R91">
        <v>22.916095999999992</v>
      </c>
    </row>
    <row r="92" spans="17:18" x14ac:dyDescent="0.55000000000000004">
      <c r="Q92">
        <v>62.26</v>
      </c>
      <c r="R92">
        <v>33.272708000000023</v>
      </c>
    </row>
    <row r="93" spans="17:18" x14ac:dyDescent="0.55000000000000004">
      <c r="Q93">
        <v>87.32</v>
      </c>
      <c r="R93">
        <v>32.577985999999996</v>
      </c>
    </row>
    <row r="94" spans="17:18" x14ac:dyDescent="0.55000000000000004">
      <c r="Q94">
        <v>110.97</v>
      </c>
      <c r="R94">
        <v>33.046971999999997</v>
      </c>
    </row>
    <row r="95" spans="17:18" x14ac:dyDescent="0.55000000000000004">
      <c r="Q95">
        <v>110.97</v>
      </c>
      <c r="R95">
        <v>33.477037999999979</v>
      </c>
    </row>
    <row r="96" spans="17:18" x14ac:dyDescent="0.55000000000000004">
      <c r="Q96">
        <v>154.22</v>
      </c>
      <c r="R96">
        <v>1.7475079999999923</v>
      </c>
    </row>
    <row r="97" spans="17:18" x14ac:dyDescent="0.55000000000000004">
      <c r="Q97">
        <v>154.22</v>
      </c>
      <c r="R97">
        <v>19.210912</v>
      </c>
    </row>
    <row r="99" spans="17:18" x14ac:dyDescent="0.55000000000000004">
      <c r="Q99">
        <v>110.14000000000001</v>
      </c>
      <c r="R99">
        <v>11.71491999999999</v>
      </c>
    </row>
    <row r="100" spans="17:18" x14ac:dyDescent="0.55000000000000004">
      <c r="Q100">
        <v>56.42</v>
      </c>
      <c r="R100">
        <v>34.06472999999999</v>
      </c>
    </row>
    <row r="101" spans="17:18" x14ac:dyDescent="0.55000000000000004">
      <c r="Q101">
        <v>81.89</v>
      </c>
      <c r="R101">
        <v>49.099526000000012</v>
      </c>
    </row>
    <row r="102" spans="17:18" x14ac:dyDescent="0.55000000000000004">
      <c r="Q102">
        <v>114.66000000000001</v>
      </c>
      <c r="R102">
        <v>63.671173999999986</v>
      </c>
    </row>
    <row r="105" spans="17:18" x14ac:dyDescent="0.55000000000000004">
      <c r="Q105">
        <v>26.639999999999997</v>
      </c>
      <c r="R105">
        <v>68.279301999999973</v>
      </c>
    </row>
    <row r="106" spans="17:18" x14ac:dyDescent="0.55000000000000004">
      <c r="Q106">
        <v>87.36</v>
      </c>
      <c r="R106">
        <v>50.619351999999999</v>
      </c>
    </row>
    <row r="107" spans="17:18" x14ac:dyDescent="0.55000000000000004">
      <c r="Q107">
        <v>105.61</v>
      </c>
      <c r="R107">
        <v>56.871850000000009</v>
      </c>
    </row>
    <row r="108" spans="17:18" x14ac:dyDescent="0.55000000000000004">
      <c r="Q108">
        <v>33.83</v>
      </c>
      <c r="R108">
        <v>10.537589999999984</v>
      </c>
    </row>
    <row r="109" spans="17:18" x14ac:dyDescent="0.55000000000000004">
      <c r="Q109">
        <v>67.100000000000009</v>
      </c>
      <c r="R109">
        <v>8.5604540000000018</v>
      </c>
    </row>
    <row r="110" spans="17:18" x14ac:dyDescent="0.55000000000000004">
      <c r="Q110">
        <v>100.93</v>
      </c>
      <c r="R110">
        <v>28.555603999999985</v>
      </c>
    </row>
    <row r="111" spans="17:18" x14ac:dyDescent="0.55000000000000004">
      <c r="Q111">
        <v>152.07999999999998</v>
      </c>
      <c r="R111">
        <v>23.503788000000007</v>
      </c>
    </row>
    <row r="112" spans="17:18" x14ac:dyDescent="0.55000000000000004">
      <c r="Q112">
        <v>186.81</v>
      </c>
      <c r="R112">
        <v>53.193909999999988</v>
      </c>
    </row>
    <row r="113" spans="17:18" x14ac:dyDescent="0.55000000000000004">
      <c r="Q113">
        <v>62.670000000000016</v>
      </c>
      <c r="R113">
        <v>46.166904000000002</v>
      </c>
    </row>
    <row r="114" spans="17:18" x14ac:dyDescent="0.55000000000000004">
      <c r="Q114">
        <v>62.670000000000016</v>
      </c>
      <c r="R114">
        <v>24.397001999999986</v>
      </c>
    </row>
    <row r="115" spans="17:18" x14ac:dyDescent="0.55000000000000004">
      <c r="Q115">
        <v>201.16000000000003</v>
      </c>
      <c r="R115">
        <v>16.321102</v>
      </c>
    </row>
    <row r="116" spans="17:18" x14ac:dyDescent="0.55000000000000004">
      <c r="Q116">
        <v>201.16000000000003</v>
      </c>
      <c r="R116">
        <v>19.658492000000006</v>
      </c>
    </row>
    <row r="117" spans="17:18" x14ac:dyDescent="0.55000000000000004">
      <c r="Q117">
        <v>37.53</v>
      </c>
      <c r="R117">
        <v>26.16980800000001</v>
      </c>
    </row>
    <row r="118" spans="17:18" x14ac:dyDescent="0.55000000000000004">
      <c r="Q118">
        <v>44.42</v>
      </c>
      <c r="R118">
        <v>25.718336000000015</v>
      </c>
    </row>
    <row r="119" spans="17:18" x14ac:dyDescent="0.55000000000000004">
      <c r="Q119">
        <v>72.099999999999994</v>
      </c>
      <c r="R119">
        <v>29.158864000000015</v>
      </c>
    </row>
    <row r="120" spans="17:18" x14ac:dyDescent="0.55000000000000004">
      <c r="Q120">
        <v>72.099999999999994</v>
      </c>
      <c r="R120">
        <v>19.798604000000012</v>
      </c>
    </row>
    <row r="121" spans="17:18" x14ac:dyDescent="0.55000000000000004">
      <c r="Q121">
        <v>159.43</v>
      </c>
      <c r="R121">
        <v>16.212126000000005</v>
      </c>
    </row>
    <row r="122" spans="17:18" x14ac:dyDescent="0.55000000000000004">
      <c r="Q122">
        <v>159.43</v>
      </c>
      <c r="R122">
        <v>12.224772000000021</v>
      </c>
    </row>
    <row r="123" spans="17:18" x14ac:dyDescent="0.55000000000000004">
      <c r="Q123">
        <v>187.51</v>
      </c>
      <c r="R123">
        <v>26.963775999999989</v>
      </c>
    </row>
    <row r="124" spans="17:18" x14ac:dyDescent="0.55000000000000004">
      <c r="Q124">
        <v>187.51</v>
      </c>
      <c r="R124">
        <v>30.071538000000007</v>
      </c>
    </row>
    <row r="125" spans="17:18" x14ac:dyDescent="0.55000000000000004">
      <c r="Q125">
        <v>44.99</v>
      </c>
      <c r="R125">
        <v>30.703987999999981</v>
      </c>
    </row>
    <row r="126" spans="17:18" x14ac:dyDescent="0.55000000000000004">
      <c r="Q126">
        <v>44.99</v>
      </c>
      <c r="R126">
        <v>31.690610000000021</v>
      </c>
    </row>
    <row r="127" spans="17:18" x14ac:dyDescent="0.55000000000000004">
      <c r="Q127">
        <v>140.05000000000001</v>
      </c>
      <c r="R127">
        <v>32.206299999999992</v>
      </c>
    </row>
    <row r="128" spans="17:18" x14ac:dyDescent="0.55000000000000004">
      <c r="Q128">
        <v>140.05000000000001</v>
      </c>
      <c r="R128">
        <v>32.237436000000002</v>
      </c>
    </row>
  </sheetData>
  <pageMargins left="0.7" right="0.7" top="0.75" bottom="0.75" header="0.3" footer="0.3"/>
  <pageSetup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2"/>
  <dimension ref="A1:AI63"/>
  <sheetViews>
    <sheetView zoomScale="70" zoomScaleNormal="70" workbookViewId="0">
      <selection activeCell="I32" sqref="I32"/>
    </sheetView>
  </sheetViews>
  <sheetFormatPr defaultRowHeight="14.4" x14ac:dyDescent="0.55000000000000004"/>
  <cols>
    <col min="3" max="3" width="13.1015625" customWidth="1"/>
    <col min="4" max="4" width="13.5234375" customWidth="1"/>
    <col min="5" max="5" width="8.3125" customWidth="1"/>
    <col min="6" max="8" width="8.89453125" customWidth="1"/>
    <col min="9" max="9" width="15.3125" customWidth="1"/>
    <col min="10" max="10" width="14.41796875" customWidth="1"/>
    <col min="11" max="11" width="19.5234375" customWidth="1"/>
    <col min="12" max="12" width="15.89453125" customWidth="1"/>
    <col min="13" max="13" width="8.68359375" style="3" customWidth="1"/>
    <col min="14" max="14" width="18.68359375" customWidth="1"/>
    <col min="15" max="15" width="15.89453125" customWidth="1"/>
    <col min="16" max="16" width="9.5234375" customWidth="1"/>
    <col min="17" max="17" width="10.89453125" customWidth="1"/>
    <col min="18" max="18" width="7.26171875" customWidth="1"/>
    <col min="20" max="20" width="2.41796875" customWidth="1"/>
  </cols>
  <sheetData>
    <row r="1" spans="2:28" ht="62.4" x14ac:dyDescent="0.6">
      <c r="F1" s="4" t="s">
        <v>88</v>
      </c>
      <c r="G1" s="4"/>
      <c r="H1" s="4"/>
      <c r="I1" s="4" t="s">
        <v>2</v>
      </c>
      <c r="J1" s="4" t="s">
        <v>3</v>
      </c>
      <c r="K1" s="4" t="s">
        <v>11</v>
      </c>
      <c r="L1" s="4" t="s">
        <v>12</v>
      </c>
      <c r="M1" s="5" t="s">
        <v>4</v>
      </c>
      <c r="N1" s="4" t="s">
        <v>19</v>
      </c>
      <c r="O1" s="4" t="s">
        <v>10</v>
      </c>
      <c r="P1" s="4" t="s">
        <v>8</v>
      </c>
      <c r="Q1" s="4" t="s">
        <v>9</v>
      </c>
      <c r="R1" s="4" t="s">
        <v>54</v>
      </c>
      <c r="S1" s="4" t="s">
        <v>5</v>
      </c>
      <c r="T1" s="4" t="s">
        <v>55</v>
      </c>
      <c r="U1" s="4"/>
      <c r="V1" s="4"/>
      <c r="W1" s="4"/>
      <c r="X1" s="4"/>
      <c r="Y1" s="4"/>
      <c r="Z1" s="4"/>
      <c r="AA1" s="4"/>
      <c r="AB1" s="4"/>
    </row>
    <row r="2" spans="2:28" s="4" customFormat="1" ht="72.3" x14ac:dyDescent="0.6">
      <c r="D2" s="4" t="s">
        <v>110</v>
      </c>
      <c r="E2" s="4" t="s">
        <v>111</v>
      </c>
      <c r="F2" t="s">
        <v>112</v>
      </c>
      <c r="G2" t="s">
        <v>725</v>
      </c>
      <c r="H2" t="s">
        <v>727</v>
      </c>
      <c r="I2" t="s">
        <v>227</v>
      </c>
      <c r="J2" t="s">
        <v>228</v>
      </c>
      <c r="K2" t="s">
        <v>229</v>
      </c>
      <c r="L2" t="s">
        <v>230</v>
      </c>
      <c r="M2" s="3" t="s">
        <v>231</v>
      </c>
      <c r="N2" t="s">
        <v>232</v>
      </c>
      <c r="O2" t="s">
        <v>233</v>
      </c>
      <c r="P2" t="s">
        <v>234</v>
      </c>
      <c r="Q2" t="s">
        <v>235</v>
      </c>
      <c r="R2" t="s">
        <v>236</v>
      </c>
      <c r="S2" t="s">
        <v>441</v>
      </c>
      <c r="T2" t="s">
        <v>442</v>
      </c>
      <c r="U2"/>
      <c r="V2" s="2" t="s">
        <v>326</v>
      </c>
      <c r="W2" s="3" t="s">
        <v>327</v>
      </c>
      <c r="X2" t="s">
        <v>844</v>
      </c>
      <c r="Y2"/>
      <c r="Z2"/>
      <c r="AA2"/>
      <c r="AB2"/>
    </row>
    <row r="3" spans="2:28" s="4" customFormat="1" ht="15.6" x14ac:dyDescent="0.6">
      <c r="B3" s="4">
        <v>1</v>
      </c>
      <c r="C3" t="s">
        <v>60</v>
      </c>
      <c r="D3" t="s">
        <v>13</v>
      </c>
      <c r="E3" t="s">
        <v>6</v>
      </c>
      <c r="F3" t="s">
        <v>89</v>
      </c>
      <c r="G3" t="s">
        <v>726</v>
      </c>
      <c r="H3"/>
      <c r="I3" t="s">
        <v>102</v>
      </c>
      <c r="J3" t="s">
        <v>103</v>
      </c>
      <c r="K3" t="s">
        <v>104</v>
      </c>
      <c r="L3" t="s">
        <v>105</v>
      </c>
      <c r="M3" s="3" t="s">
        <v>106</v>
      </c>
      <c r="N3" t="s">
        <v>7</v>
      </c>
      <c r="O3" t="s">
        <v>107</v>
      </c>
      <c r="P3" t="s">
        <v>108</v>
      </c>
      <c r="Q3" t="s">
        <v>109</v>
      </c>
      <c r="R3"/>
      <c r="S3"/>
      <c r="T3"/>
      <c r="U3"/>
      <c r="V3" s="90"/>
      <c r="W3" s="90"/>
      <c r="X3" s="51"/>
      <c r="Y3"/>
      <c r="Z3"/>
      <c r="AA3"/>
      <c r="AB3"/>
    </row>
    <row r="4" spans="2:28" x14ac:dyDescent="0.55000000000000004">
      <c r="C4" t="s">
        <v>60</v>
      </c>
      <c r="D4" t="s">
        <v>14</v>
      </c>
      <c r="E4" t="s">
        <v>17</v>
      </c>
      <c r="F4" t="s">
        <v>89</v>
      </c>
      <c r="G4" t="s">
        <v>726</v>
      </c>
      <c r="I4" t="s">
        <v>18</v>
      </c>
      <c r="V4" s="90"/>
      <c r="W4" s="90"/>
      <c r="X4" s="51"/>
    </row>
    <row r="5" spans="2:28" s="6" customFormat="1" x14ac:dyDescent="0.55000000000000004">
      <c r="C5" s="6" t="s">
        <v>60</v>
      </c>
      <c r="D5" s="6" t="s">
        <v>15</v>
      </c>
      <c r="E5" s="6" t="s">
        <v>20</v>
      </c>
      <c r="F5" s="6" t="s">
        <v>89</v>
      </c>
      <c r="G5" t="s">
        <v>726</v>
      </c>
      <c r="H5"/>
      <c r="I5" s="6">
        <v>86.957999999999998</v>
      </c>
      <c r="J5" s="6">
        <v>86.897000000000006</v>
      </c>
      <c r="K5" s="6">
        <f t="shared" ref="K5:K54" si="0">J5-I5</f>
        <v>-6.0999999999992838E-2</v>
      </c>
      <c r="L5" s="6">
        <f>K5*0.0973</f>
        <v>-5.9352999999993028E-3</v>
      </c>
      <c r="M5" s="12"/>
      <c r="N5" s="6">
        <v>6.02</v>
      </c>
      <c r="O5" s="22">
        <v>552</v>
      </c>
      <c r="P5" s="22">
        <v>831</v>
      </c>
      <c r="Q5" s="6">
        <v>41.04</v>
      </c>
      <c r="V5" s="12">
        <v>4</v>
      </c>
      <c r="W5" s="12">
        <v>0</v>
      </c>
      <c r="X5" s="51">
        <f>W5/(W5+V5)</f>
        <v>0</v>
      </c>
    </row>
    <row r="6" spans="2:28" x14ac:dyDescent="0.55000000000000004">
      <c r="B6">
        <v>2</v>
      </c>
      <c r="C6" t="s">
        <v>60</v>
      </c>
      <c r="D6" t="s">
        <v>16</v>
      </c>
      <c r="E6" t="s">
        <v>29</v>
      </c>
      <c r="F6" t="s">
        <v>89</v>
      </c>
      <c r="G6" t="s">
        <v>726</v>
      </c>
      <c r="I6">
        <v>88.31</v>
      </c>
      <c r="J6">
        <v>100.2</v>
      </c>
      <c r="K6">
        <f t="shared" si="0"/>
        <v>11.89</v>
      </c>
      <c r="L6">
        <f>K6*0.0973</f>
        <v>1.1568970000000001</v>
      </c>
      <c r="M6" s="3">
        <f>L6*20</f>
        <v>23.13794</v>
      </c>
      <c r="N6" t="s">
        <v>7</v>
      </c>
      <c r="O6">
        <v>179</v>
      </c>
      <c r="P6">
        <v>674</v>
      </c>
      <c r="Q6">
        <v>33.979999999999997</v>
      </c>
      <c r="V6" s="90"/>
      <c r="W6" s="90"/>
      <c r="X6" s="51"/>
    </row>
    <row r="7" spans="2:28" x14ac:dyDescent="0.55000000000000004">
      <c r="B7">
        <v>3</v>
      </c>
      <c r="C7" t="s">
        <v>60</v>
      </c>
      <c r="D7" t="s">
        <v>21</v>
      </c>
      <c r="E7" t="s">
        <v>30</v>
      </c>
      <c r="F7" t="s">
        <v>89</v>
      </c>
      <c r="G7" t="s">
        <v>726</v>
      </c>
      <c r="I7">
        <v>84.271000000000001</v>
      </c>
      <c r="J7">
        <v>95.507999999999996</v>
      </c>
      <c r="K7">
        <f t="shared" si="0"/>
        <v>11.236999999999995</v>
      </c>
      <c r="L7">
        <f t="shared" ref="L7:L54" si="1">K7*0.0973</f>
        <v>1.0933600999999995</v>
      </c>
      <c r="M7" s="3">
        <f t="shared" ref="M7:M54" si="2">L7*20</f>
        <v>21.867201999999992</v>
      </c>
      <c r="N7" t="s">
        <v>7</v>
      </c>
      <c r="O7">
        <v>50</v>
      </c>
      <c r="P7">
        <v>174</v>
      </c>
      <c r="S7" t="s">
        <v>23</v>
      </c>
      <c r="V7" s="90"/>
      <c r="W7" s="90"/>
      <c r="X7" s="51"/>
    </row>
    <row r="8" spans="2:28" x14ac:dyDescent="0.55000000000000004">
      <c r="B8">
        <v>4</v>
      </c>
      <c r="C8" t="s">
        <v>60</v>
      </c>
      <c r="D8" t="s">
        <v>22</v>
      </c>
      <c r="F8" t="s">
        <v>89</v>
      </c>
      <c r="G8" t="s">
        <v>726</v>
      </c>
      <c r="I8">
        <v>71.834999999999994</v>
      </c>
      <c r="J8">
        <v>109.22199999999999</v>
      </c>
      <c r="K8">
        <f t="shared" si="0"/>
        <v>37.387</v>
      </c>
      <c r="L8">
        <f t="shared" si="1"/>
        <v>3.6377551000000001</v>
      </c>
      <c r="M8" s="3">
        <f t="shared" si="2"/>
        <v>72.755102000000008</v>
      </c>
      <c r="N8" t="s">
        <v>7</v>
      </c>
      <c r="O8">
        <v>414</v>
      </c>
      <c r="P8">
        <v>815</v>
      </c>
      <c r="S8" t="s">
        <v>23</v>
      </c>
      <c r="V8" s="90"/>
      <c r="W8" s="90"/>
      <c r="X8" s="51"/>
    </row>
    <row r="9" spans="2:28" x14ac:dyDescent="0.55000000000000004">
      <c r="B9">
        <v>5</v>
      </c>
      <c r="C9" t="s">
        <v>60</v>
      </c>
      <c r="D9" t="s">
        <v>24</v>
      </c>
      <c r="E9" t="s">
        <v>31</v>
      </c>
      <c r="F9" t="s">
        <v>89</v>
      </c>
      <c r="G9" t="s">
        <v>726</v>
      </c>
      <c r="I9">
        <v>82.807000000000002</v>
      </c>
      <c r="J9">
        <v>102.342</v>
      </c>
      <c r="K9">
        <f t="shared" si="0"/>
        <v>19.534999999999997</v>
      </c>
      <c r="L9">
        <f t="shared" si="1"/>
        <v>1.9007554999999996</v>
      </c>
      <c r="M9" s="3">
        <f t="shared" si="2"/>
        <v>38.015109999999993</v>
      </c>
      <c r="N9" t="s">
        <v>7</v>
      </c>
      <c r="O9">
        <v>158</v>
      </c>
      <c r="P9">
        <v>362</v>
      </c>
      <c r="V9" s="90"/>
      <c r="W9" s="90"/>
      <c r="X9" s="51"/>
    </row>
    <row r="10" spans="2:28" x14ac:dyDescent="0.55000000000000004">
      <c r="C10" t="s">
        <v>60</v>
      </c>
      <c r="D10" t="s">
        <v>25</v>
      </c>
      <c r="E10" t="s">
        <v>32</v>
      </c>
      <c r="F10" t="s">
        <v>89</v>
      </c>
      <c r="G10" t="s">
        <v>726</v>
      </c>
      <c r="I10" t="s">
        <v>18</v>
      </c>
      <c r="N10">
        <v>0.1</v>
      </c>
      <c r="S10" t="s">
        <v>26</v>
      </c>
      <c r="V10" s="3">
        <v>4</v>
      </c>
      <c r="W10" s="3">
        <v>0</v>
      </c>
      <c r="X10" s="51"/>
    </row>
    <row r="11" spans="2:28" x14ac:dyDescent="0.55000000000000004">
      <c r="B11">
        <v>6</v>
      </c>
      <c r="C11" t="s">
        <v>60</v>
      </c>
      <c r="D11" t="s">
        <v>27</v>
      </c>
      <c r="E11" t="s">
        <v>33</v>
      </c>
      <c r="F11" t="s">
        <v>89</v>
      </c>
      <c r="G11" t="s">
        <v>726</v>
      </c>
      <c r="I11">
        <v>74.433000000000007</v>
      </c>
      <c r="J11">
        <v>79.450999999999993</v>
      </c>
      <c r="K11">
        <f t="shared" si="0"/>
        <v>5.0179999999999865</v>
      </c>
      <c r="L11">
        <f t="shared" si="1"/>
        <v>0.48825139999999867</v>
      </c>
      <c r="M11" s="3">
        <f t="shared" si="2"/>
        <v>9.7650279999999725</v>
      </c>
      <c r="N11">
        <v>24.64</v>
      </c>
      <c r="O11">
        <v>889</v>
      </c>
      <c r="P11">
        <v>1136</v>
      </c>
      <c r="V11" s="3">
        <v>3</v>
      </c>
      <c r="W11" s="3">
        <v>1</v>
      </c>
      <c r="X11" s="51">
        <f>W11/(V11)</f>
        <v>0.33333333333333331</v>
      </c>
    </row>
    <row r="12" spans="2:28" x14ac:dyDescent="0.55000000000000004">
      <c r="C12" t="s">
        <v>60</v>
      </c>
      <c r="D12" t="s">
        <v>28</v>
      </c>
      <c r="E12" t="s">
        <v>34</v>
      </c>
      <c r="F12" t="s">
        <v>89</v>
      </c>
      <c r="G12" t="s">
        <v>726</v>
      </c>
      <c r="O12" s="11"/>
      <c r="P12" s="11"/>
      <c r="Q12" s="11"/>
      <c r="V12" s="90"/>
      <c r="W12" s="90"/>
      <c r="X12" s="51"/>
    </row>
    <row r="13" spans="2:28" s="11" customFormat="1" x14ac:dyDescent="0.55000000000000004">
      <c r="B13" s="11">
        <v>7</v>
      </c>
      <c r="C13" s="11" t="s">
        <v>60</v>
      </c>
      <c r="D13" s="11" t="s">
        <v>37</v>
      </c>
      <c r="E13" s="11" t="s">
        <v>35</v>
      </c>
      <c r="F13" s="11" t="s">
        <v>89</v>
      </c>
      <c r="G13" s="11" t="s">
        <v>726</v>
      </c>
      <c r="I13" s="11">
        <v>80.319999999999993</v>
      </c>
      <c r="J13" s="11">
        <v>84.5</v>
      </c>
      <c r="K13" s="11">
        <f t="shared" si="0"/>
        <v>4.1800000000000068</v>
      </c>
      <c r="L13" s="11">
        <f t="shared" si="1"/>
        <v>0.40671400000000063</v>
      </c>
      <c r="M13" s="23">
        <f t="shared" si="2"/>
        <v>8.1342800000000128</v>
      </c>
      <c r="N13" s="11">
        <v>66.77</v>
      </c>
      <c r="O13" s="11">
        <v>1576</v>
      </c>
      <c r="P13" s="11">
        <v>2051</v>
      </c>
      <c r="Q13" s="11">
        <v>100.63</v>
      </c>
      <c r="V13" s="23">
        <v>6</v>
      </c>
      <c r="W13" s="23">
        <v>2</v>
      </c>
      <c r="X13" s="51">
        <f>W13/(V13)</f>
        <v>0.33333333333333331</v>
      </c>
    </row>
    <row r="14" spans="2:28" x14ac:dyDescent="0.55000000000000004">
      <c r="C14" t="s">
        <v>60</v>
      </c>
      <c r="D14" t="s">
        <v>36</v>
      </c>
      <c r="E14" t="s">
        <v>40</v>
      </c>
      <c r="F14" t="s">
        <v>89</v>
      </c>
      <c r="G14" t="s">
        <v>726</v>
      </c>
      <c r="I14" t="s">
        <v>46</v>
      </c>
      <c r="V14" s="90"/>
      <c r="W14" s="90"/>
      <c r="X14" s="51"/>
    </row>
    <row r="15" spans="2:28" x14ac:dyDescent="0.55000000000000004">
      <c r="C15" t="s">
        <v>60</v>
      </c>
      <c r="D15" t="s">
        <v>38</v>
      </c>
      <c r="E15" t="s">
        <v>41</v>
      </c>
      <c r="F15" t="s">
        <v>89</v>
      </c>
      <c r="G15" t="s">
        <v>726</v>
      </c>
      <c r="I15" t="s">
        <v>47</v>
      </c>
      <c r="V15" s="90"/>
      <c r="W15" s="90"/>
      <c r="X15" s="51"/>
    </row>
    <row r="16" spans="2:28" x14ac:dyDescent="0.55000000000000004">
      <c r="C16" t="s">
        <v>60</v>
      </c>
      <c r="D16" t="s">
        <v>43</v>
      </c>
      <c r="E16" t="s">
        <v>42</v>
      </c>
      <c r="F16" t="s">
        <v>89</v>
      </c>
      <c r="G16" t="s">
        <v>726</v>
      </c>
      <c r="I16" t="s">
        <v>18</v>
      </c>
      <c r="S16" t="s">
        <v>48</v>
      </c>
      <c r="V16" s="90"/>
      <c r="W16" s="90"/>
      <c r="X16" s="51"/>
    </row>
    <row r="17" spans="1:28" x14ac:dyDescent="0.55000000000000004">
      <c r="B17">
        <v>8</v>
      </c>
      <c r="C17" t="s">
        <v>60</v>
      </c>
      <c r="D17" t="s">
        <v>44</v>
      </c>
      <c r="E17" t="s">
        <v>45</v>
      </c>
      <c r="F17" t="s">
        <v>89</v>
      </c>
      <c r="G17" t="s">
        <v>726</v>
      </c>
      <c r="I17" t="s">
        <v>47</v>
      </c>
      <c r="V17" s="90"/>
      <c r="W17" s="90"/>
      <c r="X17" s="51"/>
    </row>
    <row r="18" spans="1:28" x14ac:dyDescent="0.55000000000000004">
      <c r="C18" t="s">
        <v>60</v>
      </c>
      <c r="D18" t="s">
        <v>39</v>
      </c>
      <c r="E18" t="s">
        <v>49</v>
      </c>
      <c r="F18" t="s">
        <v>89</v>
      </c>
      <c r="G18" t="s">
        <v>726</v>
      </c>
      <c r="I18">
        <v>83.697999999999993</v>
      </c>
      <c r="J18">
        <v>90.95</v>
      </c>
      <c r="K18">
        <f t="shared" si="0"/>
        <v>7.2520000000000095</v>
      </c>
      <c r="L18">
        <f>K18*0.0973</f>
        <v>0.7056196000000009</v>
      </c>
      <c r="M18" s="3">
        <f t="shared" si="2"/>
        <v>14.112392000000018</v>
      </c>
      <c r="N18">
        <v>41.91</v>
      </c>
      <c r="O18">
        <v>1142</v>
      </c>
      <c r="P18">
        <v>1506</v>
      </c>
      <c r="Q18">
        <v>74.430000000000007</v>
      </c>
      <c r="R18">
        <v>32.82</v>
      </c>
      <c r="T18">
        <v>1802</v>
      </c>
      <c r="U18" s="11">
        <v>77.34</v>
      </c>
      <c r="V18" s="3">
        <v>3</v>
      </c>
      <c r="W18" s="3">
        <v>1</v>
      </c>
      <c r="X18" s="51">
        <f>W18/(V18)</f>
        <v>0.33333333333333331</v>
      </c>
      <c r="Y18">
        <f>SUM(V5:V21)</f>
        <v>20</v>
      </c>
      <c r="Z18">
        <f>SUM(W5:W18)</f>
        <v>4</v>
      </c>
      <c r="AA18">
        <f>Z18/(Y18+Z18)</f>
        <v>0.16666666666666666</v>
      </c>
    </row>
    <row r="19" spans="1:28" x14ac:dyDescent="0.55000000000000004">
      <c r="C19" t="s">
        <v>60</v>
      </c>
      <c r="D19" t="s">
        <v>52</v>
      </c>
      <c r="E19" t="s">
        <v>50</v>
      </c>
      <c r="F19" t="s">
        <v>89</v>
      </c>
      <c r="G19" t="s">
        <v>726</v>
      </c>
      <c r="I19" t="s">
        <v>47</v>
      </c>
      <c r="V19" s="90"/>
      <c r="W19" s="90"/>
      <c r="X19" s="51"/>
    </row>
    <row r="20" spans="1:28" x14ac:dyDescent="0.55000000000000004">
      <c r="C20" t="s">
        <v>60</v>
      </c>
      <c r="D20" t="s">
        <v>53</v>
      </c>
      <c r="E20" t="s">
        <v>51</v>
      </c>
      <c r="F20" t="s">
        <v>89</v>
      </c>
      <c r="G20" t="s">
        <v>726</v>
      </c>
      <c r="I20" s="11" t="s">
        <v>47</v>
      </c>
      <c r="J20" s="11"/>
      <c r="K20" s="11"/>
      <c r="L20" s="11"/>
      <c r="M20" s="23"/>
      <c r="N20" s="11"/>
      <c r="O20" s="11"/>
      <c r="P20" s="11"/>
      <c r="Q20" s="11"/>
      <c r="R20" s="11"/>
      <c r="S20" s="11"/>
      <c r="T20" s="11"/>
      <c r="V20" s="90"/>
      <c r="W20" s="90"/>
      <c r="X20" s="51"/>
    </row>
    <row r="21" spans="1:28" x14ac:dyDescent="0.55000000000000004">
      <c r="C21" t="s">
        <v>61</v>
      </c>
      <c r="D21" t="s">
        <v>56</v>
      </c>
      <c r="E21" t="s">
        <v>58</v>
      </c>
      <c r="F21" t="s">
        <v>89</v>
      </c>
      <c r="G21" t="s">
        <v>726</v>
      </c>
      <c r="I21" s="11" t="s">
        <v>47</v>
      </c>
      <c r="J21" s="11"/>
      <c r="K21" s="11"/>
      <c r="L21" s="11"/>
      <c r="M21" s="23"/>
      <c r="N21" s="11"/>
      <c r="O21" s="11"/>
      <c r="P21" s="11"/>
      <c r="Q21" s="11"/>
      <c r="R21" s="11"/>
      <c r="S21" s="11"/>
      <c r="T21" s="11"/>
      <c r="V21" s="15"/>
      <c r="W21" s="15"/>
      <c r="X21" s="51"/>
    </row>
    <row r="22" spans="1:28" x14ac:dyDescent="0.55000000000000004">
      <c r="C22" t="s">
        <v>61</v>
      </c>
      <c r="D22" t="s">
        <v>57</v>
      </c>
      <c r="E22" t="s">
        <v>59</v>
      </c>
      <c r="F22" t="s">
        <v>89</v>
      </c>
      <c r="G22" t="s">
        <v>726</v>
      </c>
      <c r="I22" s="11" t="s">
        <v>426</v>
      </c>
      <c r="J22" s="11"/>
      <c r="K22" s="11"/>
      <c r="L22" s="11"/>
      <c r="M22" s="23"/>
      <c r="N22" s="11"/>
      <c r="O22" s="11"/>
      <c r="P22" s="11"/>
      <c r="Q22" s="11"/>
      <c r="R22" s="11"/>
      <c r="S22" s="11"/>
      <c r="T22" s="11"/>
      <c r="V22" s="15"/>
      <c r="W22" s="15"/>
      <c r="X22" s="51"/>
    </row>
    <row r="23" spans="1:28" s="11" customFormat="1" x14ac:dyDescent="0.55000000000000004">
      <c r="A23"/>
      <c r="B23" s="11">
        <v>9</v>
      </c>
      <c r="C23" s="11" t="s">
        <v>76</v>
      </c>
      <c r="D23" s="11" t="s">
        <v>62</v>
      </c>
      <c r="E23" s="11" t="s">
        <v>68</v>
      </c>
      <c r="F23" s="11" t="s">
        <v>89</v>
      </c>
      <c r="G23" t="s">
        <v>726</v>
      </c>
      <c r="H23"/>
      <c r="I23" s="11">
        <v>86.903000000000006</v>
      </c>
      <c r="J23" s="11">
        <v>96.900999999999996</v>
      </c>
      <c r="K23" s="11">
        <f>J23-I23</f>
        <v>9.9979999999999905</v>
      </c>
      <c r="L23" s="11">
        <f>K23*0.0973</f>
        <v>0.97280539999999904</v>
      </c>
      <c r="M23" s="23">
        <f>L23*20</f>
        <v>19.456107999999979</v>
      </c>
      <c r="N23" s="11">
        <v>80.72</v>
      </c>
      <c r="O23" s="11">
        <v>2015</v>
      </c>
      <c r="P23" s="11">
        <v>2450</v>
      </c>
      <c r="Q23" s="11">
        <v>121.1</v>
      </c>
      <c r="R23" s="11">
        <f>Q23-N23</f>
        <v>40.379999999999995</v>
      </c>
      <c r="V23" s="11">
        <v>8</v>
      </c>
      <c r="W23" s="11">
        <v>1</v>
      </c>
      <c r="X23" s="51">
        <f>W23/(V23)</f>
        <v>0.125</v>
      </c>
    </row>
    <row r="24" spans="1:28" x14ac:dyDescent="0.55000000000000004">
      <c r="C24" t="s">
        <v>76</v>
      </c>
      <c r="D24" t="s">
        <v>63</v>
      </c>
      <c r="E24" t="s">
        <v>69</v>
      </c>
      <c r="F24" t="s">
        <v>89</v>
      </c>
      <c r="G24" t="s">
        <v>726</v>
      </c>
      <c r="I24" s="11" t="s">
        <v>47</v>
      </c>
      <c r="J24" s="11"/>
      <c r="K24" s="11"/>
      <c r="L24" s="11"/>
      <c r="M24" s="23"/>
      <c r="N24" s="11"/>
      <c r="O24" s="11"/>
      <c r="P24" s="11"/>
      <c r="Q24" s="11"/>
      <c r="R24" s="11"/>
      <c r="S24" s="11"/>
      <c r="T24" s="11"/>
      <c r="V24" s="15"/>
      <c r="W24" s="15"/>
      <c r="X24" s="51"/>
    </row>
    <row r="25" spans="1:28" x14ac:dyDescent="0.55000000000000004">
      <c r="C25" t="s">
        <v>76</v>
      </c>
      <c r="D25" t="s">
        <v>64</v>
      </c>
      <c r="E25" t="s">
        <v>70</v>
      </c>
      <c r="F25" t="s">
        <v>89</v>
      </c>
      <c r="G25" t="s">
        <v>726</v>
      </c>
      <c r="I25" s="11" t="s">
        <v>77</v>
      </c>
      <c r="J25" s="11"/>
      <c r="K25" s="11"/>
      <c r="L25" s="11"/>
      <c r="M25" s="23"/>
      <c r="N25" s="11">
        <v>38.68</v>
      </c>
      <c r="O25" s="11"/>
      <c r="P25" s="11"/>
      <c r="Q25" s="11"/>
      <c r="R25" s="11"/>
      <c r="S25" s="11"/>
      <c r="T25" s="11"/>
      <c r="V25">
        <v>5</v>
      </c>
      <c r="W25">
        <v>1</v>
      </c>
      <c r="X25" s="51">
        <f>W25/(V25)</f>
        <v>0.2</v>
      </c>
    </row>
    <row r="26" spans="1:28" x14ac:dyDescent="0.55000000000000004">
      <c r="C26" t="s">
        <v>76</v>
      </c>
      <c r="D26" t="s">
        <v>65</v>
      </c>
      <c r="E26" t="s">
        <v>71</v>
      </c>
      <c r="F26" t="s">
        <v>89</v>
      </c>
      <c r="G26" t="s">
        <v>726</v>
      </c>
      <c r="I26" s="11" t="s">
        <v>47</v>
      </c>
      <c r="J26" s="11"/>
      <c r="K26" s="11"/>
      <c r="L26" s="11"/>
      <c r="M26" s="23"/>
      <c r="N26" s="11"/>
      <c r="O26" s="11"/>
      <c r="P26" s="11"/>
      <c r="Q26" s="11"/>
      <c r="R26" s="11"/>
      <c r="S26" s="11"/>
      <c r="T26" s="11"/>
      <c r="V26" s="15"/>
      <c r="W26" s="15"/>
      <c r="X26" s="51"/>
      <c r="AA26">
        <v>32.82</v>
      </c>
      <c r="AB26">
        <v>14.112392000000018</v>
      </c>
    </row>
    <row r="27" spans="1:28" x14ac:dyDescent="0.55000000000000004">
      <c r="B27">
        <v>10</v>
      </c>
      <c r="C27" t="s">
        <v>76</v>
      </c>
      <c r="D27" t="s">
        <v>85</v>
      </c>
      <c r="E27" t="s">
        <v>72</v>
      </c>
      <c r="F27" t="s">
        <v>89</v>
      </c>
      <c r="G27" t="s">
        <v>726</v>
      </c>
      <c r="I27" s="11">
        <v>74.307000000000002</v>
      </c>
      <c r="J27" s="11">
        <v>100.289</v>
      </c>
      <c r="K27" s="11">
        <f t="shared" ref="K27:K34" si="3">J27-I27</f>
        <v>25.981999999999999</v>
      </c>
      <c r="L27" s="11">
        <f t="shared" ref="L27:L34" si="4">K27*0.0973</f>
        <v>2.5280486</v>
      </c>
      <c r="M27" s="23">
        <f t="shared" ref="M27:M34" si="5">L27*20</f>
        <v>50.560972</v>
      </c>
      <c r="N27" s="11">
        <v>119.86</v>
      </c>
      <c r="O27" s="11">
        <v>2619</v>
      </c>
      <c r="P27" s="11">
        <v>3372</v>
      </c>
      <c r="Q27" s="11">
        <v>165.64</v>
      </c>
      <c r="R27" s="11">
        <f>Q27-N27</f>
        <v>45.779999999999987</v>
      </c>
      <c r="S27" s="11"/>
      <c r="T27" s="11"/>
      <c r="V27">
        <v>8</v>
      </c>
      <c r="W27">
        <v>4</v>
      </c>
      <c r="X27" s="51">
        <f>W27/(V27)</f>
        <v>0.5</v>
      </c>
      <c r="AA27">
        <v>40.379999999999995</v>
      </c>
      <c r="AB27">
        <v>19.456107999999979</v>
      </c>
    </row>
    <row r="28" spans="1:28" x14ac:dyDescent="0.55000000000000004">
      <c r="B28">
        <v>11</v>
      </c>
      <c r="C28" t="s">
        <v>76</v>
      </c>
      <c r="D28" t="s">
        <v>78</v>
      </c>
      <c r="E28" t="s">
        <v>72</v>
      </c>
      <c r="F28" t="s">
        <v>89</v>
      </c>
      <c r="G28" t="s">
        <v>726</v>
      </c>
      <c r="I28" s="11">
        <v>79.256</v>
      </c>
      <c r="J28" s="11">
        <v>105.05800000000001</v>
      </c>
      <c r="K28" s="11">
        <f t="shared" si="3"/>
        <v>25.802000000000007</v>
      </c>
      <c r="L28" s="11">
        <f t="shared" si="4"/>
        <v>2.5105346000000006</v>
      </c>
      <c r="M28" s="23">
        <f t="shared" si="5"/>
        <v>50.210692000000009</v>
      </c>
      <c r="N28" s="11">
        <v>119.86</v>
      </c>
      <c r="O28" s="11">
        <v>2847</v>
      </c>
      <c r="P28" s="11">
        <v>4197</v>
      </c>
      <c r="Q28" s="11">
        <v>206.16</v>
      </c>
      <c r="R28" s="11">
        <f>Q28-N28</f>
        <v>86.3</v>
      </c>
      <c r="S28" s="11"/>
      <c r="T28" s="11"/>
      <c r="V28" s="15"/>
      <c r="W28" s="15"/>
      <c r="X28" s="51"/>
      <c r="AA28">
        <v>45.779999999999987</v>
      </c>
      <c r="AB28">
        <v>50.560972</v>
      </c>
    </row>
    <row r="29" spans="1:28" x14ac:dyDescent="0.55000000000000004">
      <c r="B29">
        <v>12</v>
      </c>
      <c r="C29" t="s">
        <v>76</v>
      </c>
      <c r="D29" t="s">
        <v>79</v>
      </c>
      <c r="E29" t="s">
        <v>72</v>
      </c>
      <c r="F29" t="s">
        <v>89</v>
      </c>
      <c r="G29" t="s">
        <v>726</v>
      </c>
      <c r="I29" s="11">
        <v>80.275000000000006</v>
      </c>
      <c r="J29" s="11">
        <v>90.534000000000006</v>
      </c>
      <c r="K29" s="11">
        <f t="shared" si="3"/>
        <v>10.259</v>
      </c>
      <c r="L29" s="11">
        <f t="shared" si="4"/>
        <v>0.99820070000000005</v>
      </c>
      <c r="M29" s="23">
        <f t="shared" si="5"/>
        <v>19.964014000000002</v>
      </c>
      <c r="N29" s="11">
        <v>119.86</v>
      </c>
      <c r="O29" s="11">
        <v>4339</v>
      </c>
      <c r="P29" s="11">
        <v>4391</v>
      </c>
      <c r="Q29" s="11">
        <v>215.69</v>
      </c>
      <c r="R29" s="11">
        <f>Q29-N29</f>
        <v>95.83</v>
      </c>
      <c r="S29" s="11"/>
      <c r="T29" s="11"/>
      <c r="V29" s="15"/>
      <c r="W29" s="15"/>
      <c r="X29" s="51"/>
      <c r="AA29">
        <v>86.3</v>
      </c>
      <c r="AB29">
        <v>50.210692000000009</v>
      </c>
    </row>
    <row r="30" spans="1:28" x14ac:dyDescent="0.55000000000000004">
      <c r="B30">
        <v>13</v>
      </c>
      <c r="C30" t="s">
        <v>76</v>
      </c>
      <c r="D30" t="s">
        <v>86</v>
      </c>
      <c r="E30" t="s">
        <v>72</v>
      </c>
      <c r="F30" t="s">
        <v>89</v>
      </c>
      <c r="G30" t="s">
        <v>726</v>
      </c>
      <c r="I30" s="11">
        <v>79.256</v>
      </c>
      <c r="J30" s="11">
        <v>85.646000000000001</v>
      </c>
      <c r="K30" s="11">
        <f t="shared" si="3"/>
        <v>6.3900000000000006</v>
      </c>
      <c r="L30" s="11">
        <f t="shared" si="4"/>
        <v>0.62174700000000005</v>
      </c>
      <c r="M30" s="23">
        <f t="shared" si="5"/>
        <v>12.434940000000001</v>
      </c>
      <c r="N30" s="11">
        <v>119.86</v>
      </c>
      <c r="O30" s="11">
        <v>2847</v>
      </c>
      <c r="P30" s="11">
        <v>4509</v>
      </c>
      <c r="Q30" s="11">
        <v>221.49</v>
      </c>
      <c r="R30" s="11">
        <f>Q30-N30</f>
        <v>101.63000000000001</v>
      </c>
      <c r="S30" s="11" t="s">
        <v>87</v>
      </c>
      <c r="T30" s="11"/>
      <c r="V30" s="15"/>
      <c r="W30" s="15"/>
      <c r="X30" s="51"/>
      <c r="AA30">
        <v>95.83</v>
      </c>
      <c r="AB30">
        <v>19.964014000000002</v>
      </c>
    </row>
    <row r="31" spans="1:28" x14ac:dyDescent="0.55000000000000004">
      <c r="B31">
        <v>14</v>
      </c>
      <c r="C31" t="s">
        <v>76</v>
      </c>
      <c r="D31" t="s">
        <v>82</v>
      </c>
      <c r="E31" t="s">
        <v>73</v>
      </c>
      <c r="F31" t="s">
        <v>89</v>
      </c>
      <c r="G31" t="s">
        <v>726</v>
      </c>
      <c r="I31" s="11">
        <v>81.218999999999994</v>
      </c>
      <c r="J31" s="11">
        <v>109.333</v>
      </c>
      <c r="K31" s="11">
        <f t="shared" si="3"/>
        <v>28.114000000000004</v>
      </c>
      <c r="L31" s="11">
        <f t="shared" si="4"/>
        <v>2.7354922000000004</v>
      </c>
      <c r="M31" s="23">
        <f t="shared" si="5"/>
        <v>54.709844000000004</v>
      </c>
      <c r="N31" s="11" t="s">
        <v>83</v>
      </c>
      <c r="O31" s="11">
        <v>230</v>
      </c>
      <c r="P31" s="11">
        <v>553</v>
      </c>
      <c r="Q31" s="11"/>
      <c r="R31" s="11"/>
      <c r="S31" s="11"/>
      <c r="T31" s="11"/>
      <c r="V31" s="15"/>
      <c r="W31" s="15"/>
      <c r="X31" s="51"/>
      <c r="AA31">
        <v>101.63000000000001</v>
      </c>
      <c r="AB31">
        <v>12.434940000000001</v>
      </c>
    </row>
    <row r="32" spans="1:28" x14ac:dyDescent="0.55000000000000004">
      <c r="B32">
        <v>15</v>
      </c>
      <c r="C32" t="s">
        <v>76</v>
      </c>
      <c r="D32" t="s">
        <v>81</v>
      </c>
      <c r="E32" t="s">
        <v>73</v>
      </c>
      <c r="F32" t="s">
        <v>89</v>
      </c>
      <c r="G32" t="s">
        <v>726</v>
      </c>
      <c r="I32" s="11">
        <v>79.965999999999994</v>
      </c>
      <c r="J32" s="11">
        <v>93.676000000000002</v>
      </c>
      <c r="K32" s="11">
        <f t="shared" si="3"/>
        <v>13.710000000000008</v>
      </c>
      <c r="L32" s="11">
        <f t="shared" si="4"/>
        <v>1.3339830000000008</v>
      </c>
      <c r="M32" s="23">
        <f t="shared" si="5"/>
        <v>26.679660000000016</v>
      </c>
      <c r="N32" s="11" t="s">
        <v>83</v>
      </c>
      <c r="O32" s="11">
        <v>1121</v>
      </c>
      <c r="P32" s="11">
        <v>1396</v>
      </c>
      <c r="Q32" s="11">
        <v>70.7</v>
      </c>
      <c r="R32" s="11"/>
      <c r="S32" s="11"/>
      <c r="T32" s="11"/>
      <c r="V32" s="15"/>
      <c r="W32" s="15"/>
      <c r="X32" s="51"/>
      <c r="AA32">
        <v>169.78</v>
      </c>
      <c r="AB32">
        <v>46.338152000000022</v>
      </c>
    </row>
    <row r="33" spans="2:27" x14ac:dyDescent="0.55000000000000004">
      <c r="B33">
        <v>16</v>
      </c>
      <c r="C33" t="s">
        <v>76</v>
      </c>
      <c r="D33" t="s">
        <v>80</v>
      </c>
      <c r="E33" t="s">
        <v>73</v>
      </c>
      <c r="F33" t="s">
        <v>89</v>
      </c>
      <c r="G33" t="s">
        <v>726</v>
      </c>
      <c r="I33" s="11">
        <v>78.861000000000004</v>
      </c>
      <c r="J33" s="11">
        <v>92.763000000000005</v>
      </c>
      <c r="K33" s="11">
        <f t="shared" si="3"/>
        <v>13.902000000000001</v>
      </c>
      <c r="L33" s="11">
        <f t="shared" si="4"/>
        <v>1.3526646</v>
      </c>
      <c r="M33" s="23">
        <f t="shared" si="5"/>
        <v>27.053291999999999</v>
      </c>
      <c r="N33" s="11" t="s">
        <v>83</v>
      </c>
      <c r="O33" s="11">
        <v>2233</v>
      </c>
      <c r="P33" s="11">
        <v>2504</v>
      </c>
      <c r="Q33" s="11">
        <v>126.82</v>
      </c>
      <c r="R33" s="11"/>
      <c r="S33" s="11"/>
      <c r="T33" s="11"/>
      <c r="V33" s="15"/>
      <c r="W33" s="15"/>
      <c r="X33" s="51"/>
    </row>
    <row r="34" spans="2:27" x14ac:dyDescent="0.55000000000000004">
      <c r="B34">
        <v>17</v>
      </c>
      <c r="C34" t="s">
        <v>76</v>
      </c>
      <c r="D34" t="s">
        <v>66</v>
      </c>
      <c r="E34" t="s">
        <v>74</v>
      </c>
      <c r="F34" t="s">
        <v>89</v>
      </c>
      <c r="G34" t="s">
        <v>726</v>
      </c>
      <c r="I34" s="11">
        <v>81.212999999999994</v>
      </c>
      <c r="J34" s="11">
        <v>105.02500000000001</v>
      </c>
      <c r="K34" s="11">
        <f t="shared" si="3"/>
        <v>23.812000000000012</v>
      </c>
      <c r="L34" s="11">
        <f t="shared" si="4"/>
        <v>2.3169076000000013</v>
      </c>
      <c r="M34" s="23">
        <f t="shared" si="5"/>
        <v>46.338152000000022</v>
      </c>
      <c r="N34" s="11">
        <v>18.690000000000001</v>
      </c>
      <c r="O34" s="11">
        <v>2942</v>
      </c>
      <c r="P34" s="11">
        <v>3801</v>
      </c>
      <c r="Q34" s="11">
        <v>188.47</v>
      </c>
      <c r="R34" s="11">
        <f>Q34-N34</f>
        <v>169.78</v>
      </c>
      <c r="S34" s="11" t="s">
        <v>84</v>
      </c>
      <c r="T34" s="11"/>
      <c r="V34">
        <v>5</v>
      </c>
      <c r="W34">
        <v>1</v>
      </c>
      <c r="X34" s="51">
        <f>W34/(V34)</f>
        <v>0.2</v>
      </c>
    </row>
    <row r="35" spans="2:27" x14ac:dyDescent="0.55000000000000004">
      <c r="C35" t="s">
        <v>76</v>
      </c>
      <c r="D35" t="s">
        <v>67</v>
      </c>
      <c r="E35" t="s">
        <v>75</v>
      </c>
      <c r="F35" t="s">
        <v>89</v>
      </c>
      <c r="G35" t="s">
        <v>726</v>
      </c>
      <c r="I35" s="11" t="s">
        <v>18</v>
      </c>
      <c r="J35" s="11"/>
      <c r="K35" s="11"/>
      <c r="L35" s="11"/>
      <c r="M35" s="23"/>
      <c r="N35" s="11" t="s">
        <v>7</v>
      </c>
      <c r="O35" s="11"/>
      <c r="P35" s="11"/>
      <c r="Q35" s="11"/>
      <c r="R35" s="11"/>
      <c r="S35" s="11"/>
      <c r="T35" s="11"/>
      <c r="V35" s="15"/>
      <c r="W35" s="15"/>
      <c r="X35" s="51"/>
    </row>
    <row r="36" spans="2:27" x14ac:dyDescent="0.55000000000000004">
      <c r="B36">
        <v>18</v>
      </c>
      <c r="C36" t="s">
        <v>92</v>
      </c>
      <c r="D36" t="s">
        <v>115</v>
      </c>
      <c r="E36" t="s">
        <v>99</v>
      </c>
      <c r="F36" t="s">
        <v>89</v>
      </c>
      <c r="G36" t="s">
        <v>726</v>
      </c>
      <c r="I36">
        <v>82.75</v>
      </c>
      <c r="J36">
        <v>112.071</v>
      </c>
      <c r="K36">
        <f t="shared" si="0"/>
        <v>29.320999999999998</v>
      </c>
      <c r="L36">
        <f t="shared" si="1"/>
        <v>2.8529332999999997</v>
      </c>
      <c r="M36" s="3">
        <f t="shared" si="2"/>
        <v>57.058665999999995</v>
      </c>
      <c r="N36">
        <v>25.79</v>
      </c>
      <c r="O36">
        <v>2632</v>
      </c>
      <c r="P36">
        <v>3508</v>
      </c>
      <c r="Q36">
        <v>178.78</v>
      </c>
      <c r="R36">
        <f>Table1[[#This Row],[Column12]]-Table1[[#This Row],[Column9]]</f>
        <v>152.99</v>
      </c>
      <c r="S36" t="s">
        <v>117</v>
      </c>
      <c r="V36">
        <v>3</v>
      </c>
      <c r="W36">
        <v>2</v>
      </c>
      <c r="X36" s="51">
        <f>W36/(V36)</f>
        <v>0.66666666666666663</v>
      </c>
    </row>
    <row r="37" spans="2:27" x14ac:dyDescent="0.55000000000000004">
      <c r="B37">
        <v>19</v>
      </c>
      <c r="C37" s="31" t="s">
        <v>92</v>
      </c>
      <c r="D37" s="31" t="s">
        <v>116</v>
      </c>
      <c r="E37" s="31" t="s">
        <v>99</v>
      </c>
      <c r="F37" s="31" t="s">
        <v>89</v>
      </c>
      <c r="G37" t="s">
        <v>726</v>
      </c>
      <c r="I37" s="31">
        <v>75.793000000000006</v>
      </c>
      <c r="J37" s="31">
        <v>97.165000000000006</v>
      </c>
      <c r="K37" s="31">
        <f t="shared" si="0"/>
        <v>21.372</v>
      </c>
      <c r="L37" s="31">
        <f t="shared" si="1"/>
        <v>2.0794956</v>
      </c>
      <c r="M37" s="32">
        <f t="shared" si="2"/>
        <v>41.589911999999998</v>
      </c>
      <c r="N37" s="31">
        <v>25.79</v>
      </c>
      <c r="O37" s="31">
        <v>2632</v>
      </c>
      <c r="P37" s="31">
        <v>3508</v>
      </c>
      <c r="Q37" s="31">
        <v>178.78</v>
      </c>
      <c r="R37" s="31">
        <f>Table1[[#This Row],[Column12]]-Table1[[#This Row],[Column9]]</f>
        <v>152.99</v>
      </c>
      <c r="S37" s="31" t="s">
        <v>113</v>
      </c>
      <c r="V37" s="15"/>
      <c r="W37" s="15"/>
      <c r="X37" s="51"/>
    </row>
    <row r="38" spans="2:27" x14ac:dyDescent="0.55000000000000004">
      <c r="B38">
        <v>20</v>
      </c>
      <c r="C38" t="s">
        <v>92</v>
      </c>
      <c r="D38" t="s">
        <v>114</v>
      </c>
      <c r="E38" t="s">
        <v>99</v>
      </c>
      <c r="F38" t="s">
        <v>89</v>
      </c>
      <c r="G38" t="s">
        <v>726</v>
      </c>
      <c r="I38">
        <v>82.75</v>
      </c>
      <c r="J38">
        <v>98.393000000000001</v>
      </c>
      <c r="K38">
        <f t="shared" si="0"/>
        <v>15.643000000000001</v>
      </c>
      <c r="L38">
        <f t="shared" si="1"/>
        <v>1.5220639</v>
      </c>
      <c r="M38" s="3">
        <f t="shared" si="2"/>
        <v>30.441278000000001</v>
      </c>
      <c r="N38">
        <v>25.79</v>
      </c>
      <c r="O38">
        <v>2632</v>
      </c>
      <c r="P38">
        <v>4271</v>
      </c>
      <c r="Q38">
        <v>217.67</v>
      </c>
      <c r="R38">
        <f>Table1[[#This Row],[Column12]]-Table1[[#This Row],[Column9]]</f>
        <v>191.88</v>
      </c>
      <c r="S38" t="s">
        <v>118</v>
      </c>
      <c r="V38" s="15"/>
      <c r="W38" s="15"/>
      <c r="X38" s="51"/>
    </row>
    <row r="39" spans="2:27" x14ac:dyDescent="0.55000000000000004">
      <c r="B39">
        <v>21</v>
      </c>
      <c r="C39" t="s">
        <v>92</v>
      </c>
      <c r="D39" t="s">
        <v>126</v>
      </c>
      <c r="E39" t="s">
        <v>100</v>
      </c>
      <c r="F39" t="s">
        <v>89</v>
      </c>
      <c r="G39" t="s">
        <v>726</v>
      </c>
      <c r="I39">
        <v>85.445999999999998</v>
      </c>
      <c r="J39">
        <v>98.445999999999998</v>
      </c>
      <c r="K39">
        <f t="shared" si="0"/>
        <v>13</v>
      </c>
      <c r="L39">
        <f t="shared" si="1"/>
        <v>1.2648999999999999</v>
      </c>
      <c r="M39" s="3">
        <f t="shared" si="2"/>
        <v>25.297999999999998</v>
      </c>
      <c r="N39" t="s">
        <v>128</v>
      </c>
      <c r="O39">
        <v>970</v>
      </c>
      <c r="P39">
        <v>1656</v>
      </c>
      <c r="Q39">
        <v>83.13</v>
      </c>
      <c r="S39" t="s">
        <v>127</v>
      </c>
      <c r="V39" s="15"/>
      <c r="W39" s="15"/>
      <c r="X39" s="51"/>
    </row>
    <row r="40" spans="2:27" x14ac:dyDescent="0.55000000000000004">
      <c r="B40">
        <v>22</v>
      </c>
      <c r="C40" t="s">
        <v>92</v>
      </c>
      <c r="D40" t="s">
        <v>125</v>
      </c>
      <c r="E40" t="s">
        <v>100</v>
      </c>
      <c r="F40" t="s">
        <v>89</v>
      </c>
      <c r="G40" t="s">
        <v>726</v>
      </c>
      <c r="I40">
        <v>84.616</v>
      </c>
      <c r="J40">
        <v>97.679000000000002</v>
      </c>
      <c r="K40">
        <f t="shared" si="0"/>
        <v>13.063000000000002</v>
      </c>
      <c r="L40">
        <f t="shared" si="1"/>
        <v>1.2710299000000003</v>
      </c>
      <c r="M40" s="3">
        <f t="shared" si="2"/>
        <v>25.420598000000005</v>
      </c>
      <c r="N40" t="s">
        <v>128</v>
      </c>
      <c r="O40">
        <v>970</v>
      </c>
      <c r="P40">
        <v>1656</v>
      </c>
      <c r="Q40">
        <v>83.13</v>
      </c>
      <c r="S40" t="s">
        <v>124</v>
      </c>
      <c r="V40" s="15"/>
      <c r="W40" s="15"/>
      <c r="X40" s="51"/>
    </row>
    <row r="41" spans="2:27" x14ac:dyDescent="0.55000000000000004">
      <c r="B41">
        <v>23</v>
      </c>
      <c r="C41" t="s">
        <v>92</v>
      </c>
      <c r="D41" t="s">
        <v>93</v>
      </c>
      <c r="E41" t="s">
        <v>101</v>
      </c>
      <c r="F41" t="s">
        <v>89</v>
      </c>
      <c r="G41" t="s">
        <v>726</v>
      </c>
      <c r="I41">
        <v>77.111000000000004</v>
      </c>
      <c r="J41">
        <v>82.751999999999995</v>
      </c>
      <c r="K41">
        <f t="shared" si="0"/>
        <v>5.6409999999999911</v>
      </c>
      <c r="L41">
        <f t="shared" si="1"/>
        <v>0.54886929999999912</v>
      </c>
      <c r="M41" s="3">
        <f t="shared" si="2"/>
        <v>10.977385999999981</v>
      </c>
      <c r="N41" t="s">
        <v>7</v>
      </c>
      <c r="O41">
        <v>893</v>
      </c>
      <c r="P41">
        <v>1332</v>
      </c>
      <c r="Q41">
        <v>66</v>
      </c>
      <c r="V41" s="15"/>
      <c r="W41" s="15"/>
      <c r="X41" s="51"/>
    </row>
    <row r="42" spans="2:27" x14ac:dyDescent="0.55000000000000004">
      <c r="B42">
        <v>24</v>
      </c>
      <c r="C42" t="s">
        <v>120</v>
      </c>
      <c r="D42" t="s">
        <v>119</v>
      </c>
      <c r="E42" t="s">
        <v>295</v>
      </c>
      <c r="F42" t="s">
        <v>89</v>
      </c>
      <c r="G42" t="s">
        <v>726</v>
      </c>
      <c r="I42">
        <v>84.27</v>
      </c>
      <c r="J42">
        <v>104.577</v>
      </c>
      <c r="K42">
        <f t="shared" si="0"/>
        <v>20.307000000000002</v>
      </c>
      <c r="L42">
        <f t="shared" si="1"/>
        <v>1.9758711000000002</v>
      </c>
      <c r="M42" s="3">
        <f t="shared" si="2"/>
        <v>39.517422000000003</v>
      </c>
      <c r="O42">
        <v>190</v>
      </c>
      <c r="P42">
        <v>1067</v>
      </c>
      <c r="S42" t="s">
        <v>129</v>
      </c>
      <c r="U42" s="3"/>
      <c r="V42" s="90"/>
      <c r="W42" s="90"/>
      <c r="X42" s="51"/>
    </row>
    <row r="43" spans="2:27" x14ac:dyDescent="0.55000000000000004">
      <c r="B43">
        <v>25</v>
      </c>
      <c r="C43" t="s">
        <v>120</v>
      </c>
      <c r="D43" t="s">
        <v>130</v>
      </c>
      <c r="E43" t="s">
        <v>296</v>
      </c>
      <c r="F43" t="s">
        <v>89</v>
      </c>
      <c r="G43" t="s">
        <v>726</v>
      </c>
      <c r="I43">
        <v>88.63</v>
      </c>
      <c r="J43">
        <v>109.77800000000001</v>
      </c>
      <c r="K43">
        <f t="shared" si="0"/>
        <v>21.14800000000001</v>
      </c>
      <c r="L43">
        <f t="shared" si="1"/>
        <v>2.0577004000000008</v>
      </c>
      <c r="M43" s="3">
        <f t="shared" si="2"/>
        <v>41.154008000000019</v>
      </c>
      <c r="N43" t="s">
        <v>7</v>
      </c>
      <c r="O43">
        <v>91</v>
      </c>
      <c r="P43">
        <v>1532</v>
      </c>
      <c r="Q43">
        <v>73.52</v>
      </c>
      <c r="S43" t="s">
        <v>132</v>
      </c>
      <c r="U43" s="3"/>
      <c r="V43" s="90"/>
      <c r="W43" s="90"/>
      <c r="X43" s="51"/>
    </row>
    <row r="44" spans="2:27" x14ac:dyDescent="0.55000000000000004">
      <c r="B44">
        <v>26</v>
      </c>
      <c r="C44" t="s">
        <v>120</v>
      </c>
      <c r="D44" t="s">
        <v>131</v>
      </c>
      <c r="E44" t="s">
        <v>296</v>
      </c>
      <c r="F44" t="s">
        <v>89</v>
      </c>
      <c r="G44" t="s">
        <v>726</v>
      </c>
      <c r="I44">
        <v>88.63</v>
      </c>
      <c r="J44">
        <v>97.231999999999999</v>
      </c>
      <c r="K44">
        <f t="shared" si="0"/>
        <v>8.6020000000000039</v>
      </c>
      <c r="L44">
        <f t="shared" si="1"/>
        <v>0.83697460000000035</v>
      </c>
      <c r="M44" s="3">
        <f t="shared" si="2"/>
        <v>16.739492000000006</v>
      </c>
      <c r="N44" t="s">
        <v>7</v>
      </c>
      <c r="O44">
        <v>91</v>
      </c>
      <c r="P44">
        <v>2054</v>
      </c>
      <c r="Q44">
        <v>98.58</v>
      </c>
      <c r="S44" t="s">
        <v>132</v>
      </c>
      <c r="U44" s="3"/>
      <c r="V44" s="90"/>
      <c r="W44" s="90"/>
      <c r="X44" s="51"/>
      <c r="Y44">
        <f>SUM(V19:V44)</f>
        <v>29</v>
      </c>
      <c r="Z44">
        <f>SUM(W23:W44)</f>
        <v>9</v>
      </c>
      <c r="AA44">
        <f>Z44/(Y44+Z44)</f>
        <v>0.23684210526315788</v>
      </c>
    </row>
    <row r="45" spans="2:27" x14ac:dyDescent="0.55000000000000004">
      <c r="C45" s="6" t="s">
        <v>120</v>
      </c>
      <c r="D45" s="6" t="s">
        <v>133</v>
      </c>
      <c r="E45" s="6" t="s">
        <v>296</v>
      </c>
      <c r="F45" s="6" t="s">
        <v>89</v>
      </c>
      <c r="G45" t="s">
        <v>726</v>
      </c>
      <c r="I45" s="6">
        <v>91.632999999999996</v>
      </c>
      <c r="J45" s="6">
        <v>88.899000000000001</v>
      </c>
      <c r="K45" s="6">
        <f t="shared" si="0"/>
        <v>-2.7339999999999947</v>
      </c>
      <c r="L45" s="6">
        <f t="shared" si="1"/>
        <v>-0.26601819999999948</v>
      </c>
      <c r="M45" s="12">
        <f t="shared" si="2"/>
        <v>-5.3203639999999899</v>
      </c>
      <c r="N45" s="6">
        <v>163.80000000000001</v>
      </c>
      <c r="O45" s="6">
        <v>3767</v>
      </c>
      <c r="P45" s="6">
        <v>4347</v>
      </c>
      <c r="Q45" s="6"/>
      <c r="S45" s="6" t="s">
        <v>134</v>
      </c>
      <c r="U45" s="3"/>
      <c r="V45" s="3">
        <v>5</v>
      </c>
      <c r="W45" s="3">
        <v>1</v>
      </c>
      <c r="X45" s="51">
        <f>W45/(V45)</f>
        <v>0.2</v>
      </c>
    </row>
    <row r="46" spans="2:27" x14ac:dyDescent="0.55000000000000004">
      <c r="B46">
        <v>27</v>
      </c>
      <c r="C46" t="s">
        <v>120</v>
      </c>
      <c r="D46" t="s">
        <v>299</v>
      </c>
      <c r="E46" t="s">
        <v>297</v>
      </c>
      <c r="F46" t="s">
        <v>89</v>
      </c>
      <c r="G46" t="s">
        <v>726</v>
      </c>
      <c r="I46">
        <v>80.587999999999994</v>
      </c>
      <c r="J46">
        <v>97.492999999999995</v>
      </c>
      <c r="K46">
        <f t="shared" si="0"/>
        <v>16.905000000000001</v>
      </c>
      <c r="L46">
        <f t="shared" si="1"/>
        <v>1.6448565000000002</v>
      </c>
      <c r="M46" s="3">
        <f t="shared" si="2"/>
        <v>32.897130000000004</v>
      </c>
      <c r="N46">
        <v>188.65</v>
      </c>
      <c r="O46">
        <v>3696</v>
      </c>
      <c r="P46">
        <v>4683</v>
      </c>
      <c r="Q46">
        <v>231.15</v>
      </c>
      <c r="R46">
        <f>Table1[[#This Row],[Column12]]-Table1[[#This Row],[Column9]]</f>
        <v>42.5</v>
      </c>
      <c r="U46" s="3"/>
      <c r="V46" s="3">
        <v>8</v>
      </c>
      <c r="W46" s="3">
        <v>3</v>
      </c>
      <c r="X46" s="51">
        <f>W46/(V46)</f>
        <v>0.375</v>
      </c>
    </row>
    <row r="47" spans="2:27" x14ac:dyDescent="0.55000000000000004">
      <c r="B47">
        <v>28</v>
      </c>
      <c r="C47" t="s">
        <v>120</v>
      </c>
      <c r="D47" t="s">
        <v>300</v>
      </c>
      <c r="E47" t="s">
        <v>297</v>
      </c>
      <c r="F47" t="s">
        <v>89</v>
      </c>
      <c r="G47" t="s">
        <v>726</v>
      </c>
      <c r="I47" s="11">
        <v>93.156999999999996</v>
      </c>
      <c r="J47" s="11">
        <v>130.512</v>
      </c>
      <c r="K47">
        <f t="shared" si="0"/>
        <v>37.355000000000004</v>
      </c>
      <c r="L47">
        <f t="shared" si="1"/>
        <v>3.6346415000000003</v>
      </c>
      <c r="M47" s="3">
        <f t="shared" si="2"/>
        <v>72.692830000000001</v>
      </c>
      <c r="N47">
        <v>188.65</v>
      </c>
      <c r="O47" s="11">
        <v>4496</v>
      </c>
      <c r="P47" s="11">
        <v>4818</v>
      </c>
      <c r="Q47" s="11">
        <v>237.81</v>
      </c>
      <c r="R47">
        <f>Table1[[#This Row],[Column12]]-Table1[[#This Row],[Column9]]</f>
        <v>49.16</v>
      </c>
      <c r="S47" s="11" t="s">
        <v>303</v>
      </c>
      <c r="T47" s="11"/>
      <c r="U47" s="3"/>
      <c r="V47" s="90"/>
      <c r="W47" s="90"/>
      <c r="X47" s="51"/>
    </row>
    <row r="48" spans="2:27" x14ac:dyDescent="0.55000000000000004">
      <c r="B48">
        <v>29</v>
      </c>
      <c r="C48" t="s">
        <v>120</v>
      </c>
      <c r="D48" t="s">
        <v>301</v>
      </c>
      <c r="E48" t="s">
        <v>297</v>
      </c>
      <c r="F48" t="s">
        <v>89</v>
      </c>
      <c r="G48" t="s">
        <v>726</v>
      </c>
      <c r="I48">
        <v>80.587999999999994</v>
      </c>
      <c r="J48" s="11">
        <v>96.625</v>
      </c>
      <c r="K48">
        <f t="shared" si="0"/>
        <v>16.037000000000006</v>
      </c>
      <c r="L48">
        <f t="shared" si="1"/>
        <v>1.5604001000000005</v>
      </c>
      <c r="M48" s="3">
        <f t="shared" si="2"/>
        <v>31.208002000000011</v>
      </c>
      <c r="N48">
        <v>188.65</v>
      </c>
      <c r="O48">
        <v>3696</v>
      </c>
      <c r="P48" s="11">
        <v>5270</v>
      </c>
      <c r="Q48" s="11">
        <v>260.12</v>
      </c>
      <c r="R48">
        <f>Table1[[#This Row],[Column12]]-Table1[[#This Row],[Column9]]</f>
        <v>71.47</v>
      </c>
      <c r="S48" s="11" t="s">
        <v>302</v>
      </c>
      <c r="T48" s="11"/>
      <c r="U48" s="3"/>
      <c r="V48" s="90"/>
      <c r="W48" s="90"/>
      <c r="X48" s="51"/>
    </row>
    <row r="49" spans="2:35" s="11" customFormat="1" x14ac:dyDescent="0.55000000000000004">
      <c r="B49">
        <v>30</v>
      </c>
      <c r="C49" s="11" t="s">
        <v>120</v>
      </c>
      <c r="D49" s="11" t="s">
        <v>443</v>
      </c>
      <c r="E49" s="11" t="s">
        <v>298</v>
      </c>
      <c r="F49" s="11" t="s">
        <v>89</v>
      </c>
      <c r="G49" t="s">
        <v>726</v>
      </c>
      <c r="H49"/>
      <c r="I49" s="11">
        <v>83.864999999999995</v>
      </c>
      <c r="J49" s="11">
        <v>96.801000000000002</v>
      </c>
      <c r="K49" s="11">
        <f t="shared" si="0"/>
        <v>12.936000000000007</v>
      </c>
      <c r="L49" s="11">
        <f t="shared" si="1"/>
        <v>1.2586728000000007</v>
      </c>
      <c r="M49" s="23">
        <f t="shared" si="2"/>
        <v>25.173456000000016</v>
      </c>
      <c r="N49" s="11">
        <v>90.07</v>
      </c>
      <c r="O49" s="11">
        <v>2166</v>
      </c>
      <c r="P49" s="11">
        <v>2642</v>
      </c>
      <c r="U49" s="23"/>
      <c r="V49" s="23">
        <v>9</v>
      </c>
      <c r="W49" s="23">
        <v>4</v>
      </c>
      <c r="X49" s="51">
        <f>W49/(V49)</f>
        <v>0.44444444444444442</v>
      </c>
    </row>
    <row r="50" spans="2:35" s="11" customFormat="1" x14ac:dyDescent="0.55000000000000004">
      <c r="B50">
        <v>31</v>
      </c>
      <c r="C50" s="11" t="s">
        <v>120</v>
      </c>
      <c r="D50" s="11" t="s">
        <v>443</v>
      </c>
      <c r="E50" s="11" t="s">
        <v>298</v>
      </c>
      <c r="F50" s="11" t="s">
        <v>89</v>
      </c>
      <c r="G50" t="s">
        <v>726</v>
      </c>
      <c r="H50"/>
      <c r="I50" s="11">
        <v>86.61</v>
      </c>
      <c r="J50" s="11">
        <v>114.072</v>
      </c>
      <c r="K50" s="11">
        <f t="shared" si="0"/>
        <v>27.462000000000003</v>
      </c>
      <c r="L50" s="11">
        <f t="shared" si="1"/>
        <v>2.6720526000000002</v>
      </c>
      <c r="M50" s="23">
        <f t="shared" si="2"/>
        <v>53.441052000000006</v>
      </c>
      <c r="N50" s="11">
        <v>90.07</v>
      </c>
      <c r="O50" s="11">
        <v>2290</v>
      </c>
      <c r="P50" s="11">
        <v>2806</v>
      </c>
      <c r="U50" s="23"/>
      <c r="V50" s="90"/>
      <c r="W50" s="90"/>
      <c r="X50" s="51"/>
    </row>
    <row r="51" spans="2:35" s="11" customFormat="1" x14ac:dyDescent="0.55000000000000004">
      <c r="B51">
        <v>32</v>
      </c>
      <c r="C51" s="11" t="s">
        <v>120</v>
      </c>
      <c r="D51" s="11" t="s">
        <v>444</v>
      </c>
      <c r="E51" s="11" t="s">
        <v>298</v>
      </c>
      <c r="F51" s="11" t="s">
        <v>89</v>
      </c>
      <c r="G51" t="s">
        <v>726</v>
      </c>
      <c r="H51"/>
      <c r="I51" s="11">
        <v>86.037999999999997</v>
      </c>
      <c r="J51" s="11">
        <v>102.532</v>
      </c>
      <c r="K51" s="11">
        <f t="shared" si="0"/>
        <v>16.494</v>
      </c>
      <c r="L51" s="11">
        <f t="shared" si="1"/>
        <v>1.6048662</v>
      </c>
      <c r="M51" s="23">
        <f t="shared" si="2"/>
        <v>32.097324</v>
      </c>
      <c r="N51" s="11">
        <v>90.07</v>
      </c>
      <c r="O51" s="11">
        <v>3300</v>
      </c>
      <c r="P51" s="11">
        <v>3987</v>
      </c>
      <c r="S51" s="11" t="s">
        <v>446</v>
      </c>
      <c r="U51" s="23"/>
      <c r="V51" s="90"/>
      <c r="W51" s="90"/>
      <c r="X51" s="51"/>
    </row>
    <row r="52" spans="2:35" s="11" customFormat="1" x14ac:dyDescent="0.55000000000000004">
      <c r="B52">
        <v>33</v>
      </c>
      <c r="C52" s="11" t="s">
        <v>120</v>
      </c>
      <c r="D52" s="11" t="s">
        <v>445</v>
      </c>
      <c r="E52" s="11" t="s">
        <v>298</v>
      </c>
      <c r="F52" s="11" t="s">
        <v>89</v>
      </c>
      <c r="G52" t="s">
        <v>726</v>
      </c>
      <c r="H52"/>
      <c r="I52" s="11">
        <v>86.037999999999997</v>
      </c>
      <c r="J52" s="11">
        <v>92.194000000000003</v>
      </c>
      <c r="K52" s="11">
        <f t="shared" si="0"/>
        <v>6.1560000000000059</v>
      </c>
      <c r="L52" s="11">
        <f t="shared" si="1"/>
        <v>0.59897880000000059</v>
      </c>
      <c r="M52" s="23">
        <f t="shared" si="2"/>
        <v>11.979576000000012</v>
      </c>
      <c r="N52" s="11">
        <v>90.07</v>
      </c>
      <c r="O52" s="11">
        <v>3300</v>
      </c>
      <c r="P52" s="11">
        <v>5554</v>
      </c>
      <c r="S52" s="11" t="s">
        <v>446</v>
      </c>
      <c r="U52" s="23"/>
      <c r="V52" s="90"/>
      <c r="W52" s="90"/>
      <c r="X52" s="51"/>
    </row>
    <row r="53" spans="2:35" x14ac:dyDescent="0.55000000000000004">
      <c r="B53">
        <v>34</v>
      </c>
      <c r="C53" t="s">
        <v>304</v>
      </c>
      <c r="D53" t="s">
        <v>306</v>
      </c>
      <c r="E53" t="s">
        <v>305</v>
      </c>
      <c r="F53" t="s">
        <v>89</v>
      </c>
      <c r="G53" t="s">
        <v>726</v>
      </c>
      <c r="I53">
        <v>83.22</v>
      </c>
      <c r="J53">
        <v>93.16</v>
      </c>
      <c r="K53">
        <f t="shared" si="0"/>
        <v>9.9399999999999977</v>
      </c>
      <c r="L53">
        <f t="shared" si="1"/>
        <v>0.96716199999999974</v>
      </c>
      <c r="M53" s="3">
        <f t="shared" si="2"/>
        <v>19.343239999999994</v>
      </c>
      <c r="N53" t="s">
        <v>7</v>
      </c>
      <c r="O53">
        <v>1246</v>
      </c>
      <c r="P53">
        <v>3239</v>
      </c>
      <c r="Q53">
        <v>161.77000000000001</v>
      </c>
      <c r="S53" t="s">
        <v>308</v>
      </c>
      <c r="U53" s="3"/>
      <c r="V53" s="90"/>
      <c r="W53" s="90"/>
      <c r="X53" s="51"/>
    </row>
    <row r="54" spans="2:35" x14ac:dyDescent="0.55000000000000004">
      <c r="B54">
        <v>35</v>
      </c>
      <c r="C54" t="s">
        <v>304</v>
      </c>
      <c r="D54" t="s">
        <v>307</v>
      </c>
      <c r="E54" t="s">
        <v>305</v>
      </c>
      <c r="F54" t="s">
        <v>89</v>
      </c>
      <c r="G54" t="s">
        <v>726</v>
      </c>
      <c r="I54">
        <v>83.22</v>
      </c>
      <c r="J54">
        <v>91.158000000000001</v>
      </c>
      <c r="K54">
        <f t="shared" si="0"/>
        <v>7.9380000000000024</v>
      </c>
      <c r="L54">
        <f t="shared" si="1"/>
        <v>0.77236740000000026</v>
      </c>
      <c r="M54" s="3">
        <f t="shared" si="2"/>
        <v>15.447348000000005</v>
      </c>
      <c r="N54" t="s">
        <v>7</v>
      </c>
      <c r="O54">
        <v>1246</v>
      </c>
      <c r="P54">
        <v>3935</v>
      </c>
      <c r="S54" t="s">
        <v>308</v>
      </c>
      <c r="U54" s="3"/>
      <c r="V54" s="90"/>
      <c r="W54" s="90"/>
      <c r="X54" s="51"/>
    </row>
    <row r="55" spans="2:35" x14ac:dyDescent="0.55000000000000004">
      <c r="U55" s="3"/>
      <c r="V55" s="90"/>
      <c r="W55" s="90"/>
      <c r="X55" s="51"/>
    </row>
    <row r="56" spans="2:35" x14ac:dyDescent="0.55000000000000004">
      <c r="U56" s="3"/>
      <c r="V56" s="90"/>
      <c r="W56" s="90"/>
      <c r="X56" s="51"/>
    </row>
    <row r="57" spans="2:35" x14ac:dyDescent="0.55000000000000004">
      <c r="U57" s="3"/>
      <c r="V57" s="90"/>
      <c r="W57" s="90"/>
      <c r="X57" s="51"/>
      <c r="Y57">
        <f>SUM(V45:V57)</f>
        <v>22</v>
      </c>
      <c r="Z57">
        <f>SUM(W45:W57)</f>
        <v>8</v>
      </c>
      <c r="AA57">
        <f>Z57/(Y57+Z57)</f>
        <v>0.26666666666666666</v>
      </c>
    </row>
    <row r="58" spans="2:35" x14ac:dyDescent="0.55000000000000004">
      <c r="M58" s="24">
        <f>(SUM(M3,M6:M9,M11,M13,M18,M23,M27:M34,M36:M44,M46:M54))/(COUNT(M3,M6:M9,M11,M13,M18,M23,M27:M34,M36:M44,M46:M54))</f>
        <v>31.696219058823523</v>
      </c>
      <c r="V58">
        <f>SUM(V3:V57)</f>
        <v>71</v>
      </c>
      <c r="W58">
        <f>SUM(W3:W57)</f>
        <v>21</v>
      </c>
      <c r="Y58">
        <f>SUM(Y57,Y44,Y18)</f>
        <v>71</v>
      </c>
      <c r="Z58">
        <f>SUM(Z57,Z44,Z18)</f>
        <v>21</v>
      </c>
      <c r="AB58" s="53">
        <f>((SUM(AA57,AA44,AA18))/3)*100</f>
        <v>22.339181286549707</v>
      </c>
      <c r="AC58" s="53">
        <f>(STDEV(AA57,AA44,AA18)/SQRT(COUNT(AA57,AA44,AA18)))*100</f>
        <v>2.9640528415144267</v>
      </c>
    </row>
    <row r="59" spans="2:35" x14ac:dyDescent="0.55000000000000004">
      <c r="M59" s="3">
        <f xml:space="preserve"> STDEV(M3,M6:M9,M11,M13,M18,M23,M27:M34,M36:M44,M46:M54)/SQRT(COUNT(M3,M6:M9,M11,M13,M18,M23,M27:M34,M36:M44,M46:M54))</f>
        <v>2.9882052760220628</v>
      </c>
      <c r="V59">
        <f>(W58/V58)*100</f>
        <v>29.577464788732392</v>
      </c>
    </row>
    <row r="60" spans="2:35" x14ac:dyDescent="0.55000000000000004">
      <c r="X60" s="51">
        <f>((SUM(X49,X45:X46,X36,X34,X27,X25,X23,X18,X13,X11,X5))/(COUNT(X49,X45:X46,X36,X34,X27,X25,X23,X18,X13,X11,X5)))*100</f>
        <v>30.925925925925927</v>
      </c>
      <c r="Y60" s="51">
        <f>(STDEV(X49,X45:X46,X36,X34,X27,X25,X23,X18,X13,X11,X5)/SQRT(COUNT(X49,X45:X46,X36,X34,X27,X25,X23,X18,X13,X11,X5)))*100</f>
        <v>5.1776264651329802</v>
      </c>
    </row>
    <row r="63" spans="2:35" s="10" customFormat="1" x14ac:dyDescent="0.55000000000000004">
      <c r="C63" s="10" t="s">
        <v>309</v>
      </c>
      <c r="D63" s="10">
        <v>23.13794</v>
      </c>
      <c r="E63" s="10">
        <v>21.867201999999992</v>
      </c>
      <c r="F63" s="10">
        <v>72.755102000000008</v>
      </c>
      <c r="I63" s="10">
        <v>38.015109999999993</v>
      </c>
      <c r="J63" s="10">
        <v>9.7650279999999725</v>
      </c>
      <c r="K63" s="10">
        <v>14.112392000000018</v>
      </c>
      <c r="L63" s="10">
        <v>19.456107999999979</v>
      </c>
      <c r="M63" s="21">
        <v>50.560972</v>
      </c>
      <c r="N63" s="10">
        <v>50.210692000000009</v>
      </c>
      <c r="O63" s="10">
        <v>19.964014000000002</v>
      </c>
      <c r="P63" s="10">
        <v>12.434940000000001</v>
      </c>
      <c r="Q63" s="10">
        <v>54.709844000000004</v>
      </c>
      <c r="R63" s="10">
        <v>26.679660000000016</v>
      </c>
      <c r="S63" s="10">
        <v>27.053291999999999</v>
      </c>
      <c r="T63" s="10">
        <v>46.338152000000022</v>
      </c>
      <c r="U63" s="10">
        <v>57.058665999999995</v>
      </c>
      <c r="V63" s="10">
        <v>41.589911999999998</v>
      </c>
      <c r="W63" s="10">
        <v>30.441278000000001</v>
      </c>
      <c r="X63" s="10">
        <v>25.297999999999998</v>
      </c>
      <c r="Y63" s="10">
        <v>25.420598000000005</v>
      </c>
      <c r="Z63" s="10">
        <v>10.977385999999981</v>
      </c>
      <c r="AA63" s="10">
        <v>39.517422000000003</v>
      </c>
      <c r="AB63" s="10">
        <v>41.154008000000019</v>
      </c>
      <c r="AC63" s="10">
        <v>16.739492000000006</v>
      </c>
      <c r="AD63" s="10">
        <v>32.897130000000004</v>
      </c>
      <c r="AE63" s="10">
        <v>72.692830000000001</v>
      </c>
      <c r="AF63" s="10">
        <v>31.208002000000011</v>
      </c>
      <c r="AG63" s="10">
        <v>24.153751999999983</v>
      </c>
      <c r="AH63" s="10">
        <v>19.343239999999994</v>
      </c>
      <c r="AI63" s="10">
        <v>15.447348000000005</v>
      </c>
    </row>
  </sheetData>
  <pageMargins left="0.7" right="0.7" top="0.75" bottom="0.75" header="0.3" footer="0.3"/>
  <pageSetup paperSize="9" orientation="portrait" r:id="rId1"/>
  <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U36"/>
  <sheetViews>
    <sheetView topLeftCell="D7" zoomScale="85" zoomScaleNormal="85" workbookViewId="0">
      <selection activeCell="U2" sqref="U2:U31"/>
    </sheetView>
  </sheetViews>
  <sheetFormatPr defaultRowHeight="14.4" x14ac:dyDescent="0.55000000000000004"/>
  <cols>
    <col min="3" max="3" width="11.1015625" customWidth="1"/>
    <col min="4" max="4" width="11.3125" customWidth="1"/>
    <col min="21" max="21" width="29.3125" customWidth="1"/>
  </cols>
  <sheetData>
    <row r="1" spans="1:21" ht="43.2" x14ac:dyDescent="0.55000000000000004">
      <c r="A1" t="s">
        <v>973</v>
      </c>
      <c r="B1" t="s">
        <v>1142</v>
      </c>
      <c r="C1" t="s">
        <v>90</v>
      </c>
      <c r="D1" s="1" t="s">
        <v>0</v>
      </c>
      <c r="E1" s="1" t="s">
        <v>1</v>
      </c>
      <c r="F1" s="1" t="s">
        <v>88</v>
      </c>
      <c r="G1" s="1" t="s">
        <v>2</v>
      </c>
      <c r="H1" s="1" t="s">
        <v>3</v>
      </c>
      <c r="I1" s="1" t="s">
        <v>11</v>
      </c>
      <c r="J1" s="1" t="s">
        <v>12</v>
      </c>
      <c r="K1" s="2" t="s">
        <v>4</v>
      </c>
      <c r="L1" s="1" t="s">
        <v>19</v>
      </c>
      <c r="M1" s="1" t="s">
        <v>10</v>
      </c>
      <c r="N1" s="1" t="s">
        <v>8</v>
      </c>
      <c r="O1" s="1" t="s">
        <v>9</v>
      </c>
      <c r="P1" s="1" t="s">
        <v>123</v>
      </c>
      <c r="Q1" s="1" t="s">
        <v>5</v>
      </c>
      <c r="R1" s="1" t="s">
        <v>55</v>
      </c>
      <c r="S1" s="1" t="s">
        <v>355</v>
      </c>
      <c r="T1" s="1" t="s">
        <v>327</v>
      </c>
      <c r="U1" s="1" t="s">
        <v>1141</v>
      </c>
    </row>
    <row r="2" spans="1:21" x14ac:dyDescent="0.55000000000000004">
      <c r="B2">
        <v>1</v>
      </c>
      <c r="C2" t="s">
        <v>490</v>
      </c>
      <c r="D2" t="s">
        <v>491</v>
      </c>
      <c r="E2" t="s">
        <v>493</v>
      </c>
      <c r="F2" t="s">
        <v>495</v>
      </c>
      <c r="G2" t="s">
        <v>325</v>
      </c>
      <c r="L2">
        <v>27.19</v>
      </c>
      <c r="Q2" t="s">
        <v>496</v>
      </c>
      <c r="S2">
        <v>6</v>
      </c>
      <c r="T2">
        <v>0</v>
      </c>
      <c r="U2">
        <f>T2/S2</f>
        <v>0</v>
      </c>
    </row>
    <row r="3" spans="1:21" x14ac:dyDescent="0.55000000000000004">
      <c r="B3">
        <v>2</v>
      </c>
      <c r="C3" t="s">
        <v>490</v>
      </c>
      <c r="D3" t="s">
        <v>492</v>
      </c>
      <c r="E3" t="s">
        <v>494</v>
      </c>
      <c r="F3" t="s">
        <v>495</v>
      </c>
      <c r="G3" t="s">
        <v>325</v>
      </c>
      <c r="L3">
        <v>88.13</v>
      </c>
      <c r="Q3" t="s">
        <v>496</v>
      </c>
      <c r="S3">
        <v>7</v>
      </c>
      <c r="T3">
        <v>0</v>
      </c>
      <c r="U3">
        <f>T3/S3</f>
        <v>0</v>
      </c>
    </row>
    <row r="4" spans="1:21" x14ac:dyDescent="0.55000000000000004">
      <c r="A4">
        <v>1</v>
      </c>
      <c r="B4">
        <v>3</v>
      </c>
      <c r="C4" t="s">
        <v>497</v>
      </c>
      <c r="D4" t="s">
        <v>506</v>
      </c>
      <c r="E4" t="s">
        <v>501</v>
      </c>
      <c r="F4" t="s">
        <v>495</v>
      </c>
      <c r="G4">
        <v>79.998000000000005</v>
      </c>
      <c r="H4">
        <v>117.32299999999999</v>
      </c>
      <c r="I4">
        <f t="shared" ref="I4:I29" si="0">H4-G4</f>
        <v>37.324999999999989</v>
      </c>
      <c r="J4">
        <f t="shared" ref="J4:J29" si="1">I4*0.0973</f>
        <v>3.6317224999999986</v>
      </c>
      <c r="K4">
        <f t="shared" ref="K4:K29" si="2">J4*20</f>
        <v>72.634449999999973</v>
      </c>
      <c r="L4">
        <v>123.48</v>
      </c>
      <c r="M4">
        <v>2593</v>
      </c>
      <c r="N4">
        <v>3044</v>
      </c>
      <c r="O4">
        <v>151.19999999999999</v>
      </c>
      <c r="P4">
        <f>O4-L4</f>
        <v>27.719999999999985</v>
      </c>
      <c r="S4">
        <v>10</v>
      </c>
      <c r="T4">
        <v>2</v>
      </c>
      <c r="U4">
        <f>T4/S4</f>
        <v>0.2</v>
      </c>
    </row>
    <row r="5" spans="1:21" x14ac:dyDescent="0.55000000000000004">
      <c r="A5">
        <v>2</v>
      </c>
      <c r="C5" t="s">
        <v>497</v>
      </c>
      <c r="D5" t="s">
        <v>507</v>
      </c>
      <c r="E5" t="s">
        <v>501</v>
      </c>
      <c r="F5" t="s">
        <v>495</v>
      </c>
      <c r="G5">
        <v>83.85</v>
      </c>
      <c r="H5">
        <v>105.541</v>
      </c>
      <c r="I5">
        <f t="shared" si="0"/>
        <v>21.691000000000003</v>
      </c>
      <c r="J5">
        <f t="shared" si="1"/>
        <v>2.1105343000000003</v>
      </c>
      <c r="K5">
        <f t="shared" si="2"/>
        <v>42.21068600000001</v>
      </c>
      <c r="L5">
        <v>123.48</v>
      </c>
      <c r="M5">
        <v>3264</v>
      </c>
      <c r="N5">
        <v>4106</v>
      </c>
      <c r="O5">
        <v>203.95</v>
      </c>
      <c r="P5">
        <f>O5-L5</f>
        <v>80.469999999999985</v>
      </c>
      <c r="S5" s="33"/>
      <c r="T5" s="33"/>
    </row>
    <row r="6" spans="1:21" x14ac:dyDescent="0.55000000000000004">
      <c r="B6">
        <v>4</v>
      </c>
      <c r="C6" t="s">
        <v>497</v>
      </c>
      <c r="D6" t="s">
        <v>498</v>
      </c>
      <c r="E6" t="s">
        <v>502</v>
      </c>
      <c r="F6" t="s">
        <v>495</v>
      </c>
      <c r="G6" t="s">
        <v>325</v>
      </c>
      <c r="L6">
        <v>14.62</v>
      </c>
      <c r="S6">
        <v>5</v>
      </c>
      <c r="T6">
        <v>0</v>
      </c>
      <c r="U6">
        <f>T6/S6</f>
        <v>0</v>
      </c>
    </row>
    <row r="7" spans="1:21" x14ac:dyDescent="0.55000000000000004">
      <c r="A7">
        <v>3</v>
      </c>
      <c r="B7">
        <v>5</v>
      </c>
      <c r="C7" t="s">
        <v>497</v>
      </c>
      <c r="D7" t="s">
        <v>512</v>
      </c>
      <c r="E7" t="s">
        <v>503</v>
      </c>
      <c r="F7" t="s">
        <v>495</v>
      </c>
      <c r="G7">
        <v>88.757000000000005</v>
      </c>
      <c r="H7">
        <v>106.973</v>
      </c>
      <c r="I7">
        <f t="shared" si="0"/>
        <v>18.215999999999994</v>
      </c>
      <c r="J7">
        <f t="shared" si="1"/>
        <v>1.7724167999999993</v>
      </c>
      <c r="K7">
        <f t="shared" si="2"/>
        <v>35.448335999999983</v>
      </c>
      <c r="L7">
        <v>45.36</v>
      </c>
      <c r="M7">
        <v>1070</v>
      </c>
      <c r="N7">
        <v>1259</v>
      </c>
      <c r="O7">
        <v>62.14</v>
      </c>
      <c r="P7">
        <f t="shared" ref="P7:P30" si="3">O7-L7</f>
        <v>16.78</v>
      </c>
      <c r="Q7" t="s">
        <v>508</v>
      </c>
      <c r="S7">
        <v>7</v>
      </c>
      <c r="T7">
        <v>3</v>
      </c>
      <c r="U7">
        <f>T7/S7</f>
        <v>0.42857142857142855</v>
      </c>
    </row>
    <row r="8" spans="1:21" x14ac:dyDescent="0.55000000000000004">
      <c r="A8">
        <v>4</v>
      </c>
      <c r="C8" t="s">
        <v>497</v>
      </c>
      <c r="D8" t="s">
        <v>513</v>
      </c>
      <c r="E8" t="s">
        <v>503</v>
      </c>
      <c r="F8" t="s">
        <v>495</v>
      </c>
      <c r="G8">
        <v>87.849000000000004</v>
      </c>
      <c r="H8">
        <v>117.018</v>
      </c>
      <c r="I8">
        <f t="shared" si="0"/>
        <v>29.168999999999997</v>
      </c>
      <c r="J8">
        <f t="shared" si="1"/>
        <v>2.8381436999999998</v>
      </c>
      <c r="K8">
        <f t="shared" si="2"/>
        <v>56.762873999999996</v>
      </c>
      <c r="L8">
        <v>45.36</v>
      </c>
      <c r="M8">
        <v>1464</v>
      </c>
      <c r="N8">
        <v>1758</v>
      </c>
      <c r="O8">
        <v>86.77</v>
      </c>
      <c r="P8">
        <f t="shared" si="3"/>
        <v>41.41</v>
      </c>
      <c r="Q8" t="s">
        <v>508</v>
      </c>
      <c r="S8" s="33"/>
      <c r="T8" s="33"/>
    </row>
    <row r="9" spans="1:21" x14ac:dyDescent="0.55000000000000004">
      <c r="A9">
        <v>5</v>
      </c>
      <c r="C9" t="s">
        <v>497</v>
      </c>
      <c r="D9" t="s">
        <v>514</v>
      </c>
      <c r="E9" t="s">
        <v>503</v>
      </c>
      <c r="F9" t="s">
        <v>495</v>
      </c>
      <c r="G9">
        <v>82.703999999999994</v>
      </c>
      <c r="H9">
        <v>94.647999999999996</v>
      </c>
      <c r="I9">
        <f t="shared" si="0"/>
        <v>11.944000000000003</v>
      </c>
      <c r="J9">
        <f t="shared" si="1"/>
        <v>1.1621512000000003</v>
      </c>
      <c r="K9">
        <f t="shared" si="2"/>
        <v>23.243024000000005</v>
      </c>
      <c r="L9">
        <v>45.36</v>
      </c>
      <c r="M9">
        <v>2201</v>
      </c>
      <c r="N9">
        <v>2760</v>
      </c>
      <c r="O9">
        <v>136.22999999999999</v>
      </c>
      <c r="P9">
        <f t="shared" si="3"/>
        <v>90.86999999999999</v>
      </c>
      <c r="Q9" t="s">
        <v>509</v>
      </c>
      <c r="S9" s="33"/>
      <c r="T9" s="33"/>
    </row>
    <row r="10" spans="1:21" x14ac:dyDescent="0.55000000000000004">
      <c r="B10">
        <v>6</v>
      </c>
      <c r="C10" t="s">
        <v>497</v>
      </c>
      <c r="D10" t="s">
        <v>499</v>
      </c>
      <c r="E10" t="s">
        <v>504</v>
      </c>
      <c r="F10" t="s">
        <v>495</v>
      </c>
      <c r="G10" t="s">
        <v>325</v>
      </c>
      <c r="Q10" t="s">
        <v>515</v>
      </c>
      <c r="S10" s="33"/>
      <c r="T10" s="33"/>
    </row>
    <row r="11" spans="1:21" x14ac:dyDescent="0.55000000000000004">
      <c r="A11">
        <v>6</v>
      </c>
      <c r="B11">
        <v>7</v>
      </c>
      <c r="C11" t="s">
        <v>497</v>
      </c>
      <c r="D11" t="s">
        <v>500</v>
      </c>
      <c r="E11" t="s">
        <v>505</v>
      </c>
      <c r="F11" t="s">
        <v>495</v>
      </c>
      <c r="G11">
        <v>86.3</v>
      </c>
      <c r="H11">
        <v>99.616</v>
      </c>
      <c r="I11">
        <f t="shared" si="0"/>
        <v>13.316000000000003</v>
      </c>
      <c r="J11">
        <f t="shared" si="1"/>
        <v>1.2956468000000003</v>
      </c>
      <c r="K11">
        <f t="shared" si="2"/>
        <v>25.912936000000006</v>
      </c>
      <c r="L11">
        <v>83.36</v>
      </c>
      <c r="M11">
        <v>2747</v>
      </c>
      <c r="N11">
        <v>3620</v>
      </c>
      <c r="O11">
        <v>179.31</v>
      </c>
      <c r="P11">
        <f>O11-L11</f>
        <v>95.95</v>
      </c>
      <c r="S11">
        <v>7</v>
      </c>
      <c r="T11">
        <v>1</v>
      </c>
      <c r="U11">
        <f>T11/S11</f>
        <v>0.14285714285714285</v>
      </c>
    </row>
    <row r="12" spans="1:21" x14ac:dyDescent="0.55000000000000004">
      <c r="A12">
        <v>7</v>
      </c>
      <c r="B12">
        <v>8</v>
      </c>
      <c r="C12" t="s">
        <v>524</v>
      </c>
      <c r="D12" t="s">
        <v>525</v>
      </c>
      <c r="E12" t="s">
        <v>518</v>
      </c>
      <c r="F12" t="s">
        <v>495</v>
      </c>
      <c r="G12">
        <v>89.067999999999998</v>
      </c>
      <c r="H12">
        <v>112.254</v>
      </c>
      <c r="I12">
        <f t="shared" si="0"/>
        <v>23.186000000000007</v>
      </c>
      <c r="J12">
        <f t="shared" si="1"/>
        <v>2.2559978000000007</v>
      </c>
      <c r="K12">
        <f t="shared" si="2"/>
        <v>45.119956000000016</v>
      </c>
      <c r="L12">
        <v>95</v>
      </c>
      <c r="M12">
        <v>2376</v>
      </c>
      <c r="N12">
        <v>3497</v>
      </c>
      <c r="O12">
        <v>173.49</v>
      </c>
      <c r="P12">
        <f t="shared" si="3"/>
        <v>78.490000000000009</v>
      </c>
      <c r="S12">
        <v>1</v>
      </c>
      <c r="T12">
        <v>1</v>
      </c>
      <c r="U12">
        <f>T12/S12</f>
        <v>1</v>
      </c>
    </row>
    <row r="13" spans="1:21" x14ac:dyDescent="0.55000000000000004">
      <c r="B13">
        <v>9</v>
      </c>
      <c r="C13" t="s">
        <v>524</v>
      </c>
      <c r="D13" t="s">
        <v>526</v>
      </c>
      <c r="E13" t="s">
        <v>518</v>
      </c>
      <c r="F13" t="s">
        <v>495</v>
      </c>
      <c r="G13" t="s">
        <v>325</v>
      </c>
      <c r="S13">
        <v>4</v>
      </c>
      <c r="T13">
        <v>0</v>
      </c>
      <c r="U13">
        <f>T13/S13</f>
        <v>0</v>
      </c>
    </row>
    <row r="14" spans="1:21" x14ac:dyDescent="0.55000000000000004">
      <c r="A14">
        <v>8</v>
      </c>
      <c r="C14" t="s">
        <v>524</v>
      </c>
      <c r="D14" t="s">
        <v>528</v>
      </c>
      <c r="E14" t="s">
        <v>519</v>
      </c>
      <c r="F14" t="s">
        <v>495</v>
      </c>
      <c r="G14">
        <v>92.558999999999997</v>
      </c>
      <c r="H14">
        <v>104.185</v>
      </c>
      <c r="I14">
        <f t="shared" si="0"/>
        <v>11.626000000000005</v>
      </c>
      <c r="J14">
        <f t="shared" si="1"/>
        <v>1.1312098000000004</v>
      </c>
      <c r="K14">
        <f t="shared" si="2"/>
        <v>22.624196000000008</v>
      </c>
      <c r="L14">
        <v>0</v>
      </c>
      <c r="M14">
        <v>834</v>
      </c>
      <c r="N14">
        <v>2799</v>
      </c>
      <c r="O14">
        <v>137.19999999999999</v>
      </c>
      <c r="P14">
        <f t="shared" si="3"/>
        <v>137.19999999999999</v>
      </c>
      <c r="Q14" t="s">
        <v>527</v>
      </c>
      <c r="S14">
        <v>9</v>
      </c>
      <c r="T14">
        <v>2</v>
      </c>
      <c r="U14">
        <f>T14/S14</f>
        <v>0.22222222222222221</v>
      </c>
    </row>
    <row r="15" spans="1:21" x14ac:dyDescent="0.55000000000000004">
      <c r="A15">
        <v>9</v>
      </c>
      <c r="C15" t="s">
        <v>524</v>
      </c>
      <c r="D15" t="s">
        <v>529</v>
      </c>
      <c r="E15" t="s">
        <v>519</v>
      </c>
      <c r="F15" t="s">
        <v>495</v>
      </c>
      <c r="G15">
        <v>98.004999999999995</v>
      </c>
      <c r="H15">
        <v>111.91200000000001</v>
      </c>
      <c r="I15">
        <f t="shared" si="0"/>
        <v>13.907000000000011</v>
      </c>
      <c r="J15">
        <f t="shared" si="1"/>
        <v>1.3531511000000009</v>
      </c>
      <c r="K15">
        <f t="shared" si="2"/>
        <v>27.063022000000018</v>
      </c>
      <c r="L15">
        <v>0</v>
      </c>
      <c r="M15">
        <v>1899</v>
      </c>
      <c r="N15">
        <v>3447</v>
      </c>
      <c r="O15">
        <v>168.96</v>
      </c>
      <c r="P15">
        <f t="shared" si="3"/>
        <v>168.96</v>
      </c>
      <c r="Q15" t="s">
        <v>530</v>
      </c>
      <c r="S15" s="34"/>
      <c r="T15" s="34"/>
    </row>
    <row r="16" spans="1:21" x14ac:dyDescent="0.55000000000000004">
      <c r="A16">
        <v>10</v>
      </c>
      <c r="B16">
        <v>10</v>
      </c>
      <c r="C16" t="s">
        <v>524</v>
      </c>
      <c r="D16" t="s">
        <v>532</v>
      </c>
      <c r="E16" t="s">
        <v>520</v>
      </c>
      <c r="F16" t="s">
        <v>495</v>
      </c>
      <c r="G16">
        <v>89.92</v>
      </c>
      <c r="H16">
        <v>112.562</v>
      </c>
      <c r="I16">
        <f t="shared" si="0"/>
        <v>22.641999999999996</v>
      </c>
      <c r="J16">
        <f t="shared" si="1"/>
        <v>2.2030665999999997</v>
      </c>
      <c r="K16">
        <f t="shared" si="2"/>
        <v>44.061331999999993</v>
      </c>
      <c r="L16">
        <v>82.22</v>
      </c>
      <c r="M16">
        <v>1505</v>
      </c>
      <c r="N16">
        <v>2321</v>
      </c>
      <c r="O16">
        <v>118.01</v>
      </c>
      <c r="P16">
        <f t="shared" si="3"/>
        <v>35.790000000000006</v>
      </c>
      <c r="S16">
        <v>12</v>
      </c>
      <c r="T16">
        <v>5</v>
      </c>
      <c r="U16">
        <f>T16/S16</f>
        <v>0.41666666666666669</v>
      </c>
    </row>
    <row r="17" spans="1:21" x14ac:dyDescent="0.55000000000000004">
      <c r="A17">
        <v>11</v>
      </c>
      <c r="C17" t="s">
        <v>524</v>
      </c>
      <c r="D17" t="s">
        <v>531</v>
      </c>
      <c r="E17" t="s">
        <v>520</v>
      </c>
      <c r="F17" t="s">
        <v>495</v>
      </c>
      <c r="G17">
        <v>87.584999999999994</v>
      </c>
      <c r="H17">
        <v>103.634</v>
      </c>
      <c r="I17">
        <f t="shared" si="0"/>
        <v>16.049000000000007</v>
      </c>
      <c r="J17">
        <f t="shared" si="1"/>
        <v>1.5615677000000006</v>
      </c>
      <c r="K17">
        <f t="shared" si="2"/>
        <v>31.23135400000001</v>
      </c>
      <c r="L17">
        <v>82.22</v>
      </c>
      <c r="M17">
        <v>2199</v>
      </c>
      <c r="N17">
        <v>3233</v>
      </c>
      <c r="O17">
        <v>164.39</v>
      </c>
      <c r="P17">
        <f t="shared" si="3"/>
        <v>82.169999999999987</v>
      </c>
      <c r="Q17" t="s">
        <v>534</v>
      </c>
      <c r="S17" s="33"/>
      <c r="T17" s="33"/>
    </row>
    <row r="18" spans="1:21" x14ac:dyDescent="0.55000000000000004">
      <c r="A18">
        <v>12</v>
      </c>
      <c r="C18" t="s">
        <v>524</v>
      </c>
      <c r="D18" t="s">
        <v>533</v>
      </c>
      <c r="E18" t="s">
        <v>520</v>
      </c>
      <c r="F18" t="s">
        <v>495</v>
      </c>
      <c r="G18">
        <v>87.584999999999994</v>
      </c>
      <c r="H18">
        <v>112.26</v>
      </c>
      <c r="I18">
        <f t="shared" si="0"/>
        <v>24.675000000000011</v>
      </c>
      <c r="J18">
        <f t="shared" si="1"/>
        <v>2.4008775000000009</v>
      </c>
      <c r="K18">
        <f t="shared" si="2"/>
        <v>48.017550000000014</v>
      </c>
      <c r="L18">
        <v>82.22</v>
      </c>
      <c r="M18">
        <v>2199</v>
      </c>
      <c r="N18">
        <v>3777</v>
      </c>
      <c r="O18">
        <v>192.05</v>
      </c>
      <c r="P18">
        <f t="shared" si="3"/>
        <v>109.83000000000001</v>
      </c>
      <c r="S18" s="33"/>
      <c r="T18" s="33"/>
    </row>
    <row r="19" spans="1:21" x14ac:dyDescent="0.55000000000000004">
      <c r="A19">
        <v>13</v>
      </c>
      <c r="C19" t="s">
        <v>524</v>
      </c>
      <c r="D19" t="s">
        <v>533</v>
      </c>
      <c r="E19" t="s">
        <v>520</v>
      </c>
      <c r="F19" t="s">
        <v>495</v>
      </c>
      <c r="G19">
        <v>86.802999999999997</v>
      </c>
      <c r="H19">
        <v>92.206999999999994</v>
      </c>
      <c r="I19">
        <f t="shared" si="0"/>
        <v>5.4039999999999964</v>
      </c>
      <c r="J19">
        <f t="shared" si="1"/>
        <v>0.52580919999999964</v>
      </c>
      <c r="K19">
        <f t="shared" si="2"/>
        <v>10.516183999999992</v>
      </c>
      <c r="L19">
        <v>82.22</v>
      </c>
      <c r="M19">
        <v>3842</v>
      </c>
      <c r="N19">
        <v>4569</v>
      </c>
      <c r="O19">
        <v>232.32</v>
      </c>
      <c r="P19">
        <f t="shared" si="3"/>
        <v>150.1</v>
      </c>
      <c r="Q19" t="s">
        <v>535</v>
      </c>
      <c r="S19" s="33"/>
      <c r="T19" s="33"/>
    </row>
    <row r="20" spans="1:21" x14ac:dyDescent="0.55000000000000004">
      <c r="A20">
        <v>14</v>
      </c>
      <c r="B20">
        <v>11</v>
      </c>
      <c r="C20" t="s">
        <v>524</v>
      </c>
      <c r="D20" t="s">
        <v>536</v>
      </c>
      <c r="E20" t="s">
        <v>521</v>
      </c>
      <c r="F20" t="s">
        <v>495</v>
      </c>
      <c r="G20">
        <v>83.209000000000003</v>
      </c>
      <c r="H20">
        <v>110.349</v>
      </c>
      <c r="I20">
        <f t="shared" si="0"/>
        <v>27.14</v>
      </c>
      <c r="J20">
        <f t="shared" si="1"/>
        <v>2.6407219999999998</v>
      </c>
      <c r="K20">
        <f t="shared" si="2"/>
        <v>52.814439999999998</v>
      </c>
      <c r="L20">
        <v>41.28</v>
      </c>
      <c r="M20">
        <v>1130</v>
      </c>
      <c r="N20">
        <v>1330</v>
      </c>
      <c r="O20">
        <v>66.47</v>
      </c>
      <c r="P20">
        <f t="shared" si="3"/>
        <v>25.189999999999998</v>
      </c>
      <c r="Q20" t="s">
        <v>508</v>
      </c>
      <c r="S20">
        <v>10</v>
      </c>
      <c r="T20">
        <v>7</v>
      </c>
      <c r="U20">
        <f>T20/S20</f>
        <v>0.7</v>
      </c>
    </row>
    <row r="21" spans="1:21" x14ac:dyDescent="0.55000000000000004">
      <c r="A21">
        <v>15</v>
      </c>
      <c r="C21" t="s">
        <v>524</v>
      </c>
      <c r="D21" t="s">
        <v>537</v>
      </c>
      <c r="E21" t="s">
        <v>521</v>
      </c>
      <c r="F21" t="s">
        <v>495</v>
      </c>
      <c r="G21">
        <v>88.325000000000003</v>
      </c>
      <c r="H21">
        <v>112.26600000000001</v>
      </c>
      <c r="I21">
        <f t="shared" si="0"/>
        <v>23.941000000000003</v>
      </c>
      <c r="J21">
        <f t="shared" si="1"/>
        <v>2.3294593000000003</v>
      </c>
      <c r="K21">
        <f t="shared" si="2"/>
        <v>46.589186000000005</v>
      </c>
      <c r="L21">
        <v>41.28</v>
      </c>
      <c r="M21">
        <v>1372</v>
      </c>
      <c r="N21">
        <v>1769</v>
      </c>
      <c r="O21">
        <v>88.41</v>
      </c>
      <c r="P21">
        <f t="shared" ref="P21:P29" si="4">O21-L21</f>
        <v>47.129999999999995</v>
      </c>
      <c r="Q21" t="s">
        <v>508</v>
      </c>
      <c r="S21" s="33"/>
      <c r="T21" s="33"/>
    </row>
    <row r="22" spans="1:21" x14ac:dyDescent="0.55000000000000004">
      <c r="A22">
        <v>16</v>
      </c>
      <c r="C22" t="s">
        <v>524</v>
      </c>
      <c r="D22" t="s">
        <v>538</v>
      </c>
      <c r="E22" t="s">
        <v>521</v>
      </c>
      <c r="F22" t="s">
        <v>495</v>
      </c>
      <c r="G22">
        <v>88.325000000000003</v>
      </c>
      <c r="H22">
        <v>109.377</v>
      </c>
      <c r="I22">
        <f t="shared" si="0"/>
        <v>21.051999999999992</v>
      </c>
      <c r="J22">
        <f t="shared" si="1"/>
        <v>2.0483595999999991</v>
      </c>
      <c r="K22">
        <f t="shared" si="2"/>
        <v>40.967191999999983</v>
      </c>
      <c r="L22">
        <v>41.28</v>
      </c>
      <c r="M22">
        <v>1372</v>
      </c>
      <c r="N22">
        <v>3051</v>
      </c>
      <c r="O22">
        <v>152.49</v>
      </c>
      <c r="P22">
        <f t="shared" si="4"/>
        <v>111.21000000000001</v>
      </c>
      <c r="Q22" t="s">
        <v>539</v>
      </c>
      <c r="S22" s="33"/>
      <c r="T22" s="33"/>
    </row>
    <row r="23" spans="1:21" x14ac:dyDescent="0.55000000000000004">
      <c r="A23">
        <v>17</v>
      </c>
      <c r="C23" t="s">
        <v>524</v>
      </c>
      <c r="D23" t="s">
        <v>541</v>
      </c>
      <c r="E23" t="s">
        <v>521</v>
      </c>
      <c r="F23" t="s">
        <v>495</v>
      </c>
      <c r="G23">
        <v>88.325000000000003</v>
      </c>
      <c r="H23">
        <v>109.649</v>
      </c>
      <c r="I23">
        <f t="shared" si="0"/>
        <v>21.323999999999998</v>
      </c>
      <c r="J23">
        <f t="shared" si="1"/>
        <v>2.0748251999999998</v>
      </c>
      <c r="K23">
        <f t="shared" si="2"/>
        <v>41.496503999999995</v>
      </c>
      <c r="L23">
        <v>41.28</v>
      </c>
      <c r="M23">
        <v>1372</v>
      </c>
      <c r="N23">
        <v>3474</v>
      </c>
      <c r="O23">
        <v>173.63</v>
      </c>
      <c r="P23">
        <f t="shared" si="4"/>
        <v>132.35</v>
      </c>
      <c r="Q23" t="s">
        <v>540</v>
      </c>
      <c r="S23" s="33"/>
      <c r="T23" s="33"/>
    </row>
    <row r="24" spans="1:21" x14ac:dyDescent="0.55000000000000004">
      <c r="A24">
        <v>18</v>
      </c>
      <c r="C24" t="s">
        <v>524</v>
      </c>
      <c r="D24" t="s">
        <v>542</v>
      </c>
      <c r="E24" t="s">
        <v>521</v>
      </c>
      <c r="F24" t="s">
        <v>495</v>
      </c>
      <c r="G24">
        <v>88.325000000000003</v>
      </c>
      <c r="H24">
        <v>102.998</v>
      </c>
      <c r="I24">
        <f t="shared" si="0"/>
        <v>14.673000000000002</v>
      </c>
      <c r="J24">
        <f t="shared" si="1"/>
        <v>1.4276829000000002</v>
      </c>
      <c r="K24">
        <f t="shared" si="2"/>
        <v>28.553658000000006</v>
      </c>
      <c r="L24">
        <v>41.28</v>
      </c>
      <c r="M24">
        <v>1372</v>
      </c>
      <c r="N24">
        <v>3751</v>
      </c>
      <c r="O24">
        <v>187.48</v>
      </c>
      <c r="P24">
        <f t="shared" si="4"/>
        <v>146.19999999999999</v>
      </c>
      <c r="Q24" t="s">
        <v>543</v>
      </c>
      <c r="S24" s="33"/>
      <c r="T24" s="33"/>
    </row>
    <row r="25" spans="1:21" x14ac:dyDescent="0.55000000000000004">
      <c r="A25">
        <v>19</v>
      </c>
      <c r="C25" t="s">
        <v>524</v>
      </c>
      <c r="D25" t="s">
        <v>545</v>
      </c>
      <c r="E25" t="s">
        <v>521</v>
      </c>
      <c r="F25" t="s">
        <v>495</v>
      </c>
      <c r="G25">
        <v>83.872</v>
      </c>
      <c r="H25">
        <v>104.53400000000001</v>
      </c>
      <c r="I25">
        <f t="shared" si="0"/>
        <v>20.662000000000006</v>
      </c>
      <c r="J25">
        <f t="shared" si="1"/>
        <v>2.0104126000000004</v>
      </c>
      <c r="K25">
        <f t="shared" si="2"/>
        <v>40.208252000000009</v>
      </c>
      <c r="L25">
        <v>41.28</v>
      </c>
      <c r="M25">
        <v>2840</v>
      </c>
      <c r="N25">
        <v>4002</v>
      </c>
      <c r="O25">
        <v>200.02</v>
      </c>
      <c r="P25">
        <f t="shared" si="4"/>
        <v>158.74</v>
      </c>
      <c r="Q25" t="s">
        <v>544</v>
      </c>
      <c r="S25" s="33"/>
      <c r="T25" s="33"/>
    </row>
    <row r="26" spans="1:21" x14ac:dyDescent="0.55000000000000004">
      <c r="A26">
        <v>20</v>
      </c>
      <c r="C26" t="s">
        <v>524</v>
      </c>
      <c r="D26" t="s">
        <v>546</v>
      </c>
      <c r="E26" t="s">
        <v>521</v>
      </c>
      <c r="F26" t="s">
        <v>495</v>
      </c>
      <c r="G26">
        <v>82.242999999999995</v>
      </c>
      <c r="H26">
        <v>98.775999999999996</v>
      </c>
      <c r="I26">
        <f t="shared" si="0"/>
        <v>16.533000000000001</v>
      </c>
      <c r="J26">
        <f t="shared" si="1"/>
        <v>1.6086609000000001</v>
      </c>
      <c r="K26">
        <f t="shared" si="2"/>
        <v>32.173217999999999</v>
      </c>
      <c r="L26">
        <v>41.28</v>
      </c>
      <c r="M26">
        <v>4084</v>
      </c>
      <c r="N26">
        <v>4613</v>
      </c>
      <c r="O26">
        <v>230.56</v>
      </c>
      <c r="P26">
        <f t="shared" si="4"/>
        <v>189.28</v>
      </c>
      <c r="Q26" t="s">
        <v>547</v>
      </c>
      <c r="S26" s="33"/>
      <c r="T26" s="33"/>
    </row>
    <row r="27" spans="1:21" x14ac:dyDescent="0.55000000000000004">
      <c r="A27">
        <v>21</v>
      </c>
      <c r="B27">
        <v>12</v>
      </c>
      <c r="C27" s="6" t="s">
        <v>524</v>
      </c>
      <c r="D27" s="6" t="s">
        <v>516</v>
      </c>
      <c r="E27" s="6" t="s">
        <v>522</v>
      </c>
      <c r="F27" s="6" t="s">
        <v>495</v>
      </c>
      <c r="G27" s="6">
        <v>84.915000000000006</v>
      </c>
      <c r="H27" s="6">
        <v>95.754999999999995</v>
      </c>
      <c r="I27" s="6">
        <f t="shared" si="0"/>
        <v>10.839999999999989</v>
      </c>
      <c r="J27" s="6">
        <f t="shared" si="1"/>
        <v>1.0547319999999989</v>
      </c>
      <c r="K27" s="6">
        <f t="shared" si="2"/>
        <v>21.094639999999977</v>
      </c>
      <c r="L27" s="6">
        <v>73.97</v>
      </c>
      <c r="M27" s="6">
        <v>2101</v>
      </c>
      <c r="N27" s="6">
        <v>2883</v>
      </c>
      <c r="O27" s="6">
        <v>145.47999999999999</v>
      </c>
      <c r="P27" s="6">
        <f t="shared" si="4"/>
        <v>71.509999999999991</v>
      </c>
      <c r="Q27" t="s">
        <v>548</v>
      </c>
      <c r="S27">
        <v>4</v>
      </c>
      <c r="T27">
        <v>3</v>
      </c>
      <c r="U27">
        <f>T27/S27</f>
        <v>0.75</v>
      </c>
    </row>
    <row r="28" spans="1:21" x14ac:dyDescent="0.55000000000000004">
      <c r="A28">
        <v>22</v>
      </c>
      <c r="C28" t="s">
        <v>524</v>
      </c>
      <c r="D28" t="s">
        <v>516</v>
      </c>
      <c r="E28" t="s">
        <v>522</v>
      </c>
      <c r="F28" t="s">
        <v>495</v>
      </c>
      <c r="G28">
        <v>84.915000000000006</v>
      </c>
      <c r="H28">
        <v>97.534999999999997</v>
      </c>
      <c r="I28">
        <f t="shared" si="0"/>
        <v>12.61999999999999</v>
      </c>
      <c r="J28">
        <f t="shared" si="1"/>
        <v>1.227925999999999</v>
      </c>
      <c r="K28">
        <f t="shared" si="2"/>
        <v>24.55851999999998</v>
      </c>
      <c r="L28">
        <v>73.97</v>
      </c>
      <c r="M28">
        <v>2101</v>
      </c>
      <c r="N28">
        <v>3147</v>
      </c>
      <c r="O28">
        <v>158.80000000000001</v>
      </c>
      <c r="P28">
        <f t="shared" si="4"/>
        <v>84.830000000000013</v>
      </c>
      <c r="Q28" t="s">
        <v>549</v>
      </c>
    </row>
    <row r="29" spans="1:21" x14ac:dyDescent="0.55000000000000004">
      <c r="A29">
        <v>23</v>
      </c>
      <c r="C29" t="s">
        <v>524</v>
      </c>
      <c r="D29" t="s">
        <v>516</v>
      </c>
      <c r="E29" t="s">
        <v>522</v>
      </c>
      <c r="F29" t="s">
        <v>495</v>
      </c>
      <c r="G29">
        <v>92.102000000000004</v>
      </c>
      <c r="H29">
        <v>98.766000000000005</v>
      </c>
      <c r="I29">
        <f t="shared" si="0"/>
        <v>6.6640000000000015</v>
      </c>
      <c r="J29">
        <f t="shared" si="1"/>
        <v>0.64840720000000007</v>
      </c>
      <c r="K29">
        <f t="shared" si="2"/>
        <v>12.968144000000002</v>
      </c>
      <c r="L29">
        <v>73.97</v>
      </c>
      <c r="M29">
        <v>3106</v>
      </c>
      <c r="N29">
        <v>4940</v>
      </c>
      <c r="O29">
        <v>249.27</v>
      </c>
      <c r="P29">
        <f t="shared" si="4"/>
        <v>175.3</v>
      </c>
    </row>
    <row r="30" spans="1:21" x14ac:dyDescent="0.55000000000000004">
      <c r="B30">
        <v>13</v>
      </c>
      <c r="C30" t="s">
        <v>524</v>
      </c>
      <c r="D30" t="s">
        <v>517</v>
      </c>
      <c r="E30" t="s">
        <v>523</v>
      </c>
      <c r="F30" t="s">
        <v>495</v>
      </c>
      <c r="G30" t="s">
        <v>325</v>
      </c>
      <c r="L30">
        <v>24.24</v>
      </c>
      <c r="P30">
        <f t="shared" si="3"/>
        <v>-24.24</v>
      </c>
      <c r="S30">
        <v>10</v>
      </c>
      <c r="T30">
        <v>1</v>
      </c>
      <c r="U30">
        <f>T30/S30</f>
        <v>0.1</v>
      </c>
    </row>
    <row r="32" spans="1:21" x14ac:dyDescent="0.55000000000000004">
      <c r="K32">
        <f>(SUM(K4:K5,K7:K9,K11:K12,K14:K29))/(COUNT(K4:K5,K7:K9,K11:K12,K14:K29))</f>
        <v>35.924767565217394</v>
      </c>
      <c r="R32" t="s">
        <v>510</v>
      </c>
      <c r="S32">
        <f>SUM(S2:S30)</f>
        <v>92</v>
      </c>
      <c r="T32">
        <f>SUM(T2:T30)</f>
        <v>25</v>
      </c>
    </row>
    <row r="33" spans="18:21" x14ac:dyDescent="0.55000000000000004">
      <c r="R33" t="s">
        <v>511</v>
      </c>
      <c r="S33">
        <f>(T32/S32)*100</f>
        <v>27.173913043478258</v>
      </c>
    </row>
    <row r="35" spans="18:21" x14ac:dyDescent="0.55000000000000004">
      <c r="U35">
        <f>(SUM(U2:U4,U6:U7,U11:U14,U16,U20,U27,U30))/(COUNT(U2:U4,U6:U7,U11:U14,U16,U20,U27,U30))*100</f>
        <v>30.463980463980462</v>
      </c>
    </row>
    <row r="36" spans="18:21" x14ac:dyDescent="0.55000000000000004">
      <c r="U36" s="51">
        <f>(STDEV(U2:U4,U6:U7,U11:U14,U16,U20,U27,U30)/SQRT(COUNT(U2:U4,U6:U7,U11:U14,U16,U20,U27,U30)))*100</f>
        <v>9.2094750622654686</v>
      </c>
    </row>
  </sheetData>
  <pageMargins left="0.7" right="0.7" top="0.75" bottom="0.75" header="0.3" footer="0.3"/>
  <pageSetup paperSize="9"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S32"/>
  <sheetViews>
    <sheetView zoomScale="85" zoomScaleNormal="85" workbookViewId="0">
      <selection activeCell="C30" sqref="C30"/>
    </sheetView>
  </sheetViews>
  <sheetFormatPr defaultRowHeight="14.4" x14ac:dyDescent="0.55000000000000004"/>
  <cols>
    <col min="2" max="2" width="10.41796875" customWidth="1"/>
    <col min="3" max="3" width="11.68359375" customWidth="1"/>
    <col min="5" max="5" width="11.5234375" customWidth="1"/>
  </cols>
  <sheetData>
    <row r="1" spans="1:19" ht="43.2" x14ac:dyDescent="0.55000000000000004">
      <c r="B1" t="s">
        <v>90</v>
      </c>
      <c r="C1" s="1" t="s">
        <v>0</v>
      </c>
      <c r="D1" s="1" t="s">
        <v>1</v>
      </c>
      <c r="E1" s="1" t="s">
        <v>88</v>
      </c>
      <c r="F1" s="1" t="s">
        <v>2</v>
      </c>
      <c r="G1" s="1" t="s">
        <v>3</v>
      </c>
      <c r="H1" s="1" t="s">
        <v>11</v>
      </c>
      <c r="I1" s="1" t="s">
        <v>12</v>
      </c>
      <c r="J1" s="2" t="s">
        <v>4</v>
      </c>
      <c r="K1" s="1" t="s">
        <v>19</v>
      </c>
      <c r="L1" s="1" t="s">
        <v>10</v>
      </c>
      <c r="M1" s="1" t="s">
        <v>8</v>
      </c>
      <c r="N1" s="1" t="s">
        <v>9</v>
      </c>
      <c r="O1" s="1" t="s">
        <v>123</v>
      </c>
      <c r="P1" s="1" t="s">
        <v>5</v>
      </c>
      <c r="Q1" s="1" t="s">
        <v>55</v>
      </c>
      <c r="R1" s="1" t="s">
        <v>355</v>
      </c>
      <c r="S1" s="1" t="s">
        <v>327</v>
      </c>
    </row>
    <row r="2" spans="1:19" x14ac:dyDescent="0.55000000000000004">
      <c r="A2">
        <v>1</v>
      </c>
      <c r="B2" t="s">
        <v>464</v>
      </c>
      <c r="C2" t="s">
        <v>474</v>
      </c>
      <c r="D2" t="s">
        <v>465</v>
      </c>
      <c r="E2" t="s">
        <v>466</v>
      </c>
      <c r="F2">
        <v>84.308000000000007</v>
      </c>
      <c r="G2">
        <v>96.656999999999996</v>
      </c>
      <c r="H2">
        <f>G2-F2</f>
        <v>12.34899999999999</v>
      </c>
      <c r="I2">
        <f>H2*0.0973</f>
        <v>1.2015576999999991</v>
      </c>
      <c r="J2" s="3">
        <f>I2*20</f>
        <v>24.031153999999979</v>
      </c>
      <c r="K2">
        <v>38.26</v>
      </c>
      <c r="L2">
        <v>1787</v>
      </c>
      <c r="M2">
        <v>3043</v>
      </c>
      <c r="N2">
        <v>151.21</v>
      </c>
      <c r="O2">
        <f>N2-K2</f>
        <v>112.95000000000002</v>
      </c>
      <c r="P2" t="s">
        <v>477</v>
      </c>
      <c r="R2">
        <v>5</v>
      </c>
      <c r="S2">
        <v>2</v>
      </c>
    </row>
    <row r="3" spans="1:19" x14ac:dyDescent="0.55000000000000004">
      <c r="B3" t="s">
        <v>464</v>
      </c>
      <c r="C3" s="31" t="s">
        <v>473</v>
      </c>
      <c r="D3" s="31" t="s">
        <v>468</v>
      </c>
      <c r="E3" s="31" t="s">
        <v>466</v>
      </c>
      <c r="F3" s="31">
        <v>85.010999999999996</v>
      </c>
      <c r="G3" s="31">
        <v>99.727999999999994</v>
      </c>
      <c r="H3" s="31">
        <f t="shared" ref="H3:H18" si="0">G3-F3</f>
        <v>14.716999999999999</v>
      </c>
      <c r="I3" s="31">
        <f t="shared" ref="I3:I18" si="1">H3*0.0973</f>
        <v>1.4319640999999999</v>
      </c>
      <c r="J3" s="32">
        <f t="shared" ref="J3:J18" si="2">I3*20</f>
        <v>28.639281999999998</v>
      </c>
      <c r="K3" s="31">
        <v>38.26</v>
      </c>
      <c r="L3" s="31">
        <v>957</v>
      </c>
      <c r="M3" s="31">
        <v>3043</v>
      </c>
      <c r="N3" s="31">
        <v>151.21</v>
      </c>
      <c r="O3" s="31">
        <f>N3-K3</f>
        <v>112.95000000000002</v>
      </c>
      <c r="P3" s="31" t="s">
        <v>477</v>
      </c>
      <c r="Q3" s="31"/>
      <c r="R3" s="33"/>
      <c r="S3" s="33"/>
    </row>
    <row r="4" spans="1:19" x14ac:dyDescent="0.55000000000000004">
      <c r="A4">
        <v>2</v>
      </c>
      <c r="B4" t="s">
        <v>464</v>
      </c>
      <c r="C4" t="s">
        <v>472</v>
      </c>
      <c r="D4" t="s">
        <v>468</v>
      </c>
      <c r="E4" t="s">
        <v>466</v>
      </c>
      <c r="F4">
        <v>89.334000000000003</v>
      </c>
      <c r="G4">
        <v>90.841999999999999</v>
      </c>
      <c r="H4">
        <f t="shared" si="0"/>
        <v>1.5079999999999956</v>
      </c>
      <c r="I4">
        <f t="shared" si="1"/>
        <v>0.14672839999999956</v>
      </c>
      <c r="J4" s="3">
        <f t="shared" si="2"/>
        <v>2.9345679999999912</v>
      </c>
      <c r="K4">
        <v>72.849999999999994</v>
      </c>
      <c r="L4">
        <v>3783</v>
      </c>
      <c r="M4">
        <v>4192</v>
      </c>
      <c r="N4">
        <v>208.3</v>
      </c>
      <c r="O4">
        <f t="shared" ref="O4:O17" si="3">N4-K4</f>
        <v>135.45000000000002</v>
      </c>
      <c r="R4">
        <v>4</v>
      </c>
      <c r="S4">
        <v>3</v>
      </c>
    </row>
    <row r="5" spans="1:19" x14ac:dyDescent="0.55000000000000004">
      <c r="A5">
        <v>3</v>
      </c>
      <c r="B5" t="s">
        <v>464</v>
      </c>
      <c r="C5" t="s">
        <v>476</v>
      </c>
      <c r="D5" t="s">
        <v>468</v>
      </c>
      <c r="E5" t="s">
        <v>466</v>
      </c>
      <c r="F5">
        <v>68.834999999999994</v>
      </c>
      <c r="G5">
        <v>83.07</v>
      </c>
      <c r="H5">
        <f t="shared" si="0"/>
        <v>14.234999999999999</v>
      </c>
      <c r="I5">
        <f t="shared" si="1"/>
        <v>1.3850654999999998</v>
      </c>
      <c r="J5" s="3">
        <f t="shared" si="2"/>
        <v>27.701309999999996</v>
      </c>
      <c r="K5">
        <v>72.849999999999994</v>
      </c>
      <c r="L5">
        <v>4574</v>
      </c>
      <c r="M5">
        <v>4848</v>
      </c>
      <c r="N5">
        <v>240.9</v>
      </c>
      <c r="O5">
        <f>N5-K5</f>
        <v>168.05</v>
      </c>
      <c r="R5" s="33"/>
      <c r="S5" s="33"/>
    </row>
    <row r="6" spans="1:19" x14ac:dyDescent="0.55000000000000004">
      <c r="A6">
        <v>4</v>
      </c>
      <c r="B6" t="s">
        <v>464</v>
      </c>
      <c r="C6" t="s">
        <v>478</v>
      </c>
      <c r="D6" t="s">
        <v>468</v>
      </c>
      <c r="E6" t="s">
        <v>466</v>
      </c>
      <c r="F6">
        <v>87.475999999999999</v>
      </c>
      <c r="G6">
        <v>96.12</v>
      </c>
      <c r="H6">
        <f t="shared" si="0"/>
        <v>8.6440000000000055</v>
      </c>
      <c r="I6">
        <f t="shared" si="1"/>
        <v>0.84106120000000051</v>
      </c>
      <c r="J6" s="3">
        <f t="shared" si="2"/>
        <v>16.821224000000012</v>
      </c>
      <c r="K6">
        <v>77.790000000000006</v>
      </c>
      <c r="L6">
        <v>2004</v>
      </c>
      <c r="M6">
        <v>2286</v>
      </c>
      <c r="N6">
        <v>112.27</v>
      </c>
      <c r="O6">
        <f>N6-K6</f>
        <v>34.47999999999999</v>
      </c>
      <c r="P6" t="s">
        <v>480</v>
      </c>
      <c r="R6">
        <v>4</v>
      </c>
      <c r="S6">
        <v>2</v>
      </c>
    </row>
    <row r="7" spans="1:19" x14ac:dyDescent="0.55000000000000004">
      <c r="A7">
        <v>5</v>
      </c>
      <c r="B7" t="s">
        <v>464</v>
      </c>
      <c r="C7" t="s">
        <v>479</v>
      </c>
      <c r="D7" t="s">
        <v>468</v>
      </c>
      <c r="E7" t="s">
        <v>466</v>
      </c>
      <c r="F7">
        <v>87.475999999999999</v>
      </c>
      <c r="G7">
        <v>99.516000000000005</v>
      </c>
      <c r="H7">
        <f>G7-F7</f>
        <v>12.040000000000006</v>
      </c>
      <c r="I7">
        <f t="shared" si="1"/>
        <v>1.1714920000000006</v>
      </c>
      <c r="J7" s="3">
        <f t="shared" si="2"/>
        <v>23.429840000000013</v>
      </c>
      <c r="K7">
        <v>77.790000000000006</v>
      </c>
      <c r="L7">
        <v>2004</v>
      </c>
      <c r="M7">
        <v>3303</v>
      </c>
      <c r="N7">
        <v>162.22</v>
      </c>
      <c r="O7">
        <f>N7-K7</f>
        <v>84.429999999999993</v>
      </c>
      <c r="P7" t="s">
        <v>480</v>
      </c>
      <c r="R7" s="33"/>
      <c r="S7" s="33"/>
    </row>
    <row r="8" spans="1:19" x14ac:dyDescent="0.55000000000000004">
      <c r="A8">
        <v>6</v>
      </c>
      <c r="B8" t="s">
        <v>464</v>
      </c>
      <c r="C8" t="s">
        <v>481</v>
      </c>
      <c r="D8" t="s">
        <v>469</v>
      </c>
      <c r="E8" t="s">
        <v>466</v>
      </c>
      <c r="F8">
        <v>79.512</v>
      </c>
      <c r="G8">
        <v>99.596000000000004</v>
      </c>
      <c r="H8">
        <f t="shared" si="0"/>
        <v>20.084000000000003</v>
      </c>
      <c r="I8">
        <f t="shared" si="1"/>
        <v>1.9541732000000003</v>
      </c>
      <c r="J8" s="3">
        <f t="shared" si="2"/>
        <v>39.083464000000006</v>
      </c>
      <c r="K8">
        <v>17.91</v>
      </c>
      <c r="L8">
        <v>610</v>
      </c>
      <c r="M8">
        <v>1594</v>
      </c>
      <c r="N8">
        <v>79.510000000000005</v>
      </c>
      <c r="O8">
        <f t="shared" si="3"/>
        <v>61.600000000000009</v>
      </c>
      <c r="P8" t="s">
        <v>113</v>
      </c>
      <c r="R8">
        <v>4</v>
      </c>
      <c r="S8">
        <v>1</v>
      </c>
    </row>
    <row r="9" spans="1:19" x14ac:dyDescent="0.55000000000000004">
      <c r="B9" s="31" t="s">
        <v>464</v>
      </c>
      <c r="C9" s="31" t="s">
        <v>482</v>
      </c>
      <c r="D9" s="31" t="s">
        <v>469</v>
      </c>
      <c r="E9" s="31" t="s">
        <v>466</v>
      </c>
      <c r="F9" s="31">
        <v>79.353999999999999</v>
      </c>
      <c r="G9" s="31">
        <v>99.661000000000001</v>
      </c>
      <c r="H9" s="31">
        <f t="shared" si="0"/>
        <v>20.307000000000002</v>
      </c>
      <c r="I9" s="31">
        <f t="shared" si="1"/>
        <v>1.9758711000000002</v>
      </c>
      <c r="J9" s="32">
        <f t="shared" si="2"/>
        <v>39.517422000000003</v>
      </c>
      <c r="K9" s="31">
        <v>17.91</v>
      </c>
      <c r="L9" s="31">
        <v>493</v>
      </c>
      <c r="M9" s="31">
        <v>1594</v>
      </c>
      <c r="N9" s="31">
        <v>79.510000000000005</v>
      </c>
      <c r="O9" s="31">
        <f t="shared" si="3"/>
        <v>61.600000000000009</v>
      </c>
      <c r="P9" s="31" t="s">
        <v>113</v>
      </c>
      <c r="R9" s="33"/>
      <c r="S9" s="33"/>
    </row>
    <row r="10" spans="1:19" x14ac:dyDescent="0.55000000000000004">
      <c r="A10">
        <v>7</v>
      </c>
      <c r="B10" t="s">
        <v>464</v>
      </c>
      <c r="C10" t="s">
        <v>489</v>
      </c>
      <c r="D10" t="s">
        <v>470</v>
      </c>
      <c r="E10" t="s">
        <v>466</v>
      </c>
      <c r="F10">
        <v>68.796999999999997</v>
      </c>
      <c r="G10">
        <v>92.667000000000002</v>
      </c>
      <c r="H10">
        <f t="shared" si="0"/>
        <v>23.870000000000005</v>
      </c>
      <c r="I10">
        <f t="shared" si="1"/>
        <v>2.3225510000000003</v>
      </c>
      <c r="J10" s="3">
        <f t="shared" si="2"/>
        <v>46.451020000000007</v>
      </c>
      <c r="K10">
        <v>81.77</v>
      </c>
      <c r="L10">
        <v>2172</v>
      </c>
      <c r="M10">
        <v>2612</v>
      </c>
      <c r="N10">
        <v>131.19999999999999</v>
      </c>
      <c r="O10">
        <f t="shared" si="3"/>
        <v>49.429999999999993</v>
      </c>
      <c r="R10">
        <v>13</v>
      </c>
      <c r="S10">
        <v>7</v>
      </c>
    </row>
    <row r="11" spans="1:19" x14ac:dyDescent="0.55000000000000004">
      <c r="B11" s="6" t="s">
        <v>464</v>
      </c>
      <c r="C11" s="6" t="s">
        <v>485</v>
      </c>
      <c r="D11" s="6" t="s">
        <v>470</v>
      </c>
      <c r="E11" s="6" t="s">
        <v>466</v>
      </c>
      <c r="F11" s="6"/>
      <c r="G11" s="6"/>
      <c r="H11" s="6">
        <f>G11-F11</f>
        <v>0</v>
      </c>
      <c r="I11" s="6">
        <f>H11*0.0973</f>
        <v>0</v>
      </c>
      <c r="J11" s="12">
        <f>I11*20</f>
        <v>0</v>
      </c>
      <c r="K11">
        <v>81.77</v>
      </c>
      <c r="L11" s="6"/>
      <c r="M11" s="6">
        <v>2932</v>
      </c>
      <c r="N11" s="6">
        <v>147.27000000000001</v>
      </c>
      <c r="O11" s="6">
        <f>N11-K11</f>
        <v>65.500000000000014</v>
      </c>
      <c r="P11" s="6" t="s">
        <v>484</v>
      </c>
      <c r="R11" s="33"/>
      <c r="S11" s="33"/>
    </row>
    <row r="12" spans="1:19" x14ac:dyDescent="0.55000000000000004">
      <c r="A12">
        <v>8</v>
      </c>
      <c r="B12" t="s">
        <v>464</v>
      </c>
      <c r="C12" t="s">
        <v>486</v>
      </c>
      <c r="D12" t="s">
        <v>470</v>
      </c>
      <c r="E12" t="s">
        <v>466</v>
      </c>
      <c r="F12">
        <v>74.203000000000003</v>
      </c>
      <c r="G12">
        <v>85.174999999999997</v>
      </c>
      <c r="H12">
        <f>G12-F12</f>
        <v>10.971999999999994</v>
      </c>
      <c r="I12">
        <f>H12*0.0973</f>
        <v>1.0675755999999994</v>
      </c>
      <c r="J12" s="3">
        <f>I12*20</f>
        <v>21.351511999999989</v>
      </c>
      <c r="K12">
        <v>81.77</v>
      </c>
      <c r="L12" s="7">
        <v>3100</v>
      </c>
      <c r="M12" s="7">
        <v>3542</v>
      </c>
      <c r="N12" s="7">
        <v>177.91</v>
      </c>
      <c r="O12" s="7">
        <f>N12-K12</f>
        <v>96.14</v>
      </c>
      <c r="P12" s="7" t="s">
        <v>488</v>
      </c>
      <c r="R12" s="33"/>
      <c r="S12" s="33"/>
    </row>
    <row r="13" spans="1:19" x14ac:dyDescent="0.55000000000000004">
      <c r="A13">
        <v>9</v>
      </c>
      <c r="B13" t="s">
        <v>464</v>
      </c>
      <c r="C13" t="s">
        <v>487</v>
      </c>
      <c r="D13" t="s">
        <v>470</v>
      </c>
      <c r="E13" t="s">
        <v>466</v>
      </c>
      <c r="F13">
        <v>74.203000000000003</v>
      </c>
      <c r="G13">
        <v>78.566999999999993</v>
      </c>
      <c r="H13">
        <f>G13-F13</f>
        <v>4.3639999999999901</v>
      </c>
      <c r="I13">
        <f>H13*0.0973</f>
        <v>0.42461719999999903</v>
      </c>
      <c r="J13" s="3">
        <f>I13*20</f>
        <v>8.4923439999999815</v>
      </c>
      <c r="K13">
        <v>81.77</v>
      </c>
      <c r="L13" s="7">
        <v>3100</v>
      </c>
      <c r="M13" s="7">
        <v>4094</v>
      </c>
      <c r="N13" s="7">
        <v>205.63</v>
      </c>
      <c r="O13" s="7">
        <f>N13-K13</f>
        <v>123.86</v>
      </c>
      <c r="P13" s="7" t="s">
        <v>446</v>
      </c>
      <c r="R13" s="33"/>
      <c r="S13" s="33"/>
    </row>
    <row r="14" spans="1:19" x14ac:dyDescent="0.55000000000000004">
      <c r="A14">
        <v>10</v>
      </c>
      <c r="B14" t="s">
        <v>464</v>
      </c>
      <c r="C14" t="s">
        <v>467</v>
      </c>
      <c r="D14" t="s">
        <v>471</v>
      </c>
      <c r="E14" t="s">
        <v>466</v>
      </c>
      <c r="F14">
        <v>83.352000000000004</v>
      </c>
      <c r="G14">
        <v>110.56699999999999</v>
      </c>
      <c r="H14">
        <f t="shared" si="0"/>
        <v>27.214999999999989</v>
      </c>
      <c r="I14">
        <f t="shared" si="1"/>
        <v>2.6480194999999989</v>
      </c>
      <c r="J14" s="3">
        <f t="shared" si="2"/>
        <v>52.960389999999975</v>
      </c>
      <c r="K14">
        <v>69.64</v>
      </c>
      <c r="L14">
        <v>1445</v>
      </c>
      <c r="M14" s="7">
        <v>2660</v>
      </c>
      <c r="N14" s="7">
        <v>131.84</v>
      </c>
      <c r="O14" s="7">
        <f>N14-K17</f>
        <v>131.84</v>
      </c>
      <c r="R14">
        <v>5</v>
      </c>
      <c r="S14">
        <v>1</v>
      </c>
    </row>
    <row r="15" spans="1:19" x14ac:dyDescent="0.55000000000000004">
      <c r="A15" s="6"/>
      <c r="B15" s="6"/>
      <c r="C15" s="6" t="s">
        <v>551</v>
      </c>
      <c r="D15" s="6"/>
      <c r="E15" s="6" t="s">
        <v>466</v>
      </c>
      <c r="F15" s="6">
        <v>84.114000000000004</v>
      </c>
      <c r="G15" s="6">
        <v>83.781000000000006</v>
      </c>
      <c r="H15" s="6">
        <f t="shared" si="0"/>
        <v>-0.33299999999999841</v>
      </c>
      <c r="I15" s="6">
        <f t="shared" si="1"/>
        <v>-3.2400899999999844E-2</v>
      </c>
      <c r="J15" s="12">
        <f t="shared" si="2"/>
        <v>-0.64801799999999687</v>
      </c>
      <c r="K15" s="6">
        <v>51.89</v>
      </c>
      <c r="L15" s="6">
        <v>1190</v>
      </c>
      <c r="M15" s="6">
        <v>2430</v>
      </c>
      <c r="N15" s="6">
        <v>118.05</v>
      </c>
      <c r="O15" s="6">
        <f t="shared" si="3"/>
        <v>66.16</v>
      </c>
      <c r="P15" s="6"/>
      <c r="Q15" s="6"/>
      <c r="R15">
        <v>12</v>
      </c>
      <c r="S15">
        <v>3</v>
      </c>
    </row>
    <row r="16" spans="1:19" x14ac:dyDescent="0.55000000000000004">
      <c r="A16">
        <v>11</v>
      </c>
      <c r="C16" t="s">
        <v>552</v>
      </c>
      <c r="E16" t="s">
        <v>466</v>
      </c>
      <c r="F16">
        <v>78.206000000000003</v>
      </c>
      <c r="G16">
        <v>89.272999999999996</v>
      </c>
      <c r="H16">
        <f t="shared" si="0"/>
        <v>11.066999999999993</v>
      </c>
      <c r="I16">
        <f t="shared" si="1"/>
        <v>1.0768190999999994</v>
      </c>
      <c r="J16" s="3">
        <f t="shared" si="2"/>
        <v>21.536381999999989</v>
      </c>
      <c r="K16">
        <v>108.67</v>
      </c>
      <c r="L16">
        <v>2249</v>
      </c>
      <c r="M16">
        <v>2955</v>
      </c>
      <c r="N16" s="7">
        <v>148.66999999999999</v>
      </c>
      <c r="O16">
        <f t="shared" si="3"/>
        <v>39.999999999999986</v>
      </c>
    </row>
    <row r="17" spans="2:19" x14ac:dyDescent="0.55000000000000004">
      <c r="C17" t="s">
        <v>553</v>
      </c>
      <c r="E17" t="s">
        <v>466</v>
      </c>
      <c r="H17">
        <f t="shared" si="0"/>
        <v>0</v>
      </c>
      <c r="I17">
        <f t="shared" si="1"/>
        <v>0</v>
      </c>
      <c r="J17" s="3">
        <f t="shared" si="2"/>
        <v>0</v>
      </c>
      <c r="O17">
        <f t="shared" si="3"/>
        <v>0</v>
      </c>
    </row>
    <row r="18" spans="2:19" x14ac:dyDescent="0.55000000000000004">
      <c r="C18" t="s">
        <v>554</v>
      </c>
      <c r="E18" t="s">
        <v>466</v>
      </c>
      <c r="H18">
        <f t="shared" si="0"/>
        <v>0</v>
      </c>
      <c r="I18">
        <f t="shared" si="1"/>
        <v>0</v>
      </c>
      <c r="J18" s="3">
        <f t="shared" si="2"/>
        <v>0</v>
      </c>
    </row>
    <row r="19" spans="2:19" x14ac:dyDescent="0.55000000000000004">
      <c r="C19" t="s">
        <v>555</v>
      </c>
      <c r="E19" t="s">
        <v>466</v>
      </c>
      <c r="J19" s="3"/>
    </row>
    <row r="20" spans="2:19" x14ac:dyDescent="0.55000000000000004">
      <c r="C20" t="s">
        <v>556</v>
      </c>
      <c r="E20" t="s">
        <v>466</v>
      </c>
    </row>
    <row r="21" spans="2:19" x14ac:dyDescent="0.55000000000000004">
      <c r="C21" t="s">
        <v>557</v>
      </c>
      <c r="E21" t="s">
        <v>466</v>
      </c>
    </row>
    <row r="26" spans="2:19" x14ac:dyDescent="0.55000000000000004">
      <c r="B26" t="s">
        <v>845</v>
      </c>
    </row>
    <row r="30" spans="2:19" x14ac:dyDescent="0.55000000000000004">
      <c r="I30" t="s">
        <v>483</v>
      </c>
      <c r="J30">
        <f>(SUM(J2,J4:J8,J10,J12:J14))/(COUNT(J2,J4:J8,J10,J12:J14))</f>
        <v>26.325682599999993</v>
      </c>
    </row>
    <row r="31" spans="2:19" x14ac:dyDescent="0.55000000000000004">
      <c r="P31" t="s">
        <v>475</v>
      </c>
      <c r="R31">
        <f>SUM(R2:R30)</f>
        <v>47</v>
      </c>
      <c r="S31">
        <f>SUM(S2:S30)</f>
        <v>19</v>
      </c>
    </row>
    <row r="32" spans="2:19" x14ac:dyDescent="0.55000000000000004">
      <c r="P32" t="s">
        <v>451</v>
      </c>
      <c r="R32">
        <f>(S31/R31)*100</f>
        <v>40.425531914893611</v>
      </c>
    </row>
  </sheetData>
  <pageMargins left="0.7" right="0.7" top="0.75" bottom="0.75" header="0.3" footer="0.3"/>
  <pageSetup paperSize="9" orientation="portrait" horizontalDpi="4294967293"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3"/>
  <dimension ref="A1:V26"/>
  <sheetViews>
    <sheetView zoomScale="85" zoomScaleNormal="85" workbookViewId="0">
      <selection activeCell="U4" sqref="U4:U8"/>
    </sheetView>
  </sheetViews>
  <sheetFormatPr defaultRowHeight="14.4" x14ac:dyDescent="0.55000000000000004"/>
  <cols>
    <col min="1" max="1" width="12.3125" customWidth="1"/>
    <col min="2" max="2" width="13.68359375" customWidth="1"/>
    <col min="18" max="18" width="11.68359375" customWidth="1"/>
    <col min="19" max="19" width="11.89453125" customWidth="1"/>
  </cols>
  <sheetData>
    <row r="1" spans="1:21" ht="43.2" x14ac:dyDescent="0.55000000000000004">
      <c r="A1" t="s">
        <v>90</v>
      </c>
      <c r="B1" s="1" t="s">
        <v>0</v>
      </c>
      <c r="C1" s="1" t="s">
        <v>1</v>
      </c>
      <c r="D1" s="1" t="s">
        <v>88</v>
      </c>
      <c r="E1" s="1" t="s">
        <v>91</v>
      </c>
      <c r="F1" s="1" t="s">
        <v>2</v>
      </c>
      <c r="G1" s="1" t="s">
        <v>3</v>
      </c>
      <c r="H1" s="1" t="s">
        <v>11</v>
      </c>
      <c r="I1" s="1" t="s">
        <v>12</v>
      </c>
      <c r="J1" s="2" t="s">
        <v>4</v>
      </c>
      <c r="K1" s="1" t="s">
        <v>19</v>
      </c>
      <c r="L1" s="1" t="s">
        <v>10</v>
      </c>
      <c r="M1" s="1" t="s">
        <v>8</v>
      </c>
      <c r="N1" s="1" t="s">
        <v>9</v>
      </c>
      <c r="O1" s="1" t="s">
        <v>123</v>
      </c>
      <c r="P1" s="1" t="s">
        <v>5</v>
      </c>
      <c r="Q1" s="1" t="s">
        <v>55</v>
      </c>
      <c r="R1" s="1" t="s">
        <v>348</v>
      </c>
      <c r="S1" s="1" t="s">
        <v>349</v>
      </c>
    </row>
    <row r="2" spans="1:21" x14ac:dyDescent="0.55000000000000004">
      <c r="A2" t="s">
        <v>94</v>
      </c>
      <c r="B2" t="s">
        <v>95</v>
      </c>
      <c r="C2" t="s">
        <v>97</v>
      </c>
      <c r="D2" t="s">
        <v>89</v>
      </c>
      <c r="E2">
        <v>100</v>
      </c>
      <c r="F2" t="s">
        <v>18</v>
      </c>
      <c r="J2" s="3"/>
      <c r="K2">
        <v>70.540000000000006</v>
      </c>
      <c r="R2">
        <v>6</v>
      </c>
      <c r="S2">
        <v>0</v>
      </c>
    </row>
    <row r="3" spans="1:21" x14ac:dyDescent="0.55000000000000004">
      <c r="A3" t="s">
        <v>94</v>
      </c>
      <c r="B3" t="s">
        <v>96</v>
      </c>
      <c r="C3" t="s">
        <v>98</v>
      </c>
      <c r="D3" t="s">
        <v>89</v>
      </c>
      <c r="E3">
        <v>100</v>
      </c>
      <c r="F3" t="s">
        <v>18</v>
      </c>
      <c r="K3">
        <v>71.989999999999995</v>
      </c>
      <c r="R3">
        <v>4</v>
      </c>
      <c r="S3">
        <v>0</v>
      </c>
    </row>
    <row r="4" spans="1:21" x14ac:dyDescent="0.55000000000000004">
      <c r="A4" s="3" t="s">
        <v>120</v>
      </c>
      <c r="B4" s="3" t="s">
        <v>121</v>
      </c>
      <c r="C4" s="3" t="s">
        <v>122</v>
      </c>
      <c r="D4" s="3" t="s">
        <v>89</v>
      </c>
      <c r="E4" s="3">
        <v>50</v>
      </c>
      <c r="F4" s="3">
        <v>83.918000000000006</v>
      </c>
      <c r="G4" s="3">
        <v>94.837000000000003</v>
      </c>
      <c r="H4" s="3">
        <f>G4-F4</f>
        <v>10.918999999999997</v>
      </c>
      <c r="I4" s="3">
        <f>H4*0.0973</f>
        <v>1.0624186999999996</v>
      </c>
      <c r="J4" s="3">
        <f>I4*20</f>
        <v>21.248373999999991</v>
      </c>
      <c r="K4" s="3">
        <v>43</v>
      </c>
      <c r="L4" s="3">
        <v>617</v>
      </c>
      <c r="M4" s="3">
        <v>1307</v>
      </c>
      <c r="N4" s="3">
        <v>64.900000000000006</v>
      </c>
      <c r="O4" s="3">
        <f>N4-K4</f>
        <v>21.900000000000006</v>
      </c>
      <c r="P4" s="3"/>
      <c r="Q4" s="3"/>
      <c r="R4" s="3">
        <v>6</v>
      </c>
      <c r="S4" s="3">
        <v>1</v>
      </c>
      <c r="U4">
        <f>S4/(R4)</f>
        <v>0.16666666666666666</v>
      </c>
    </row>
    <row r="5" spans="1:21" x14ac:dyDescent="0.55000000000000004">
      <c r="A5" s="3" t="s">
        <v>120</v>
      </c>
      <c r="B5" s="3" t="s">
        <v>336</v>
      </c>
      <c r="C5" s="3" t="s">
        <v>338</v>
      </c>
      <c r="D5" s="3" t="s">
        <v>89</v>
      </c>
      <c r="E5" s="3">
        <v>50</v>
      </c>
      <c r="F5" s="3" t="s">
        <v>18</v>
      </c>
      <c r="G5" s="3"/>
      <c r="H5" s="3"/>
      <c r="I5" s="3"/>
      <c r="J5" s="3"/>
      <c r="K5" s="3" t="s">
        <v>7</v>
      </c>
      <c r="L5" s="3"/>
      <c r="M5" s="3"/>
      <c r="N5" s="3"/>
      <c r="O5" s="3"/>
      <c r="P5" s="3"/>
      <c r="Q5" s="3"/>
      <c r="R5" s="3">
        <v>4</v>
      </c>
      <c r="S5" s="3">
        <v>0</v>
      </c>
      <c r="U5">
        <f>S5/(R5)</f>
        <v>0</v>
      </c>
    </row>
    <row r="6" spans="1:21" x14ac:dyDescent="0.55000000000000004">
      <c r="A6" s="3" t="s">
        <v>120</v>
      </c>
      <c r="B6" s="3" t="s">
        <v>337</v>
      </c>
      <c r="C6" s="3" t="s">
        <v>339</v>
      </c>
      <c r="D6" s="3" t="s">
        <v>89</v>
      </c>
      <c r="E6" s="3">
        <v>50</v>
      </c>
      <c r="F6" s="3" t="s">
        <v>18</v>
      </c>
      <c r="G6" s="3"/>
      <c r="H6" s="3"/>
      <c r="I6" s="3"/>
      <c r="J6" s="3"/>
      <c r="K6" s="3">
        <v>98.77</v>
      </c>
      <c r="L6" s="3"/>
      <c r="M6" s="3"/>
      <c r="N6" s="3"/>
      <c r="O6" s="3"/>
      <c r="P6" s="3"/>
      <c r="Q6" s="3"/>
      <c r="R6" s="3">
        <v>2</v>
      </c>
      <c r="S6" s="3">
        <v>0</v>
      </c>
      <c r="U6">
        <f>S6/(R6)</f>
        <v>0</v>
      </c>
    </row>
    <row r="7" spans="1:21" x14ac:dyDescent="0.55000000000000004">
      <c r="A7" s="3" t="s">
        <v>304</v>
      </c>
      <c r="B7" s="3" t="s">
        <v>340</v>
      </c>
      <c r="C7" s="3" t="s">
        <v>341</v>
      </c>
      <c r="D7" s="3" t="s">
        <v>89</v>
      </c>
      <c r="E7" s="3">
        <v>50</v>
      </c>
      <c r="F7" s="3" t="s">
        <v>18</v>
      </c>
      <c r="G7" s="3"/>
      <c r="H7" s="3"/>
      <c r="I7" s="3"/>
      <c r="J7" s="3"/>
      <c r="K7" s="3">
        <v>19.23</v>
      </c>
      <c r="L7" s="3"/>
      <c r="M7" s="3"/>
      <c r="N7" s="3"/>
      <c r="O7" s="3"/>
      <c r="P7" s="3"/>
      <c r="Q7" s="3"/>
      <c r="R7" s="3">
        <v>8</v>
      </c>
      <c r="S7" s="3">
        <v>0</v>
      </c>
      <c r="U7">
        <f>S7/(R7)</f>
        <v>0</v>
      </c>
    </row>
    <row r="8" spans="1:21" x14ac:dyDescent="0.55000000000000004">
      <c r="A8" s="3" t="s">
        <v>304</v>
      </c>
      <c r="B8" s="3" t="s">
        <v>460</v>
      </c>
      <c r="C8" s="3" t="s">
        <v>342</v>
      </c>
      <c r="D8" s="3" t="s">
        <v>89</v>
      </c>
      <c r="E8" s="3">
        <v>50</v>
      </c>
      <c r="F8" s="3">
        <v>90.412999999999997</v>
      </c>
      <c r="G8" s="3">
        <v>105.405</v>
      </c>
      <c r="H8" s="3">
        <f>G8-F8</f>
        <v>14.992000000000004</v>
      </c>
      <c r="I8" s="3">
        <f>H8*0.0973</f>
        <v>1.4587216000000003</v>
      </c>
      <c r="J8" s="3">
        <f>I8*20</f>
        <v>29.174432000000007</v>
      </c>
      <c r="K8" s="3">
        <v>66.319999999999993</v>
      </c>
      <c r="L8" s="3">
        <v>3434</v>
      </c>
      <c r="M8" s="3">
        <v>4124</v>
      </c>
      <c r="N8" s="3">
        <v>206.72</v>
      </c>
      <c r="O8" s="3"/>
      <c r="P8" s="3" t="s">
        <v>343</v>
      </c>
      <c r="Q8" s="3"/>
      <c r="R8" s="3">
        <v>9</v>
      </c>
      <c r="S8" s="3">
        <v>2</v>
      </c>
      <c r="U8">
        <f>S8/(R8)</f>
        <v>0.22222222222222221</v>
      </c>
    </row>
    <row r="9" spans="1:21" x14ac:dyDescent="0.55000000000000004">
      <c r="A9" s="3" t="s">
        <v>304</v>
      </c>
      <c r="B9" s="3" t="s">
        <v>461</v>
      </c>
      <c r="C9" s="3" t="s">
        <v>342</v>
      </c>
      <c r="D9" s="3" t="s">
        <v>89</v>
      </c>
      <c r="E9" s="3">
        <v>50</v>
      </c>
      <c r="F9" s="3">
        <v>76.69</v>
      </c>
      <c r="G9" s="3">
        <v>96.406000000000006</v>
      </c>
      <c r="H9" s="3">
        <f>G9-F9</f>
        <v>19.716000000000008</v>
      </c>
      <c r="I9" s="3">
        <f>H9*0.0973</f>
        <v>1.9183668000000007</v>
      </c>
      <c r="J9" s="3">
        <f>I9*20</f>
        <v>38.367336000000016</v>
      </c>
      <c r="K9" s="3">
        <v>66.319999999999993</v>
      </c>
      <c r="L9" s="3">
        <v>3434</v>
      </c>
      <c r="M9" s="3">
        <v>4124</v>
      </c>
      <c r="N9" s="3"/>
      <c r="O9" s="3"/>
      <c r="P9" s="3" t="s">
        <v>462</v>
      </c>
      <c r="Q9" s="3"/>
      <c r="R9" s="90"/>
      <c r="S9" s="90"/>
    </row>
    <row r="10" spans="1:21" x14ac:dyDescent="0.55000000000000004">
      <c r="A10" s="3" t="s">
        <v>304</v>
      </c>
      <c r="B10" s="3" t="s">
        <v>344</v>
      </c>
      <c r="C10" s="3" t="s">
        <v>342</v>
      </c>
      <c r="D10" s="3" t="s">
        <v>89</v>
      </c>
      <c r="E10" s="3">
        <v>50</v>
      </c>
      <c r="F10" s="3">
        <v>76.69</v>
      </c>
      <c r="G10" s="3">
        <v>93.638999999999996</v>
      </c>
      <c r="H10" s="3">
        <f>G10-F10</f>
        <v>16.948999999999998</v>
      </c>
      <c r="I10" s="3">
        <f>H10*0.0973</f>
        <v>1.6491376999999998</v>
      </c>
      <c r="J10" s="3">
        <f>I10*20</f>
        <v>32.982754</v>
      </c>
      <c r="K10" s="3">
        <v>66.319999999999993</v>
      </c>
      <c r="L10" s="3">
        <v>3434</v>
      </c>
      <c r="M10" s="3">
        <v>4881</v>
      </c>
      <c r="N10" s="3">
        <v>244.67</v>
      </c>
      <c r="O10" s="3"/>
      <c r="P10" s="3" t="s">
        <v>462</v>
      </c>
      <c r="Q10" s="3"/>
      <c r="R10" s="90"/>
      <c r="S10" s="90"/>
    </row>
    <row r="11" spans="1:21" s="6" customFormat="1" x14ac:dyDescent="0.55000000000000004">
      <c r="A11" s="12" t="s">
        <v>304</v>
      </c>
      <c r="B11" s="12" t="s">
        <v>344</v>
      </c>
      <c r="C11" s="12" t="s">
        <v>342</v>
      </c>
      <c r="D11" s="12" t="s">
        <v>89</v>
      </c>
      <c r="E11" s="12">
        <v>50</v>
      </c>
      <c r="F11" s="12"/>
      <c r="G11" s="12"/>
      <c r="H11" s="3"/>
      <c r="I11" s="12"/>
      <c r="J11" s="12"/>
      <c r="K11" s="12">
        <v>66.319999999999993</v>
      </c>
      <c r="L11" s="12"/>
      <c r="M11" s="12">
        <v>53344</v>
      </c>
      <c r="N11" s="12">
        <v>267.87</v>
      </c>
      <c r="O11" s="12"/>
      <c r="P11" s="12" t="s">
        <v>345</v>
      </c>
      <c r="Q11" s="12"/>
      <c r="R11" s="99"/>
      <c r="S11" s="99"/>
    </row>
    <row r="12" spans="1:21" x14ac:dyDescent="0.55000000000000004">
      <c r="A12" t="s">
        <v>676</v>
      </c>
      <c r="B12" t="s">
        <v>677</v>
      </c>
      <c r="C12" t="s">
        <v>680</v>
      </c>
      <c r="D12" t="s">
        <v>89</v>
      </c>
      <c r="E12">
        <v>100</v>
      </c>
      <c r="K12">
        <v>100.52</v>
      </c>
      <c r="L12" t="s">
        <v>325</v>
      </c>
      <c r="R12">
        <v>13</v>
      </c>
      <c r="S12">
        <v>0</v>
      </c>
    </row>
    <row r="13" spans="1:21" x14ac:dyDescent="0.55000000000000004">
      <c r="A13" t="s">
        <v>676</v>
      </c>
      <c r="B13" t="s">
        <v>678</v>
      </c>
      <c r="C13" t="s">
        <v>681</v>
      </c>
      <c r="D13" t="s">
        <v>89</v>
      </c>
      <c r="E13">
        <v>100</v>
      </c>
      <c r="K13">
        <v>12.42</v>
      </c>
      <c r="L13" t="s">
        <v>325</v>
      </c>
      <c r="R13">
        <v>10</v>
      </c>
      <c r="S13">
        <v>0</v>
      </c>
    </row>
    <row r="14" spans="1:21" x14ac:dyDescent="0.55000000000000004">
      <c r="A14" t="s">
        <v>676</v>
      </c>
      <c r="B14" t="s">
        <v>679</v>
      </c>
      <c r="C14" t="s">
        <v>682</v>
      </c>
      <c r="D14" t="s">
        <v>89</v>
      </c>
      <c r="E14">
        <v>100</v>
      </c>
      <c r="K14">
        <v>171.5</v>
      </c>
      <c r="L14" t="s">
        <v>325</v>
      </c>
      <c r="R14">
        <v>8</v>
      </c>
      <c r="S14">
        <v>0</v>
      </c>
    </row>
    <row r="22" spans="17:22" x14ac:dyDescent="0.55000000000000004">
      <c r="Q22" t="s">
        <v>683</v>
      </c>
      <c r="R22">
        <f>SUM(R4:R11)</f>
        <v>29</v>
      </c>
      <c r="S22">
        <f>SUM(S4:S11)</f>
        <v>3</v>
      </c>
      <c r="U22" s="51">
        <f>((SUM(U4:U8))/(COUNT(U4:U8)))*100</f>
        <v>7.7777777777777768</v>
      </c>
      <c r="V22" s="51">
        <f>(STDEV(U4:U8)/SQRT(COUNT(U4:U8)))*100</f>
        <v>4.8432210483785259</v>
      </c>
    </row>
    <row r="23" spans="17:22" x14ac:dyDescent="0.55000000000000004">
      <c r="R23">
        <f>(S22/R22)*100</f>
        <v>10.344827586206897</v>
      </c>
    </row>
    <row r="25" spans="17:22" x14ac:dyDescent="0.55000000000000004">
      <c r="Q25" t="s">
        <v>684</v>
      </c>
      <c r="R25">
        <f>SUM(R2:R3,R12:R16)</f>
        <v>41</v>
      </c>
      <c r="S25">
        <f>SUM(S2:S3,S12:S16)</f>
        <v>0</v>
      </c>
    </row>
    <row r="26" spans="17:22" x14ac:dyDescent="0.55000000000000004">
      <c r="R26">
        <f>(S25/R25)*100</f>
        <v>0</v>
      </c>
    </row>
  </sheetData>
  <pageMargins left="0.7" right="0.7" top="0.75" bottom="0.75" header="0.3" footer="0.3"/>
  <pageSetup paperSize="9" orientation="portrait" horizontalDpi="4294967293"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4"/>
  <dimension ref="A1:Y43"/>
  <sheetViews>
    <sheetView topLeftCell="C13" zoomScaleNormal="100" workbookViewId="0">
      <selection activeCell="H25" sqref="H25"/>
    </sheetView>
  </sheetViews>
  <sheetFormatPr defaultRowHeight="14.4" x14ac:dyDescent="0.55000000000000004"/>
  <cols>
    <col min="2" max="2" width="12.3125" customWidth="1"/>
    <col min="3" max="3" width="10.89453125" customWidth="1"/>
    <col min="8" max="8" width="13.89453125" customWidth="1"/>
    <col min="12" max="12" width="9.1015625" style="3"/>
    <col min="20" max="20" width="11.5234375" customWidth="1"/>
    <col min="21" max="21" width="10.68359375" customWidth="1"/>
  </cols>
  <sheetData>
    <row r="1" spans="1:25" ht="57.6" x14ac:dyDescent="0.55000000000000004">
      <c r="B1" t="s">
        <v>90</v>
      </c>
      <c r="C1" s="1" t="s">
        <v>0</v>
      </c>
      <c r="D1" s="1" t="s">
        <v>1</v>
      </c>
      <c r="E1" s="1" t="s">
        <v>88</v>
      </c>
      <c r="F1" s="1"/>
      <c r="G1" s="1" t="s">
        <v>144</v>
      </c>
      <c r="H1" s="1" t="s">
        <v>2</v>
      </c>
      <c r="I1" s="1" t="s">
        <v>3</v>
      </c>
      <c r="J1" s="1" t="s">
        <v>11</v>
      </c>
      <c r="K1" s="1" t="s">
        <v>12</v>
      </c>
      <c r="L1" s="2" t="s">
        <v>4</v>
      </c>
      <c r="M1" s="1" t="s">
        <v>19</v>
      </c>
      <c r="N1" s="1" t="s">
        <v>10</v>
      </c>
      <c r="O1" s="1" t="s">
        <v>8</v>
      </c>
      <c r="P1" s="1" t="s">
        <v>9</v>
      </c>
      <c r="Q1" s="1" t="s">
        <v>123</v>
      </c>
      <c r="R1" s="1" t="s">
        <v>5</v>
      </c>
      <c r="S1" s="1" t="s">
        <v>55</v>
      </c>
      <c r="T1" s="1" t="s">
        <v>355</v>
      </c>
      <c r="U1" s="1" t="s">
        <v>327</v>
      </c>
    </row>
    <row r="2" spans="1:25" x14ac:dyDescent="0.55000000000000004">
      <c r="A2">
        <v>1</v>
      </c>
      <c r="B2" t="s">
        <v>135</v>
      </c>
      <c r="C2" t="s">
        <v>136</v>
      </c>
      <c r="D2" t="s">
        <v>139</v>
      </c>
      <c r="E2" t="s">
        <v>89</v>
      </c>
      <c r="F2" t="s">
        <v>310</v>
      </c>
      <c r="G2">
        <v>0.01</v>
      </c>
      <c r="H2">
        <v>90.528999999999996</v>
      </c>
      <c r="I2">
        <v>130.69</v>
      </c>
      <c r="J2">
        <f>I2-H2</f>
        <v>40.161000000000001</v>
      </c>
      <c r="K2">
        <f>J2*0.0973</f>
        <v>3.9076653000000001</v>
      </c>
      <c r="L2" s="3">
        <f>K2*20</f>
        <v>78.153306000000001</v>
      </c>
      <c r="M2">
        <v>57.52</v>
      </c>
      <c r="N2">
        <v>1268</v>
      </c>
      <c r="O2">
        <v>1745</v>
      </c>
      <c r="P2">
        <v>84.84</v>
      </c>
      <c r="Q2">
        <f>P2-M2</f>
        <v>27.32</v>
      </c>
      <c r="T2" s="3">
        <v>5</v>
      </c>
      <c r="U2" s="3">
        <v>1</v>
      </c>
    </row>
    <row r="3" spans="1:25" s="8" customFormat="1" x14ac:dyDescent="0.55000000000000004">
      <c r="A3" s="8">
        <v>2</v>
      </c>
      <c r="B3" s="8" t="s">
        <v>135</v>
      </c>
      <c r="C3" s="8" t="s">
        <v>146</v>
      </c>
      <c r="D3" s="8" t="s">
        <v>140</v>
      </c>
      <c r="E3" s="8" t="s">
        <v>89</v>
      </c>
      <c r="F3" t="s">
        <v>310</v>
      </c>
      <c r="G3" s="8">
        <v>0.01</v>
      </c>
      <c r="H3" s="8">
        <v>81.168999999999997</v>
      </c>
      <c r="I3" s="8">
        <v>97.337999999999994</v>
      </c>
      <c r="J3" s="8">
        <f>I3-H3</f>
        <v>16.168999999999997</v>
      </c>
      <c r="K3" s="8">
        <f>J3*0.0973</f>
        <v>1.5732436999999997</v>
      </c>
      <c r="L3" s="28">
        <f>K3*20</f>
        <v>31.464873999999995</v>
      </c>
      <c r="M3" s="8">
        <v>33.04</v>
      </c>
      <c r="N3" s="8">
        <v>896</v>
      </c>
      <c r="O3" s="8">
        <v>1069</v>
      </c>
      <c r="P3" s="8">
        <v>52.64</v>
      </c>
      <c r="Q3" s="8">
        <f>P3-M3</f>
        <v>19.600000000000001</v>
      </c>
      <c r="R3" s="8" t="s">
        <v>145</v>
      </c>
      <c r="T3" s="3">
        <v>6</v>
      </c>
      <c r="U3" s="3">
        <v>3</v>
      </c>
    </row>
    <row r="4" spans="1:25" x14ac:dyDescent="0.55000000000000004">
      <c r="A4">
        <v>3</v>
      </c>
      <c r="B4" t="s">
        <v>135</v>
      </c>
      <c r="C4" t="s">
        <v>147</v>
      </c>
      <c r="D4" t="s">
        <v>140</v>
      </c>
      <c r="E4" t="s">
        <v>89</v>
      </c>
      <c r="F4" t="s">
        <v>310</v>
      </c>
      <c r="G4">
        <v>0.01</v>
      </c>
      <c r="H4">
        <v>81.168999999999997</v>
      </c>
      <c r="I4">
        <v>105.749</v>
      </c>
      <c r="J4">
        <f>I4-H4</f>
        <v>24.58</v>
      </c>
      <c r="K4">
        <f>J4*0.0973</f>
        <v>2.3916339999999998</v>
      </c>
      <c r="L4" s="3">
        <f>K4*20</f>
        <v>47.832679999999996</v>
      </c>
      <c r="M4">
        <v>33.04</v>
      </c>
      <c r="N4">
        <v>896</v>
      </c>
      <c r="O4">
        <v>1311</v>
      </c>
      <c r="P4">
        <v>64.56</v>
      </c>
      <c r="Q4" s="8">
        <f>P4-M4</f>
        <v>31.520000000000003</v>
      </c>
      <c r="R4" t="s">
        <v>148</v>
      </c>
      <c r="T4" s="90"/>
      <c r="U4" s="90"/>
    </row>
    <row r="5" spans="1:25" x14ac:dyDescent="0.55000000000000004">
      <c r="A5">
        <v>4</v>
      </c>
      <c r="B5" t="s">
        <v>135</v>
      </c>
      <c r="C5" t="s">
        <v>137</v>
      </c>
      <c r="D5" t="s">
        <v>141</v>
      </c>
      <c r="E5" t="s">
        <v>89</v>
      </c>
      <c r="F5" t="s">
        <v>310</v>
      </c>
      <c r="G5">
        <v>0.01</v>
      </c>
      <c r="H5">
        <v>80.164000000000001</v>
      </c>
      <c r="I5">
        <v>101.81399999999999</v>
      </c>
      <c r="J5">
        <f t="shared" ref="J5:J29" si="0">I5-H5</f>
        <v>21.649999999999991</v>
      </c>
      <c r="K5">
        <f t="shared" ref="K5:K29" si="1">J5*0.0973</f>
        <v>2.1065449999999992</v>
      </c>
      <c r="L5" s="3">
        <f t="shared" ref="L5:L29" si="2">K5*20</f>
        <v>42.130899999999983</v>
      </c>
      <c r="M5" t="s">
        <v>150</v>
      </c>
      <c r="N5">
        <v>373</v>
      </c>
      <c r="O5">
        <v>1062</v>
      </c>
      <c r="R5" t="s">
        <v>149</v>
      </c>
      <c r="T5" s="90"/>
      <c r="U5" s="90"/>
    </row>
    <row r="6" spans="1:25" x14ac:dyDescent="0.55000000000000004">
      <c r="A6">
        <v>5</v>
      </c>
      <c r="B6" t="s">
        <v>135</v>
      </c>
      <c r="C6" t="s">
        <v>152</v>
      </c>
      <c r="D6" t="s">
        <v>142</v>
      </c>
      <c r="E6" t="s">
        <v>89</v>
      </c>
      <c r="F6" t="s">
        <v>310</v>
      </c>
      <c r="G6">
        <v>0.01</v>
      </c>
      <c r="H6">
        <v>86.7</v>
      </c>
      <c r="I6">
        <v>128.95699999999999</v>
      </c>
      <c r="J6">
        <f t="shared" si="0"/>
        <v>42.256999999999991</v>
      </c>
      <c r="K6">
        <f t="shared" si="1"/>
        <v>4.1116060999999986</v>
      </c>
      <c r="L6" s="3">
        <f t="shared" si="2"/>
        <v>82.232121999999976</v>
      </c>
      <c r="M6">
        <v>155.53</v>
      </c>
      <c r="N6">
        <v>3217</v>
      </c>
      <c r="O6">
        <v>3786</v>
      </c>
      <c r="P6">
        <v>196.35</v>
      </c>
      <c r="Q6">
        <f>P6-M6</f>
        <v>40.819999999999993</v>
      </c>
      <c r="R6" t="s">
        <v>151</v>
      </c>
      <c r="T6" s="3">
        <v>6</v>
      </c>
      <c r="U6" s="3">
        <v>2</v>
      </c>
    </row>
    <row r="7" spans="1:25" x14ac:dyDescent="0.55000000000000004">
      <c r="A7">
        <v>6</v>
      </c>
      <c r="B7" t="s">
        <v>135</v>
      </c>
      <c r="C7" t="s">
        <v>153</v>
      </c>
      <c r="D7" t="s">
        <v>142</v>
      </c>
      <c r="E7" t="s">
        <v>89</v>
      </c>
      <c r="F7" t="s">
        <v>310</v>
      </c>
      <c r="G7">
        <v>0.01</v>
      </c>
      <c r="H7">
        <v>86.7</v>
      </c>
      <c r="I7">
        <v>99.97</v>
      </c>
      <c r="J7">
        <f t="shared" si="0"/>
        <v>13.269999999999996</v>
      </c>
      <c r="K7">
        <f t="shared" si="1"/>
        <v>1.2911709999999996</v>
      </c>
      <c r="L7" s="3">
        <f t="shared" si="2"/>
        <v>25.823419999999992</v>
      </c>
      <c r="M7">
        <v>155.53</v>
      </c>
      <c r="N7">
        <v>3217</v>
      </c>
      <c r="O7">
        <v>5504</v>
      </c>
      <c r="P7">
        <v>285.45</v>
      </c>
      <c r="Q7">
        <f>P7-M7</f>
        <v>129.91999999999999</v>
      </c>
      <c r="R7" t="s">
        <v>154</v>
      </c>
      <c r="T7" s="90"/>
      <c r="U7" s="90"/>
    </row>
    <row r="8" spans="1:25" x14ac:dyDescent="0.55000000000000004">
      <c r="B8" t="s">
        <v>135</v>
      </c>
      <c r="C8" t="s">
        <v>138</v>
      </c>
      <c r="D8" t="s">
        <v>143</v>
      </c>
      <c r="E8" t="s">
        <v>89</v>
      </c>
      <c r="F8" t="s">
        <v>310</v>
      </c>
      <c r="G8">
        <v>0.01</v>
      </c>
      <c r="H8" t="s">
        <v>18</v>
      </c>
      <c r="M8" t="s">
        <v>459</v>
      </c>
      <c r="T8" s="3">
        <v>3</v>
      </c>
      <c r="U8" s="3">
        <v>0</v>
      </c>
      <c r="W8">
        <f>SUM(T2:T8)</f>
        <v>20</v>
      </c>
      <c r="X8">
        <f>SUM(U2:U8)</f>
        <v>6</v>
      </c>
      <c r="Y8">
        <f>X8/(W8+X8)</f>
        <v>0.23076923076923078</v>
      </c>
    </row>
    <row r="9" spans="1:25" x14ac:dyDescent="0.55000000000000004">
      <c r="B9" s="6" t="s">
        <v>155</v>
      </c>
      <c r="C9" s="6" t="s">
        <v>156</v>
      </c>
      <c r="D9" s="6" t="s">
        <v>158</v>
      </c>
      <c r="E9" s="6" t="s">
        <v>89</v>
      </c>
      <c r="F9" t="s">
        <v>310</v>
      </c>
      <c r="G9" s="6">
        <v>0.01</v>
      </c>
      <c r="H9" s="6">
        <v>78.218000000000004</v>
      </c>
      <c r="I9" s="6">
        <v>83.406000000000006</v>
      </c>
      <c r="J9" s="6">
        <f t="shared" si="0"/>
        <v>5.1880000000000024</v>
      </c>
      <c r="K9" s="6">
        <f t="shared" si="1"/>
        <v>0.50479240000000025</v>
      </c>
      <c r="L9" s="12"/>
      <c r="M9" s="6">
        <v>66.31</v>
      </c>
      <c r="N9" s="6">
        <v>1647</v>
      </c>
      <c r="O9" s="6">
        <v>2314</v>
      </c>
      <c r="P9" s="6">
        <v>112.66</v>
      </c>
      <c r="Q9" s="6">
        <f>P9-M9</f>
        <v>46.349999999999994</v>
      </c>
      <c r="R9" s="6" t="s">
        <v>161</v>
      </c>
      <c r="T9">
        <v>5</v>
      </c>
      <c r="U9">
        <v>1</v>
      </c>
    </row>
    <row r="10" spans="1:25" x14ac:dyDescent="0.55000000000000004">
      <c r="B10" s="6" t="s">
        <v>155</v>
      </c>
      <c r="C10" s="6" t="s">
        <v>164</v>
      </c>
      <c r="D10" s="6" t="s">
        <v>159</v>
      </c>
      <c r="E10" s="6" t="s">
        <v>89</v>
      </c>
      <c r="F10" t="s">
        <v>310</v>
      </c>
      <c r="G10" s="6">
        <v>0.01</v>
      </c>
      <c r="H10" s="6"/>
      <c r="I10" s="6"/>
      <c r="J10" s="6"/>
      <c r="K10" s="6"/>
      <c r="L10" s="12"/>
      <c r="M10" s="6">
        <v>249</v>
      </c>
      <c r="N10" s="6"/>
      <c r="O10" s="6">
        <v>5637</v>
      </c>
      <c r="P10" s="6">
        <v>301.52999999999997</v>
      </c>
      <c r="Q10" s="6">
        <f>P10-M10</f>
        <v>52.529999999999973</v>
      </c>
      <c r="R10" t="s">
        <v>162</v>
      </c>
      <c r="T10">
        <v>5</v>
      </c>
      <c r="U10">
        <v>1</v>
      </c>
    </row>
    <row r="11" spans="1:25" x14ac:dyDescent="0.55000000000000004">
      <c r="B11" s="6" t="s">
        <v>163</v>
      </c>
      <c r="C11" s="6" t="s">
        <v>165</v>
      </c>
      <c r="D11" s="6" t="s">
        <v>159</v>
      </c>
      <c r="E11" s="6" t="s">
        <v>89</v>
      </c>
      <c r="F11" t="s">
        <v>310</v>
      </c>
      <c r="G11" s="6">
        <v>0.01</v>
      </c>
      <c r="H11" s="6"/>
      <c r="I11" s="6"/>
      <c r="J11" s="6"/>
      <c r="K11" s="6"/>
      <c r="L11" s="12"/>
      <c r="M11" s="6"/>
      <c r="N11" s="6"/>
      <c r="O11" s="6"/>
      <c r="P11" s="6"/>
      <c r="Q11" s="6"/>
      <c r="R11" t="s">
        <v>162</v>
      </c>
      <c r="T11" s="15"/>
      <c r="U11" s="15"/>
    </row>
    <row r="12" spans="1:25" x14ac:dyDescent="0.55000000000000004">
      <c r="A12">
        <v>7</v>
      </c>
      <c r="B12" t="s">
        <v>155</v>
      </c>
      <c r="C12" t="s">
        <v>157</v>
      </c>
      <c r="D12" t="s">
        <v>160</v>
      </c>
      <c r="E12" t="s">
        <v>89</v>
      </c>
      <c r="F12" t="s">
        <v>310</v>
      </c>
      <c r="G12">
        <v>0.01</v>
      </c>
      <c r="H12">
        <v>81.988</v>
      </c>
      <c r="I12">
        <v>110.18300000000001</v>
      </c>
      <c r="J12">
        <f t="shared" si="0"/>
        <v>28.195000000000007</v>
      </c>
      <c r="K12">
        <f t="shared" si="1"/>
        <v>2.7433735000000006</v>
      </c>
      <c r="L12" s="3">
        <f t="shared" si="2"/>
        <v>54.867470000000012</v>
      </c>
      <c r="M12">
        <v>99.03</v>
      </c>
      <c r="N12">
        <v>2418</v>
      </c>
      <c r="O12" s="7">
        <v>3086</v>
      </c>
      <c r="P12" s="7">
        <v>152.94999999999999</v>
      </c>
      <c r="Q12" s="7">
        <f>P12-M12</f>
        <v>53.919999999999987</v>
      </c>
      <c r="T12">
        <v>4</v>
      </c>
      <c r="U12">
        <v>2</v>
      </c>
    </row>
    <row r="13" spans="1:25" x14ac:dyDescent="0.55000000000000004">
      <c r="B13" s="14" t="s">
        <v>457</v>
      </c>
      <c r="C13" s="14" t="s">
        <v>238</v>
      </c>
      <c r="D13" s="14" t="s">
        <v>246</v>
      </c>
      <c r="E13" s="16" t="s">
        <v>89</v>
      </c>
      <c r="F13" t="s">
        <v>310</v>
      </c>
      <c r="G13" s="11">
        <v>0.01</v>
      </c>
      <c r="H13" s="11" t="s">
        <v>18</v>
      </c>
      <c r="I13" s="11"/>
      <c r="J13" s="11"/>
      <c r="K13" s="11"/>
      <c r="L13" s="23"/>
      <c r="M13" s="11" t="s">
        <v>257</v>
      </c>
      <c r="N13" s="11"/>
      <c r="O13" s="11"/>
      <c r="P13" s="11"/>
      <c r="Q13" s="11"/>
      <c r="T13" s="15"/>
      <c r="U13" s="15"/>
    </row>
    <row r="14" spans="1:25" x14ac:dyDescent="0.55000000000000004">
      <c r="B14" s="14" t="s">
        <v>457</v>
      </c>
      <c r="C14" s="7" t="s">
        <v>239</v>
      </c>
      <c r="D14" t="s">
        <v>247</v>
      </c>
      <c r="E14" t="s">
        <v>89</v>
      </c>
      <c r="F14" t="s">
        <v>310</v>
      </c>
      <c r="G14">
        <v>0.01</v>
      </c>
      <c r="H14" t="s">
        <v>18</v>
      </c>
      <c r="T14" s="15"/>
      <c r="U14" s="15"/>
    </row>
    <row r="15" spans="1:25" x14ac:dyDescent="0.55000000000000004">
      <c r="B15" s="14" t="s">
        <v>457</v>
      </c>
      <c r="C15" s="7" t="s">
        <v>240</v>
      </c>
      <c r="D15" t="s">
        <v>248</v>
      </c>
      <c r="E15" t="s">
        <v>89</v>
      </c>
      <c r="F15" t="s">
        <v>310</v>
      </c>
      <c r="G15">
        <v>0.01</v>
      </c>
      <c r="H15" t="s">
        <v>18</v>
      </c>
      <c r="M15">
        <v>17.07</v>
      </c>
      <c r="T15">
        <v>7</v>
      </c>
      <c r="U15">
        <v>0</v>
      </c>
    </row>
    <row r="16" spans="1:25" x14ac:dyDescent="0.55000000000000004">
      <c r="B16" s="14" t="s">
        <v>457</v>
      </c>
      <c r="C16" s="7" t="s">
        <v>241</v>
      </c>
      <c r="D16" t="s">
        <v>249</v>
      </c>
      <c r="E16" t="s">
        <v>89</v>
      </c>
      <c r="F16" t="s">
        <v>310</v>
      </c>
      <c r="G16">
        <v>0.01</v>
      </c>
      <c r="H16" t="s">
        <v>18</v>
      </c>
      <c r="M16">
        <v>9.16</v>
      </c>
      <c r="T16">
        <v>4</v>
      </c>
      <c r="U16">
        <v>0</v>
      </c>
    </row>
    <row r="17" spans="1:25" x14ac:dyDescent="0.55000000000000004">
      <c r="B17" s="14" t="s">
        <v>457</v>
      </c>
      <c r="C17" s="7" t="s">
        <v>242</v>
      </c>
      <c r="D17" t="s">
        <v>250</v>
      </c>
      <c r="E17" t="s">
        <v>89</v>
      </c>
      <c r="F17" t="s">
        <v>310</v>
      </c>
      <c r="G17">
        <v>0.01</v>
      </c>
      <c r="H17" t="s">
        <v>18</v>
      </c>
      <c r="M17" t="s">
        <v>7</v>
      </c>
      <c r="T17" s="15"/>
      <c r="U17" s="15"/>
    </row>
    <row r="18" spans="1:25" x14ac:dyDescent="0.55000000000000004">
      <c r="B18" s="14" t="s">
        <v>457</v>
      </c>
      <c r="C18" s="7" t="s">
        <v>243</v>
      </c>
      <c r="D18" t="s">
        <v>252</v>
      </c>
      <c r="E18" s="8" t="s">
        <v>89</v>
      </c>
      <c r="F18" t="s">
        <v>310</v>
      </c>
      <c r="G18">
        <v>0.01</v>
      </c>
      <c r="H18" t="s">
        <v>18</v>
      </c>
      <c r="I18">
        <v>83.268000000000001</v>
      </c>
      <c r="M18">
        <v>25.63</v>
      </c>
      <c r="N18">
        <v>928</v>
      </c>
      <c r="O18">
        <v>1193</v>
      </c>
      <c r="P18">
        <v>58.69</v>
      </c>
      <c r="Q18">
        <f>P18-M18</f>
        <v>33.06</v>
      </c>
      <c r="R18" t="s">
        <v>258</v>
      </c>
      <c r="T18">
        <v>6</v>
      </c>
      <c r="U18">
        <v>2</v>
      </c>
    </row>
    <row r="19" spans="1:25" x14ac:dyDescent="0.55000000000000004">
      <c r="B19" s="14" t="s">
        <v>457</v>
      </c>
      <c r="C19" s="7" t="s">
        <v>244</v>
      </c>
      <c r="D19" t="s">
        <v>253</v>
      </c>
      <c r="E19" t="s">
        <v>89</v>
      </c>
      <c r="F19" t="s">
        <v>310</v>
      </c>
      <c r="G19">
        <v>0.01</v>
      </c>
      <c r="H19" t="s">
        <v>18</v>
      </c>
      <c r="I19">
        <v>84.608000000000004</v>
      </c>
      <c r="M19" t="s">
        <v>7</v>
      </c>
      <c r="N19">
        <v>2769</v>
      </c>
      <c r="O19">
        <v>3279</v>
      </c>
      <c r="P19">
        <v>162.25</v>
      </c>
      <c r="R19" t="s">
        <v>258</v>
      </c>
      <c r="T19" s="15"/>
      <c r="U19" s="15"/>
    </row>
    <row r="20" spans="1:25" x14ac:dyDescent="0.55000000000000004">
      <c r="A20">
        <v>8</v>
      </c>
      <c r="B20" s="14" t="s">
        <v>457</v>
      </c>
      <c r="C20" s="7" t="s">
        <v>259</v>
      </c>
      <c r="D20" t="s">
        <v>254</v>
      </c>
      <c r="E20" t="s">
        <v>89</v>
      </c>
      <c r="F20" t="s">
        <v>310</v>
      </c>
      <c r="G20">
        <v>0.01</v>
      </c>
      <c r="H20">
        <v>79.078000000000003</v>
      </c>
      <c r="I20">
        <v>79.680999999999997</v>
      </c>
      <c r="J20">
        <f t="shared" si="0"/>
        <v>0.60299999999999443</v>
      </c>
      <c r="K20">
        <f t="shared" si="1"/>
        <v>5.8671899999999458E-2</v>
      </c>
      <c r="L20" s="3">
        <f t="shared" si="2"/>
        <v>1.1734379999999891</v>
      </c>
      <c r="M20">
        <v>94.85</v>
      </c>
      <c r="N20">
        <v>2129</v>
      </c>
      <c r="O20">
        <v>2411</v>
      </c>
      <c r="P20">
        <v>122.82</v>
      </c>
      <c r="Q20">
        <f t="shared" ref="Q20:Q29" si="3">P20-M20</f>
        <v>27.97</v>
      </c>
      <c r="R20" t="s">
        <v>261</v>
      </c>
      <c r="T20">
        <v>6</v>
      </c>
      <c r="U20">
        <v>2</v>
      </c>
    </row>
    <row r="21" spans="1:25" x14ac:dyDescent="0.55000000000000004">
      <c r="A21">
        <v>9</v>
      </c>
      <c r="B21" s="14" t="s">
        <v>457</v>
      </c>
      <c r="C21" s="7" t="s">
        <v>260</v>
      </c>
      <c r="D21" t="s">
        <v>254</v>
      </c>
      <c r="E21" t="s">
        <v>89</v>
      </c>
      <c r="F21" t="s">
        <v>310</v>
      </c>
      <c r="G21">
        <v>0.01</v>
      </c>
      <c r="H21">
        <v>79.078000000000003</v>
      </c>
      <c r="I21">
        <v>83.885000000000005</v>
      </c>
      <c r="J21">
        <f t="shared" si="0"/>
        <v>4.8070000000000022</v>
      </c>
      <c r="K21">
        <f t="shared" si="1"/>
        <v>0.46772110000000022</v>
      </c>
      <c r="L21" s="3">
        <f t="shared" si="2"/>
        <v>9.3544220000000049</v>
      </c>
      <c r="M21">
        <v>94.85</v>
      </c>
      <c r="N21">
        <v>2129</v>
      </c>
      <c r="O21">
        <v>3222</v>
      </c>
      <c r="P21">
        <v>164.13</v>
      </c>
      <c r="Q21">
        <f t="shared" si="3"/>
        <v>69.28</v>
      </c>
      <c r="R21" t="s">
        <v>261</v>
      </c>
      <c r="T21" s="15"/>
      <c r="U21" s="15"/>
    </row>
    <row r="22" spans="1:25" x14ac:dyDescent="0.55000000000000004">
      <c r="A22" s="6"/>
      <c r="B22" s="22" t="s">
        <v>457</v>
      </c>
      <c r="C22" s="6" t="s">
        <v>263</v>
      </c>
      <c r="D22" s="6" t="s">
        <v>254</v>
      </c>
      <c r="E22" s="6" t="s">
        <v>89</v>
      </c>
      <c r="F22" t="s">
        <v>310</v>
      </c>
      <c r="G22" s="6">
        <v>0.01</v>
      </c>
      <c r="H22" s="6">
        <v>73.347999999999999</v>
      </c>
      <c r="I22" s="6">
        <v>107.605</v>
      </c>
      <c r="J22" s="6">
        <f t="shared" si="0"/>
        <v>34.257000000000005</v>
      </c>
      <c r="K22" s="6">
        <f t="shared" si="1"/>
        <v>3.3332061000000004</v>
      </c>
      <c r="L22" s="12">
        <f t="shared" si="2"/>
        <v>66.664122000000006</v>
      </c>
      <c r="M22" s="6">
        <v>94.85</v>
      </c>
      <c r="N22" s="6">
        <v>3025</v>
      </c>
      <c r="O22" s="6">
        <v>3460</v>
      </c>
      <c r="P22" s="6">
        <v>176.26</v>
      </c>
      <c r="Q22" s="6">
        <f t="shared" si="3"/>
        <v>81.41</v>
      </c>
      <c r="R22" s="6" t="s">
        <v>262</v>
      </c>
      <c r="T22" s="15"/>
      <c r="U22" s="15"/>
    </row>
    <row r="23" spans="1:25" x14ac:dyDescent="0.55000000000000004">
      <c r="A23" s="6"/>
      <c r="B23" s="22" t="s">
        <v>457</v>
      </c>
      <c r="C23" s="6" t="s">
        <v>264</v>
      </c>
      <c r="D23" s="6" t="s">
        <v>254</v>
      </c>
      <c r="E23" s="6" t="s">
        <v>89</v>
      </c>
      <c r="F23" t="s">
        <v>310</v>
      </c>
      <c r="G23" s="6">
        <v>0.01</v>
      </c>
      <c r="H23" s="6">
        <v>73.48</v>
      </c>
      <c r="I23" s="6">
        <v>101.197</v>
      </c>
      <c r="J23" s="6">
        <f t="shared" si="0"/>
        <v>27.716999999999999</v>
      </c>
      <c r="K23" s="6">
        <f t="shared" si="1"/>
        <v>2.6968641</v>
      </c>
      <c r="L23" s="12">
        <f t="shared" si="2"/>
        <v>53.937281999999996</v>
      </c>
      <c r="M23" s="6">
        <v>94.85</v>
      </c>
      <c r="N23" s="6">
        <v>3025</v>
      </c>
      <c r="O23" s="6">
        <v>4689</v>
      </c>
      <c r="P23" s="6">
        <v>238.86</v>
      </c>
      <c r="Q23" s="6">
        <f t="shared" si="3"/>
        <v>144.01000000000002</v>
      </c>
      <c r="R23" s="6" t="s">
        <v>265</v>
      </c>
      <c r="T23" s="15"/>
      <c r="U23" s="15"/>
    </row>
    <row r="24" spans="1:25" x14ac:dyDescent="0.55000000000000004">
      <c r="A24">
        <v>10</v>
      </c>
      <c r="B24" s="14" t="s">
        <v>457</v>
      </c>
      <c r="C24" s="7" t="s">
        <v>245</v>
      </c>
      <c r="D24" t="s">
        <v>255</v>
      </c>
      <c r="E24" t="s">
        <v>89</v>
      </c>
      <c r="F24" t="s">
        <v>310</v>
      </c>
      <c r="G24">
        <v>0.01</v>
      </c>
      <c r="H24">
        <v>81.555999999999997</v>
      </c>
      <c r="I24">
        <v>87.661000000000001</v>
      </c>
      <c r="J24">
        <f t="shared" si="0"/>
        <v>6.105000000000004</v>
      </c>
      <c r="K24">
        <f t="shared" si="1"/>
        <v>0.59401650000000039</v>
      </c>
      <c r="L24" s="3">
        <f t="shared" si="2"/>
        <v>11.880330000000008</v>
      </c>
      <c r="M24">
        <v>140.77000000000001</v>
      </c>
      <c r="N24">
        <v>3008</v>
      </c>
      <c r="O24">
        <v>3409</v>
      </c>
      <c r="P24">
        <v>169.15</v>
      </c>
      <c r="Q24">
        <f t="shared" si="3"/>
        <v>28.379999999999995</v>
      </c>
      <c r="T24">
        <v>7</v>
      </c>
      <c r="U24">
        <v>1</v>
      </c>
    </row>
    <row r="25" spans="1:25" x14ac:dyDescent="0.55000000000000004">
      <c r="A25">
        <v>11</v>
      </c>
      <c r="B25" s="14" t="s">
        <v>457</v>
      </c>
      <c r="C25" s="7" t="s">
        <v>267</v>
      </c>
      <c r="D25" t="s">
        <v>256</v>
      </c>
      <c r="E25" t="s">
        <v>89</v>
      </c>
      <c r="F25" t="s">
        <v>310</v>
      </c>
      <c r="G25">
        <v>0.01</v>
      </c>
      <c r="H25">
        <v>70.94</v>
      </c>
      <c r="I25">
        <v>73.558999999999997</v>
      </c>
      <c r="J25">
        <f t="shared" si="0"/>
        <v>2.6189999999999998</v>
      </c>
      <c r="K25">
        <f t="shared" si="1"/>
        <v>0.25482869999999996</v>
      </c>
      <c r="L25" s="3">
        <f t="shared" si="2"/>
        <v>5.0965739999999995</v>
      </c>
      <c r="M25">
        <v>89.07</v>
      </c>
      <c r="N25">
        <v>2037</v>
      </c>
      <c r="O25">
        <v>4869</v>
      </c>
      <c r="P25">
        <v>248.25</v>
      </c>
      <c r="Q25">
        <f t="shared" si="3"/>
        <v>159.18</v>
      </c>
      <c r="R25" t="s">
        <v>266</v>
      </c>
    </row>
    <row r="26" spans="1:25" x14ac:dyDescent="0.55000000000000004">
      <c r="A26">
        <v>12</v>
      </c>
      <c r="B26" s="14" t="s">
        <v>457</v>
      </c>
      <c r="C26" s="7" t="s">
        <v>268</v>
      </c>
      <c r="D26" t="s">
        <v>256</v>
      </c>
      <c r="E26" t="s">
        <v>89</v>
      </c>
      <c r="F26" t="s">
        <v>310</v>
      </c>
      <c r="G26">
        <v>0.01</v>
      </c>
      <c r="H26">
        <v>70.94</v>
      </c>
      <c r="I26">
        <v>77.028000000000006</v>
      </c>
      <c r="J26">
        <f t="shared" si="0"/>
        <v>6.0880000000000081</v>
      </c>
      <c r="K26">
        <f t="shared" si="1"/>
        <v>0.59236240000000073</v>
      </c>
      <c r="L26" s="3">
        <f t="shared" si="2"/>
        <v>11.847248000000015</v>
      </c>
      <c r="M26">
        <v>89.07</v>
      </c>
      <c r="N26">
        <v>2037</v>
      </c>
      <c r="O26">
        <v>6607</v>
      </c>
      <c r="P26">
        <v>336.86</v>
      </c>
      <c r="Q26">
        <f t="shared" si="3"/>
        <v>247.79000000000002</v>
      </c>
      <c r="R26" t="s">
        <v>269</v>
      </c>
      <c r="T26" s="15"/>
      <c r="U26" s="15"/>
    </row>
    <row r="27" spans="1:25" x14ac:dyDescent="0.55000000000000004">
      <c r="A27">
        <v>13</v>
      </c>
      <c r="B27" s="14" t="s">
        <v>457</v>
      </c>
      <c r="C27" s="7" t="s">
        <v>273</v>
      </c>
      <c r="D27" t="s">
        <v>251</v>
      </c>
      <c r="E27" t="s">
        <v>89</v>
      </c>
      <c r="F27" t="s">
        <v>310</v>
      </c>
      <c r="G27">
        <v>0.01</v>
      </c>
      <c r="H27">
        <v>88.528000000000006</v>
      </c>
      <c r="I27">
        <v>112.842</v>
      </c>
      <c r="J27">
        <f t="shared" si="0"/>
        <v>24.313999999999993</v>
      </c>
      <c r="K27">
        <f t="shared" si="1"/>
        <v>2.3657521999999993</v>
      </c>
      <c r="L27" s="3">
        <f t="shared" si="2"/>
        <v>47.315043999999986</v>
      </c>
      <c r="M27">
        <v>68.739999999999995</v>
      </c>
      <c r="N27">
        <v>1561</v>
      </c>
      <c r="O27">
        <v>1812</v>
      </c>
      <c r="P27">
        <v>91.19</v>
      </c>
      <c r="Q27">
        <f t="shared" si="3"/>
        <v>22.450000000000003</v>
      </c>
      <c r="R27" t="s">
        <v>272</v>
      </c>
      <c r="T27">
        <v>9</v>
      </c>
      <c r="U27">
        <v>4</v>
      </c>
      <c r="V27" t="s">
        <v>458</v>
      </c>
    </row>
    <row r="28" spans="1:25" x14ac:dyDescent="0.55000000000000004">
      <c r="A28">
        <v>14</v>
      </c>
      <c r="B28" s="14" t="s">
        <v>457</v>
      </c>
      <c r="C28" s="14" t="s">
        <v>274</v>
      </c>
      <c r="D28" t="s">
        <v>251</v>
      </c>
      <c r="E28" t="s">
        <v>89</v>
      </c>
      <c r="F28" t="s">
        <v>310</v>
      </c>
      <c r="G28">
        <v>0.01</v>
      </c>
      <c r="H28">
        <v>74.606999999999999</v>
      </c>
      <c r="I28">
        <v>94.94</v>
      </c>
      <c r="J28">
        <f t="shared" si="0"/>
        <v>20.332999999999998</v>
      </c>
      <c r="K28">
        <f t="shared" si="1"/>
        <v>1.9784008999999998</v>
      </c>
      <c r="L28" s="3">
        <f t="shared" si="2"/>
        <v>39.568017999999995</v>
      </c>
      <c r="M28">
        <v>68.739999999999995</v>
      </c>
      <c r="N28">
        <v>2275</v>
      </c>
      <c r="O28">
        <v>2501</v>
      </c>
      <c r="P28">
        <v>125.86</v>
      </c>
      <c r="Q28">
        <f t="shared" si="3"/>
        <v>57.120000000000005</v>
      </c>
      <c r="R28" t="s">
        <v>270</v>
      </c>
      <c r="T28" s="15"/>
      <c r="U28" s="15"/>
    </row>
    <row r="29" spans="1:25" x14ac:dyDescent="0.55000000000000004">
      <c r="A29">
        <v>15</v>
      </c>
      <c r="B29" s="14" t="s">
        <v>457</v>
      </c>
      <c r="C29" s="14" t="s">
        <v>275</v>
      </c>
      <c r="D29" t="s">
        <v>251</v>
      </c>
      <c r="E29" t="s">
        <v>89</v>
      </c>
      <c r="F29" t="s">
        <v>310</v>
      </c>
      <c r="G29">
        <v>0.01</v>
      </c>
      <c r="H29">
        <v>88.528000000000006</v>
      </c>
      <c r="I29">
        <v>115.349</v>
      </c>
      <c r="J29">
        <f t="shared" si="0"/>
        <v>26.820999999999998</v>
      </c>
      <c r="K29">
        <f t="shared" si="1"/>
        <v>2.6096832999999999</v>
      </c>
      <c r="L29" s="3">
        <f t="shared" si="2"/>
        <v>52.193666</v>
      </c>
      <c r="M29">
        <v>68.739999999999995</v>
      </c>
      <c r="N29">
        <v>1561</v>
      </c>
      <c r="O29">
        <v>3152</v>
      </c>
      <c r="P29">
        <v>158.62</v>
      </c>
      <c r="Q29">
        <f t="shared" si="3"/>
        <v>89.88000000000001</v>
      </c>
      <c r="R29" t="s">
        <v>271</v>
      </c>
      <c r="T29" s="15"/>
      <c r="U29" s="15"/>
      <c r="W29">
        <f>SUM(T9:T30)</f>
        <v>53</v>
      </c>
      <c r="X29">
        <f>SUM(U9:U27)</f>
        <v>13</v>
      </c>
      <c r="Y29">
        <f>X29/(W29+X29)</f>
        <v>0.19696969696969696</v>
      </c>
    </row>
    <row r="30" spans="1:25" x14ac:dyDescent="0.55000000000000004">
      <c r="B30" s="13" t="s">
        <v>167</v>
      </c>
      <c r="C30" s="13" t="s">
        <v>168</v>
      </c>
      <c r="D30" s="13" t="s">
        <v>169</v>
      </c>
      <c r="E30" s="11" t="s">
        <v>89</v>
      </c>
      <c r="F30" t="s">
        <v>310</v>
      </c>
      <c r="G30" s="11">
        <v>0.01</v>
      </c>
      <c r="H30" s="11" t="s">
        <v>18</v>
      </c>
      <c r="I30" s="11"/>
      <c r="M30" s="11" t="s">
        <v>47</v>
      </c>
      <c r="N30" s="11"/>
      <c r="O30" s="11"/>
      <c r="P30" s="11"/>
      <c r="Q30" s="11"/>
      <c r="R30" s="11"/>
      <c r="S30" s="11"/>
      <c r="T30" s="90"/>
      <c r="U30" s="90"/>
    </row>
    <row r="31" spans="1:25" x14ac:dyDescent="0.55000000000000004">
      <c r="A31">
        <v>16</v>
      </c>
      <c r="B31" s="13" t="s">
        <v>167</v>
      </c>
      <c r="C31" s="13" t="s">
        <v>351</v>
      </c>
      <c r="D31" s="13" t="s">
        <v>373</v>
      </c>
      <c r="E31" s="11" t="s">
        <v>89</v>
      </c>
      <c r="F31" t="s">
        <v>310</v>
      </c>
      <c r="G31" s="11">
        <v>0.01</v>
      </c>
      <c r="H31" s="11">
        <v>78.822999999999993</v>
      </c>
      <c r="I31" s="11">
        <v>84.388999999999996</v>
      </c>
      <c r="J31">
        <f>I31-H31</f>
        <v>5.5660000000000025</v>
      </c>
      <c r="K31">
        <f>J31*0.0973</f>
        <v>0.54157180000000027</v>
      </c>
      <c r="L31" s="3">
        <f>K31*20</f>
        <v>10.831436000000005</v>
      </c>
      <c r="M31" s="11" t="s">
        <v>83</v>
      </c>
      <c r="N31" s="14">
        <v>2112</v>
      </c>
      <c r="O31" s="11">
        <v>2412</v>
      </c>
      <c r="P31" s="11">
        <v>119.86</v>
      </c>
      <c r="Q31" s="11"/>
      <c r="R31" s="11" t="s">
        <v>350</v>
      </c>
      <c r="S31" s="11"/>
      <c r="T31" s="23">
        <v>2</v>
      </c>
      <c r="U31" s="23">
        <v>1</v>
      </c>
    </row>
    <row r="32" spans="1:25" x14ac:dyDescent="0.55000000000000004">
      <c r="B32" s="13" t="s">
        <v>167</v>
      </c>
      <c r="C32" s="13" t="s">
        <v>352</v>
      </c>
      <c r="D32" s="13" t="s">
        <v>373</v>
      </c>
      <c r="E32" s="11" t="s">
        <v>89</v>
      </c>
      <c r="F32" t="s">
        <v>310</v>
      </c>
      <c r="G32" s="11">
        <v>0.01</v>
      </c>
      <c r="H32" s="11" t="s">
        <v>354</v>
      </c>
      <c r="I32" s="11"/>
      <c r="M32" s="11" t="s">
        <v>83</v>
      </c>
      <c r="N32" s="11" t="s">
        <v>353</v>
      </c>
      <c r="O32" s="11">
        <v>4403</v>
      </c>
      <c r="P32" s="14">
        <v>218.8</v>
      </c>
      <c r="Q32" s="11"/>
      <c r="R32" s="11"/>
      <c r="S32" s="11"/>
      <c r="T32" s="90"/>
      <c r="U32" s="90"/>
    </row>
    <row r="33" spans="1:25" s="6" customFormat="1" x14ac:dyDescent="0.55000000000000004">
      <c r="B33" s="22" t="s">
        <v>167</v>
      </c>
      <c r="C33" s="22" t="s">
        <v>357</v>
      </c>
      <c r="D33" s="22" t="s">
        <v>374</v>
      </c>
      <c r="E33" s="22" t="s">
        <v>89</v>
      </c>
      <c r="F33" t="s">
        <v>310</v>
      </c>
      <c r="G33" s="22">
        <v>0.01</v>
      </c>
      <c r="H33" s="22">
        <v>76.034000000000006</v>
      </c>
      <c r="I33" s="22">
        <v>74.183999999999997</v>
      </c>
      <c r="J33" s="6">
        <f t="shared" ref="J33:J38" si="4">I33-H33</f>
        <v>-1.8500000000000085</v>
      </c>
      <c r="K33" s="6">
        <f t="shared" ref="K33:K38" si="5">J33*0.0973</f>
        <v>-0.18000500000000083</v>
      </c>
      <c r="L33" s="12">
        <f t="shared" ref="L33:L38" si="6">K33*20</f>
        <v>-3.6001000000000167</v>
      </c>
      <c r="M33" s="22">
        <v>61.6</v>
      </c>
      <c r="N33" s="22">
        <v>1534</v>
      </c>
      <c r="O33" s="22">
        <v>4521</v>
      </c>
      <c r="P33" s="22">
        <v>218.26</v>
      </c>
      <c r="Q33" s="22"/>
      <c r="R33" s="22"/>
      <c r="S33" s="22"/>
      <c r="T33" s="91">
        <v>4</v>
      </c>
      <c r="U33" s="91">
        <v>2</v>
      </c>
    </row>
    <row r="34" spans="1:25" x14ac:dyDescent="0.55000000000000004">
      <c r="A34">
        <v>17</v>
      </c>
      <c r="B34" s="13" t="s">
        <v>167</v>
      </c>
      <c r="C34" s="13" t="s">
        <v>358</v>
      </c>
      <c r="D34" s="13" t="s">
        <v>374</v>
      </c>
      <c r="E34" s="11" t="s">
        <v>89</v>
      </c>
      <c r="F34" t="s">
        <v>310</v>
      </c>
      <c r="G34" s="11">
        <v>0.01</v>
      </c>
      <c r="H34" s="11">
        <v>76.034000000000006</v>
      </c>
      <c r="I34" s="11">
        <v>77.384</v>
      </c>
      <c r="J34">
        <f t="shared" si="4"/>
        <v>1.3499999999999943</v>
      </c>
      <c r="K34">
        <f t="shared" si="5"/>
        <v>0.13135499999999944</v>
      </c>
      <c r="L34" s="3">
        <f t="shared" si="6"/>
        <v>2.6270999999999889</v>
      </c>
      <c r="M34" s="11">
        <v>61.6</v>
      </c>
      <c r="N34" s="11">
        <v>1534</v>
      </c>
      <c r="O34" s="11">
        <v>6126</v>
      </c>
      <c r="P34" s="14">
        <v>295.74</v>
      </c>
      <c r="Q34" s="11"/>
      <c r="R34" s="11" t="s">
        <v>356</v>
      </c>
      <c r="S34" s="11"/>
      <c r="T34" s="90"/>
      <c r="U34" s="90"/>
    </row>
    <row r="35" spans="1:25" x14ac:dyDescent="0.55000000000000004">
      <c r="A35">
        <v>18</v>
      </c>
      <c r="B35" s="13" t="s">
        <v>167</v>
      </c>
      <c r="C35" s="13" t="s">
        <v>358</v>
      </c>
      <c r="D35" s="13" t="s">
        <v>374</v>
      </c>
      <c r="E35" s="11" t="s">
        <v>89</v>
      </c>
      <c r="F35" t="s">
        <v>310</v>
      </c>
      <c r="G35" s="11">
        <v>0.01</v>
      </c>
      <c r="H35" s="11">
        <v>76.034000000000006</v>
      </c>
      <c r="I35" s="11">
        <v>81.106999999999999</v>
      </c>
      <c r="J35">
        <f t="shared" si="4"/>
        <v>5.0729999999999933</v>
      </c>
      <c r="K35">
        <f t="shared" si="5"/>
        <v>0.49360289999999934</v>
      </c>
      <c r="L35" s="3">
        <f t="shared" si="6"/>
        <v>9.8720579999999867</v>
      </c>
      <c r="M35" s="11">
        <v>61.6</v>
      </c>
      <c r="N35" s="11">
        <v>1534</v>
      </c>
      <c r="O35" s="11">
        <v>7384</v>
      </c>
      <c r="P35" s="14">
        <v>356.48</v>
      </c>
      <c r="Q35" s="11"/>
      <c r="R35" s="11" t="s">
        <v>359</v>
      </c>
      <c r="S35" s="11"/>
      <c r="T35" s="90"/>
      <c r="U35" s="90"/>
    </row>
    <row r="36" spans="1:25" x14ac:dyDescent="0.55000000000000004">
      <c r="A36">
        <v>19</v>
      </c>
      <c r="B36" s="13" t="s">
        <v>167</v>
      </c>
      <c r="C36" s="13" t="s">
        <v>360</v>
      </c>
      <c r="D36" s="13" t="s">
        <v>375</v>
      </c>
      <c r="E36" s="11" t="s">
        <v>89</v>
      </c>
      <c r="F36" t="s">
        <v>310</v>
      </c>
      <c r="G36" s="11">
        <v>0.01</v>
      </c>
      <c r="H36" s="11">
        <v>73.111000000000004</v>
      </c>
      <c r="I36" s="11">
        <v>79.266999999999996</v>
      </c>
      <c r="J36" s="11">
        <f t="shared" si="4"/>
        <v>6.1559999999999917</v>
      </c>
      <c r="K36" s="11">
        <f t="shared" si="5"/>
        <v>0.59897879999999915</v>
      </c>
      <c r="L36" s="23">
        <f t="shared" si="6"/>
        <v>11.979575999999984</v>
      </c>
      <c r="M36" s="11">
        <v>146.1</v>
      </c>
      <c r="N36" s="11">
        <v>5263</v>
      </c>
      <c r="O36" s="11">
        <v>6936</v>
      </c>
      <c r="P36" s="14">
        <v>337.78</v>
      </c>
      <c r="Q36" s="11"/>
      <c r="R36" s="11"/>
      <c r="S36" s="11"/>
      <c r="T36" s="23">
        <v>5</v>
      </c>
      <c r="U36" s="23">
        <v>3</v>
      </c>
    </row>
    <row r="37" spans="1:25" s="10" customFormat="1" x14ac:dyDescent="0.55000000000000004">
      <c r="A37">
        <v>20</v>
      </c>
      <c r="B37" s="13" t="s">
        <v>167</v>
      </c>
      <c r="C37" s="13" t="s">
        <v>361</v>
      </c>
      <c r="D37" s="13" t="s">
        <v>375</v>
      </c>
      <c r="E37" s="11" t="s">
        <v>89</v>
      </c>
      <c r="F37" t="s">
        <v>310</v>
      </c>
      <c r="G37" s="11">
        <v>0.01</v>
      </c>
      <c r="H37" s="11">
        <v>83.150999999999996</v>
      </c>
      <c r="I37" s="11">
        <v>89.228999999999999</v>
      </c>
      <c r="J37" s="11">
        <f t="shared" si="4"/>
        <v>6.078000000000003</v>
      </c>
      <c r="K37" s="11">
        <f t="shared" si="5"/>
        <v>0.59138940000000029</v>
      </c>
      <c r="L37" s="23">
        <f t="shared" si="6"/>
        <v>11.827788000000005</v>
      </c>
      <c r="M37" s="11">
        <v>146.1</v>
      </c>
      <c r="N37" s="11">
        <v>5899</v>
      </c>
      <c r="O37" s="11">
        <v>8398</v>
      </c>
      <c r="P37" s="14">
        <v>408.98</v>
      </c>
      <c r="Q37" s="11"/>
      <c r="R37" s="11"/>
      <c r="S37" s="11"/>
      <c r="T37" s="90"/>
      <c r="U37" s="90"/>
    </row>
    <row r="38" spans="1:25" x14ac:dyDescent="0.55000000000000004">
      <c r="A38">
        <v>21</v>
      </c>
      <c r="B38" s="13" t="s">
        <v>167</v>
      </c>
      <c r="C38" s="13" t="s">
        <v>362</v>
      </c>
      <c r="D38" s="13" t="s">
        <v>375</v>
      </c>
      <c r="E38" s="11" t="s">
        <v>89</v>
      </c>
      <c r="F38" s="11" t="s">
        <v>310</v>
      </c>
      <c r="G38" s="11">
        <v>0.01</v>
      </c>
      <c r="H38" s="11">
        <v>79.332999999999998</v>
      </c>
      <c r="I38" s="11">
        <v>80.840999999999994</v>
      </c>
      <c r="J38" s="11">
        <f t="shared" si="4"/>
        <v>1.5079999999999956</v>
      </c>
      <c r="K38" s="11">
        <f t="shared" si="5"/>
        <v>0.14672839999999956</v>
      </c>
      <c r="L38" s="23">
        <f t="shared" si="6"/>
        <v>2.9345679999999912</v>
      </c>
      <c r="M38" s="11">
        <v>146.1</v>
      </c>
      <c r="N38" s="11">
        <v>6540</v>
      </c>
      <c r="O38" s="11">
        <v>8398</v>
      </c>
      <c r="P38" s="14">
        <v>408.98</v>
      </c>
      <c r="Q38" s="11"/>
      <c r="R38" s="11"/>
      <c r="S38" s="11"/>
      <c r="T38" s="90"/>
      <c r="U38" s="90"/>
      <c r="W38">
        <f>SUM(T31:T37)</f>
        <v>11</v>
      </c>
      <c r="X38">
        <f>SUM(U31:U36)</f>
        <v>6</v>
      </c>
      <c r="Y38">
        <f>X38/(W38+X38)</f>
        <v>0.35294117647058826</v>
      </c>
    </row>
    <row r="40" spans="1:25" x14ac:dyDescent="0.55000000000000004">
      <c r="K40" t="s">
        <v>166</v>
      </c>
      <c r="L40" s="3">
        <f>(SUM(L2:L7,L12,L20:L21,L24:L29,L31,L34:L38))/(COUNT(L2:L7,L12,L20:L21,L24:L29,L31,L34:L38))</f>
        <v>28.143144666666672</v>
      </c>
      <c r="T40">
        <f>SUM(T2:T38)</f>
        <v>84</v>
      </c>
      <c r="U40">
        <f>SUM(U2:U39)</f>
        <v>25</v>
      </c>
      <c r="W40">
        <f>SUM(W8:W38)</f>
        <v>84</v>
      </c>
      <c r="X40">
        <f>SUM(X8:X38)</f>
        <v>25</v>
      </c>
    </row>
    <row r="41" spans="1:25" x14ac:dyDescent="0.55000000000000004">
      <c r="K41" t="s">
        <v>237</v>
      </c>
      <c r="L41" s="3">
        <f xml:space="preserve"> STDEV(L2:L7,L12,L20:L29,L31,L33:L38)/SQRT(COUNT(L2:L7,L12,L20:L29,L31,L33:L38))</f>
        <v>5.3022423932243248</v>
      </c>
      <c r="T41">
        <f>(U40/T40)*100</f>
        <v>29.761904761904763</v>
      </c>
      <c r="W41" s="53">
        <f>(SUM(Y8,Y29,Y38)/3)*100</f>
        <v>26.022670140317199</v>
      </c>
      <c r="X41" s="53">
        <f>(STDEV(Y8,Y29,Y38)/SQRT(COUNT(Y8,Y29,Y38)))*100</f>
        <v>4.7372926644291908</v>
      </c>
    </row>
    <row r="43" spans="1:25" x14ac:dyDescent="0.55000000000000004">
      <c r="A43" s="27">
        <v>78.153306000000001</v>
      </c>
      <c r="B43" s="27">
        <v>31.464873999999995</v>
      </c>
      <c r="C43" s="27">
        <v>47.832679999999996</v>
      </c>
      <c r="D43" s="27">
        <v>42.130899999999983</v>
      </c>
      <c r="E43" s="27">
        <v>82.232121999999976</v>
      </c>
      <c r="F43" s="27"/>
      <c r="G43" s="27">
        <v>25.823419999999992</v>
      </c>
      <c r="H43" s="27">
        <v>54.867470000000012</v>
      </c>
      <c r="I43" s="27">
        <v>1.1734379999999891</v>
      </c>
      <c r="J43" s="27">
        <v>9.3544220000000049</v>
      </c>
      <c r="K43" s="27">
        <v>11.880330000000008</v>
      </c>
      <c r="L43" s="105">
        <v>5.0965739999999995</v>
      </c>
      <c r="M43" s="27">
        <v>11.847248000000015</v>
      </c>
      <c r="N43" s="27">
        <v>47.315043999999986</v>
      </c>
      <c r="O43" s="27">
        <v>39.568017999999995</v>
      </c>
      <c r="P43" s="27">
        <v>52.193666</v>
      </c>
      <c r="Q43">
        <v>10.831436000000005</v>
      </c>
      <c r="R43">
        <v>2.6270999999999889</v>
      </c>
      <c r="S43">
        <v>9.8720579999999867</v>
      </c>
      <c r="T43">
        <v>11.979575999999984</v>
      </c>
      <c r="U43">
        <v>11.827788000000005</v>
      </c>
      <c r="V43">
        <v>2.9345679999999912</v>
      </c>
      <c r="X43" s="3">
        <f>(SUM(A43:V43))/(COUNT(A43:V43))</f>
        <v>28.143144666666672</v>
      </c>
    </row>
  </sheetData>
  <pageMargins left="0.7" right="0.7" top="0.75" bottom="0.75" header="0.3" footer="0.3"/>
  <pageSetup paperSize="9" orientation="portrait" horizontalDpi="4294967293"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5"/>
  <dimension ref="B1:Q12"/>
  <sheetViews>
    <sheetView workbookViewId="0">
      <selection activeCell="D16" sqref="D16"/>
    </sheetView>
  </sheetViews>
  <sheetFormatPr defaultRowHeight="14.4" x14ac:dyDescent="0.55000000000000004"/>
  <cols>
    <col min="2" max="3" width="11.3125" customWidth="1"/>
  </cols>
  <sheetData>
    <row r="1" spans="2:17" ht="43.2" x14ac:dyDescent="0.55000000000000004">
      <c r="B1" t="s">
        <v>90</v>
      </c>
      <c r="C1" s="1" t="s">
        <v>0</v>
      </c>
      <c r="D1" s="1" t="s">
        <v>1</v>
      </c>
      <c r="E1" s="1" t="s">
        <v>88</v>
      </c>
      <c r="F1" s="1" t="s">
        <v>2</v>
      </c>
      <c r="G1" s="1" t="s">
        <v>3</v>
      </c>
      <c r="H1" s="1" t="s">
        <v>11</v>
      </c>
      <c r="I1" s="1" t="s">
        <v>12</v>
      </c>
      <c r="J1" s="2" t="s">
        <v>4</v>
      </c>
      <c r="K1" s="1" t="s">
        <v>19</v>
      </c>
      <c r="L1" s="1" t="s">
        <v>10</v>
      </c>
      <c r="M1" s="1" t="s">
        <v>8</v>
      </c>
      <c r="N1" s="1" t="s">
        <v>9</v>
      </c>
      <c r="O1" s="1" t="s">
        <v>123</v>
      </c>
      <c r="P1" s="1" t="s">
        <v>5</v>
      </c>
      <c r="Q1" s="1" t="s">
        <v>55</v>
      </c>
    </row>
    <row r="2" spans="2:17" x14ac:dyDescent="0.55000000000000004">
      <c r="B2" t="s">
        <v>170</v>
      </c>
      <c r="C2" t="s">
        <v>171</v>
      </c>
      <c r="D2" t="s">
        <v>181</v>
      </c>
      <c r="E2" t="s">
        <v>191</v>
      </c>
      <c r="F2" t="s">
        <v>18</v>
      </c>
      <c r="K2" t="s">
        <v>47</v>
      </c>
      <c r="P2" t="s">
        <v>192</v>
      </c>
    </row>
    <row r="3" spans="2:17" x14ac:dyDescent="0.55000000000000004">
      <c r="B3" t="s">
        <v>170</v>
      </c>
      <c r="C3" t="s">
        <v>172</v>
      </c>
      <c r="D3" t="s">
        <v>182</v>
      </c>
      <c r="E3" t="s">
        <v>191</v>
      </c>
      <c r="F3" t="s">
        <v>18</v>
      </c>
      <c r="K3" t="s">
        <v>47</v>
      </c>
      <c r="P3" t="s">
        <v>192</v>
      </c>
    </row>
    <row r="4" spans="2:17" x14ac:dyDescent="0.55000000000000004">
      <c r="B4" t="s">
        <v>170</v>
      </c>
      <c r="C4" t="s">
        <v>173</v>
      </c>
      <c r="D4" t="s">
        <v>183</v>
      </c>
      <c r="E4" t="s">
        <v>191</v>
      </c>
      <c r="F4" t="s">
        <v>18</v>
      </c>
      <c r="K4">
        <v>132.78</v>
      </c>
      <c r="P4" t="s">
        <v>193</v>
      </c>
    </row>
    <row r="5" spans="2:17" ht="16.95" customHeight="1" x14ac:dyDescent="0.55000000000000004">
      <c r="B5" t="s">
        <v>170</v>
      </c>
      <c r="C5" t="s">
        <v>174</v>
      </c>
      <c r="D5" t="s">
        <v>184</v>
      </c>
      <c r="E5" t="s">
        <v>191</v>
      </c>
      <c r="F5" t="s">
        <v>18</v>
      </c>
      <c r="K5" t="s">
        <v>47</v>
      </c>
      <c r="P5" t="s">
        <v>194</v>
      </c>
    </row>
    <row r="6" spans="2:17" x14ac:dyDescent="0.55000000000000004">
      <c r="B6" t="s">
        <v>170</v>
      </c>
      <c r="C6" t="s">
        <v>175</v>
      </c>
      <c r="D6" t="s">
        <v>185</v>
      </c>
      <c r="E6" t="s">
        <v>191</v>
      </c>
      <c r="F6">
        <v>86.992999999999995</v>
      </c>
      <c r="G6">
        <v>96.997</v>
      </c>
      <c r="H6">
        <f>G6-F6</f>
        <v>10.004000000000005</v>
      </c>
      <c r="I6">
        <f>H6*0.0973</f>
        <v>0.9733892000000004</v>
      </c>
      <c r="J6">
        <f>I6*20</f>
        <v>19.467784000000009</v>
      </c>
      <c r="K6">
        <v>136.52000000000001</v>
      </c>
      <c r="L6">
        <v>763</v>
      </c>
      <c r="M6">
        <v>927</v>
      </c>
      <c r="N6">
        <v>186.66</v>
      </c>
    </row>
    <row r="7" spans="2:17" x14ac:dyDescent="0.55000000000000004">
      <c r="B7" t="s">
        <v>170</v>
      </c>
      <c r="C7" t="s">
        <v>175</v>
      </c>
      <c r="D7" t="s">
        <v>185</v>
      </c>
      <c r="E7" t="s">
        <v>191</v>
      </c>
      <c r="M7">
        <v>1013</v>
      </c>
    </row>
    <row r="8" spans="2:17" x14ac:dyDescent="0.55000000000000004">
      <c r="B8" t="s">
        <v>170</v>
      </c>
      <c r="C8" t="s">
        <v>176</v>
      </c>
      <c r="D8" t="s">
        <v>186</v>
      </c>
      <c r="E8" t="s">
        <v>191</v>
      </c>
    </row>
    <row r="9" spans="2:17" x14ac:dyDescent="0.55000000000000004">
      <c r="B9" t="s">
        <v>170</v>
      </c>
      <c r="C9" t="s">
        <v>177</v>
      </c>
      <c r="D9" t="s">
        <v>187</v>
      </c>
      <c r="E9" t="s">
        <v>191</v>
      </c>
    </row>
    <row r="10" spans="2:17" x14ac:dyDescent="0.55000000000000004">
      <c r="B10" t="s">
        <v>170</v>
      </c>
      <c r="C10" t="s">
        <v>178</v>
      </c>
      <c r="D10" t="s">
        <v>188</v>
      </c>
      <c r="E10" t="s">
        <v>191</v>
      </c>
    </row>
    <row r="11" spans="2:17" x14ac:dyDescent="0.55000000000000004">
      <c r="B11" t="s">
        <v>170</v>
      </c>
      <c r="C11" t="s">
        <v>179</v>
      </c>
      <c r="D11" t="s">
        <v>189</v>
      </c>
      <c r="E11" t="s">
        <v>191</v>
      </c>
    </row>
    <row r="12" spans="2:17" x14ac:dyDescent="0.55000000000000004">
      <c r="B12" t="s">
        <v>170</v>
      </c>
      <c r="C12" t="s">
        <v>180</v>
      </c>
      <c r="D12" t="s">
        <v>190</v>
      </c>
      <c r="E12" t="s">
        <v>191</v>
      </c>
    </row>
  </sheetData>
  <pageMargins left="0.7" right="0.7" top="0.75" bottom="0.75" header="0.3" footer="0.3"/>
  <pageSetup paperSize="9" orientation="portrait" horizontalDpi="4294967293"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6"/>
  <dimension ref="A1:AF57"/>
  <sheetViews>
    <sheetView zoomScale="70" zoomScaleNormal="70" workbookViewId="0">
      <selection activeCell="W53" sqref="W2:W53"/>
    </sheetView>
  </sheetViews>
  <sheetFormatPr defaultRowHeight="14.4" x14ac:dyDescent="0.55000000000000004"/>
  <cols>
    <col min="2" max="2" width="17.1015625" customWidth="1"/>
    <col min="4" max="4" width="10.68359375" customWidth="1"/>
    <col min="12" max="12" width="8.89453125" style="3"/>
    <col min="13" max="13" width="11.5234375" customWidth="1"/>
  </cols>
  <sheetData>
    <row r="1" spans="1:32" ht="72" x14ac:dyDescent="0.55000000000000004">
      <c r="B1" s="1" t="s">
        <v>0</v>
      </c>
      <c r="C1" s="1" t="s">
        <v>1</v>
      </c>
      <c r="D1" s="1" t="s">
        <v>90</v>
      </c>
      <c r="E1" s="1" t="s">
        <v>88</v>
      </c>
      <c r="F1" s="1"/>
      <c r="G1" s="1" t="s">
        <v>212</v>
      </c>
      <c r="H1" s="1" t="s">
        <v>2</v>
      </c>
      <c r="I1" s="1" t="s">
        <v>3</v>
      </c>
      <c r="J1" s="1" t="s">
        <v>11</v>
      </c>
      <c r="K1" s="1" t="s">
        <v>12</v>
      </c>
      <c r="L1" s="2" t="s">
        <v>4</v>
      </c>
      <c r="M1" s="1" t="s">
        <v>19</v>
      </c>
      <c r="N1" s="1" t="s">
        <v>10</v>
      </c>
      <c r="O1" s="1" t="s">
        <v>8</v>
      </c>
      <c r="P1" s="1" t="s">
        <v>9</v>
      </c>
      <c r="Q1" s="1" t="s">
        <v>123</v>
      </c>
      <c r="R1" s="1" t="s">
        <v>5</v>
      </c>
      <c r="S1" s="2" t="s">
        <v>326</v>
      </c>
      <c r="T1" s="3" t="s">
        <v>327</v>
      </c>
      <c r="W1" s="1" t="s">
        <v>871</v>
      </c>
    </row>
    <row r="2" spans="1:32" x14ac:dyDescent="0.55000000000000004">
      <c r="B2" t="s">
        <v>195</v>
      </c>
      <c r="C2" t="s">
        <v>202</v>
      </c>
      <c r="D2" t="s">
        <v>213</v>
      </c>
      <c r="E2" t="s">
        <v>89</v>
      </c>
      <c r="F2" t="s">
        <v>728</v>
      </c>
      <c r="G2">
        <v>10</v>
      </c>
      <c r="H2" t="s">
        <v>214</v>
      </c>
      <c r="S2" s="15"/>
      <c r="T2" s="15"/>
    </row>
    <row r="3" spans="1:32" x14ac:dyDescent="0.55000000000000004">
      <c r="B3" t="s">
        <v>196</v>
      </c>
      <c r="C3" t="s">
        <v>203</v>
      </c>
      <c r="D3" t="s">
        <v>213</v>
      </c>
      <c r="E3" t="s">
        <v>89</v>
      </c>
      <c r="F3" t="s">
        <v>728</v>
      </c>
      <c r="G3">
        <v>10</v>
      </c>
      <c r="H3" t="s">
        <v>18</v>
      </c>
      <c r="M3">
        <v>103.18</v>
      </c>
      <c r="S3">
        <v>0</v>
      </c>
      <c r="T3">
        <v>0</v>
      </c>
      <c r="AA3" t="s">
        <v>224</v>
      </c>
      <c r="AB3">
        <v>16.655813999999996</v>
      </c>
      <c r="AC3">
        <v>8.5643459999999934</v>
      </c>
      <c r="AD3">
        <v>26.72831</v>
      </c>
      <c r="AE3">
        <v>28.717121999999978</v>
      </c>
      <c r="AF3" s="9">
        <v>56.973042000000007</v>
      </c>
    </row>
    <row r="4" spans="1:32" x14ac:dyDescent="0.55000000000000004">
      <c r="B4" t="s">
        <v>197</v>
      </c>
      <c r="C4" t="s">
        <v>204</v>
      </c>
      <c r="D4" t="s">
        <v>213</v>
      </c>
      <c r="E4" t="s">
        <v>89</v>
      </c>
      <c r="F4" t="s">
        <v>728</v>
      </c>
      <c r="G4">
        <v>10</v>
      </c>
      <c r="H4" t="s">
        <v>216</v>
      </c>
      <c r="M4">
        <v>53.7</v>
      </c>
      <c r="R4" t="s">
        <v>215</v>
      </c>
      <c r="W4" s="51"/>
    </row>
    <row r="5" spans="1:32" x14ac:dyDescent="0.55000000000000004">
      <c r="B5" t="s">
        <v>198</v>
      </c>
      <c r="C5" t="s">
        <v>205</v>
      </c>
      <c r="D5" t="s">
        <v>213</v>
      </c>
      <c r="E5" t="s">
        <v>89</v>
      </c>
      <c r="F5" t="s">
        <v>728</v>
      </c>
      <c r="G5">
        <v>10</v>
      </c>
      <c r="H5" t="s">
        <v>214</v>
      </c>
      <c r="S5" s="15"/>
      <c r="T5" s="15"/>
      <c r="W5" s="51"/>
    </row>
    <row r="6" spans="1:32" x14ac:dyDescent="0.55000000000000004">
      <c r="A6">
        <v>1</v>
      </c>
      <c r="B6" t="s">
        <v>220</v>
      </c>
      <c r="C6" t="s">
        <v>206</v>
      </c>
      <c r="D6" t="s">
        <v>213</v>
      </c>
      <c r="E6" t="s">
        <v>89</v>
      </c>
      <c r="F6" t="s">
        <v>728</v>
      </c>
      <c r="G6">
        <v>10</v>
      </c>
      <c r="H6">
        <v>87.506</v>
      </c>
      <c r="I6">
        <v>96.064999999999998</v>
      </c>
      <c r="J6">
        <f t="shared" ref="J6:J49" si="0">I6-H6</f>
        <v>8.5589999999999975</v>
      </c>
      <c r="K6">
        <f t="shared" ref="K6:K49" si="1">J6*0.0973</f>
        <v>0.83279069999999977</v>
      </c>
      <c r="L6" s="3">
        <f t="shared" ref="L6:L49" si="2">K6*20</f>
        <v>16.655813999999996</v>
      </c>
      <c r="M6">
        <v>98.72</v>
      </c>
      <c r="N6">
        <v>4623</v>
      </c>
      <c r="O6">
        <v>5018</v>
      </c>
      <c r="P6">
        <v>253.66</v>
      </c>
      <c r="Q6">
        <f>P6-M6</f>
        <v>154.94</v>
      </c>
      <c r="R6" t="s">
        <v>222</v>
      </c>
      <c r="S6">
        <v>13</v>
      </c>
      <c r="T6">
        <v>3</v>
      </c>
      <c r="W6" s="51">
        <f>T6/(S6)</f>
        <v>0.23076923076923078</v>
      </c>
    </row>
    <row r="7" spans="1:32" s="9" customFormat="1" x14ac:dyDescent="0.55000000000000004">
      <c r="A7" s="9">
        <v>2</v>
      </c>
      <c r="B7" s="9" t="s">
        <v>221</v>
      </c>
      <c r="C7" s="9" t="s">
        <v>206</v>
      </c>
      <c r="D7" s="9" t="s">
        <v>213</v>
      </c>
      <c r="E7" s="9" t="s">
        <v>89</v>
      </c>
      <c r="F7" t="s">
        <v>728</v>
      </c>
      <c r="G7" s="9">
        <v>10</v>
      </c>
      <c r="H7" s="9">
        <v>88.747</v>
      </c>
      <c r="I7" s="9">
        <v>93.147999999999996</v>
      </c>
      <c r="J7" s="9">
        <f t="shared" si="0"/>
        <v>4.4009999999999962</v>
      </c>
      <c r="K7" s="9">
        <f t="shared" si="1"/>
        <v>0.42821729999999963</v>
      </c>
      <c r="L7" s="20">
        <f t="shared" si="2"/>
        <v>8.5643459999999934</v>
      </c>
      <c r="M7" s="9">
        <v>98.72</v>
      </c>
      <c r="N7" s="9">
        <v>4623</v>
      </c>
      <c r="O7" s="9">
        <v>5018</v>
      </c>
      <c r="P7" s="9">
        <v>253.66</v>
      </c>
      <c r="Q7">
        <f>P7-M7</f>
        <v>154.94</v>
      </c>
      <c r="R7" s="9" t="s">
        <v>222</v>
      </c>
      <c r="S7" s="25"/>
      <c r="T7" s="25"/>
      <c r="W7" s="51"/>
    </row>
    <row r="8" spans="1:32" x14ac:dyDescent="0.55000000000000004">
      <c r="A8">
        <v>3</v>
      </c>
      <c r="B8" t="s">
        <v>217</v>
      </c>
      <c r="C8" t="s">
        <v>206</v>
      </c>
      <c r="D8" t="s">
        <v>213</v>
      </c>
      <c r="E8" t="s">
        <v>89</v>
      </c>
      <c r="F8" t="s">
        <v>728</v>
      </c>
      <c r="G8">
        <v>10</v>
      </c>
      <c r="H8">
        <v>78.935000000000002</v>
      </c>
      <c r="I8">
        <v>92.67</v>
      </c>
      <c r="J8" s="7">
        <f t="shared" si="0"/>
        <v>13.734999999999999</v>
      </c>
      <c r="K8" s="7">
        <f t="shared" si="1"/>
        <v>1.3364155</v>
      </c>
      <c r="L8" s="19">
        <f t="shared" si="2"/>
        <v>26.72831</v>
      </c>
      <c r="M8">
        <v>98.72</v>
      </c>
      <c r="N8">
        <v>2138</v>
      </c>
      <c r="O8">
        <v>5719</v>
      </c>
      <c r="P8">
        <v>289.10000000000002</v>
      </c>
      <c r="Q8">
        <f>P8-M8</f>
        <v>190.38000000000002</v>
      </c>
      <c r="R8" t="s">
        <v>219</v>
      </c>
      <c r="S8" s="15"/>
      <c r="T8" s="15"/>
      <c r="W8" s="51"/>
    </row>
    <row r="9" spans="1:32" x14ac:dyDescent="0.55000000000000004">
      <c r="A9">
        <v>4</v>
      </c>
      <c r="B9" t="s">
        <v>218</v>
      </c>
      <c r="C9" t="s">
        <v>206</v>
      </c>
      <c r="D9" t="s">
        <v>213</v>
      </c>
      <c r="E9" t="s">
        <v>89</v>
      </c>
      <c r="F9" t="s">
        <v>728</v>
      </c>
      <c r="G9">
        <v>10</v>
      </c>
      <c r="H9">
        <v>78.935000000000002</v>
      </c>
      <c r="I9">
        <v>93.691999999999993</v>
      </c>
      <c r="J9" s="7">
        <f t="shared" si="0"/>
        <v>14.756999999999991</v>
      </c>
      <c r="K9" s="7">
        <f t="shared" si="1"/>
        <v>1.435856099999999</v>
      </c>
      <c r="L9" s="19">
        <f t="shared" si="2"/>
        <v>28.717121999999978</v>
      </c>
      <c r="M9">
        <v>98.72</v>
      </c>
      <c r="N9">
        <v>2138</v>
      </c>
      <c r="O9">
        <v>6129</v>
      </c>
      <c r="P9">
        <v>309.82</v>
      </c>
      <c r="Q9">
        <f>P9-M9</f>
        <v>211.1</v>
      </c>
      <c r="R9" t="s">
        <v>219</v>
      </c>
      <c r="S9" s="15"/>
      <c r="T9" s="15"/>
      <c r="W9" s="51"/>
    </row>
    <row r="10" spans="1:32" x14ac:dyDescent="0.55000000000000004">
      <c r="A10">
        <v>5</v>
      </c>
      <c r="B10" t="s">
        <v>199</v>
      </c>
      <c r="C10" t="s">
        <v>207</v>
      </c>
      <c r="D10" t="s">
        <v>213</v>
      </c>
      <c r="E10" t="s">
        <v>89</v>
      </c>
      <c r="F10" t="s">
        <v>728</v>
      </c>
      <c r="G10">
        <v>10</v>
      </c>
      <c r="H10">
        <v>76.024000000000001</v>
      </c>
      <c r="I10">
        <v>105.301</v>
      </c>
      <c r="J10" s="7">
        <f t="shared" si="0"/>
        <v>29.277000000000001</v>
      </c>
      <c r="K10" s="7">
        <f t="shared" si="1"/>
        <v>2.8486521000000002</v>
      </c>
      <c r="L10" s="19">
        <f t="shared" si="2"/>
        <v>56.973042000000007</v>
      </c>
      <c r="M10">
        <v>6.24</v>
      </c>
      <c r="N10">
        <v>312</v>
      </c>
      <c r="O10">
        <v>508</v>
      </c>
      <c r="P10">
        <v>24.95</v>
      </c>
      <c r="Q10">
        <f>P10-M10</f>
        <v>18.71</v>
      </c>
      <c r="S10">
        <v>4</v>
      </c>
      <c r="T10">
        <v>1</v>
      </c>
      <c r="U10" t="s">
        <v>223</v>
      </c>
      <c r="W10" s="51">
        <f>T10/(S10)</f>
        <v>0.25</v>
      </c>
    </row>
    <row r="11" spans="1:32" x14ac:dyDescent="0.55000000000000004">
      <c r="A11" s="11"/>
      <c r="B11" s="11" t="s">
        <v>200</v>
      </c>
      <c r="C11" s="11" t="s">
        <v>208</v>
      </c>
      <c r="D11" s="11" t="s">
        <v>213</v>
      </c>
      <c r="E11" s="11" t="s">
        <v>89</v>
      </c>
      <c r="F11" t="s">
        <v>728</v>
      </c>
      <c r="G11" s="11">
        <v>10</v>
      </c>
      <c r="H11" s="11" t="s">
        <v>18</v>
      </c>
      <c r="I11" s="14"/>
      <c r="J11" s="14"/>
      <c r="K11" s="14"/>
      <c r="L11" s="26"/>
      <c r="M11" s="11">
        <v>44.34</v>
      </c>
      <c r="N11" s="11"/>
      <c r="O11" s="11"/>
      <c r="P11" s="11"/>
      <c r="Q11" s="11"/>
      <c r="R11" s="11"/>
      <c r="S11" s="11">
        <v>6</v>
      </c>
      <c r="T11" s="11">
        <v>0</v>
      </c>
      <c r="W11" s="51">
        <f>T11/(S11)</f>
        <v>0</v>
      </c>
    </row>
    <row r="12" spans="1:32" x14ac:dyDescent="0.55000000000000004">
      <c r="A12" s="11"/>
      <c r="B12" s="11" t="s">
        <v>201</v>
      </c>
      <c r="C12" s="11" t="s">
        <v>209</v>
      </c>
      <c r="D12" s="11" t="s">
        <v>213</v>
      </c>
      <c r="E12" s="11" t="s">
        <v>89</v>
      </c>
      <c r="F12" t="s">
        <v>728</v>
      </c>
      <c r="G12" s="11">
        <v>10</v>
      </c>
      <c r="H12" s="11" t="s">
        <v>18</v>
      </c>
      <c r="I12" s="11"/>
      <c r="J12" s="14"/>
      <c r="K12" s="14"/>
      <c r="L12" s="26"/>
      <c r="M12" s="11">
        <v>41.8</v>
      </c>
      <c r="N12" s="11"/>
      <c r="O12" s="11"/>
      <c r="P12" s="11"/>
      <c r="Q12" s="11"/>
      <c r="R12" s="11"/>
      <c r="S12" s="11">
        <v>7</v>
      </c>
      <c r="T12" s="11">
        <v>0</v>
      </c>
      <c r="W12" s="51">
        <f>T12/(S12)</f>
        <v>0</v>
      </c>
    </row>
    <row r="13" spans="1:32" x14ac:dyDescent="0.55000000000000004">
      <c r="A13" s="11"/>
      <c r="B13" s="11" t="s">
        <v>211</v>
      </c>
      <c r="C13" s="11" t="s">
        <v>210</v>
      </c>
      <c r="D13" s="11" t="s">
        <v>213</v>
      </c>
      <c r="E13" s="11" t="s">
        <v>89</v>
      </c>
      <c r="F13" t="s">
        <v>728</v>
      </c>
      <c r="G13" s="11">
        <v>10</v>
      </c>
      <c r="H13" s="11" t="s">
        <v>18</v>
      </c>
      <c r="I13" s="11"/>
      <c r="J13" s="14"/>
      <c r="K13" s="14"/>
      <c r="L13" s="26"/>
      <c r="M13" s="11">
        <v>18.989999999999998</v>
      </c>
      <c r="N13" s="11"/>
      <c r="O13" s="11"/>
      <c r="P13" s="11"/>
      <c r="Q13" s="11"/>
      <c r="R13" s="11"/>
      <c r="S13" s="11">
        <v>5</v>
      </c>
      <c r="T13" s="11">
        <v>0</v>
      </c>
      <c r="W13" s="51">
        <f>T13/(S13)</f>
        <v>0</v>
      </c>
    </row>
    <row r="14" spans="1:32" s="6" customFormat="1" x14ac:dyDescent="0.55000000000000004">
      <c r="B14" s="6" t="s">
        <v>284</v>
      </c>
      <c r="C14" s="6" t="s">
        <v>279</v>
      </c>
      <c r="D14" s="6" t="s">
        <v>283</v>
      </c>
      <c r="E14" s="6" t="s">
        <v>89</v>
      </c>
      <c r="F14" t="s">
        <v>728</v>
      </c>
      <c r="G14" s="6">
        <v>10</v>
      </c>
      <c r="H14" s="6">
        <v>96.697999999999993</v>
      </c>
      <c r="I14" s="6">
        <v>128.64400000000001</v>
      </c>
      <c r="J14" s="6">
        <f t="shared" si="0"/>
        <v>31.946000000000012</v>
      </c>
      <c r="K14" s="6">
        <f t="shared" si="1"/>
        <v>3.1083458000000013</v>
      </c>
      <c r="L14" s="12">
        <f t="shared" si="2"/>
        <v>62.166916000000029</v>
      </c>
      <c r="M14" s="6" t="s">
        <v>150</v>
      </c>
      <c r="N14" s="6">
        <v>823</v>
      </c>
      <c r="O14" s="6">
        <v>1745</v>
      </c>
      <c r="R14" s="6" t="s">
        <v>287</v>
      </c>
      <c r="S14" s="17"/>
      <c r="T14" s="17"/>
      <c r="W14" s="51"/>
    </row>
    <row r="15" spans="1:32" x14ac:dyDescent="0.55000000000000004">
      <c r="A15">
        <v>6</v>
      </c>
      <c r="B15" t="s">
        <v>285</v>
      </c>
      <c r="C15" t="s">
        <v>279</v>
      </c>
      <c r="D15" t="s">
        <v>283</v>
      </c>
      <c r="E15" t="s">
        <v>89</v>
      </c>
      <c r="F15" t="s">
        <v>728</v>
      </c>
      <c r="G15">
        <v>10</v>
      </c>
      <c r="H15">
        <v>75.213999999999999</v>
      </c>
      <c r="I15">
        <v>83.674000000000007</v>
      </c>
      <c r="J15" s="7">
        <f t="shared" si="0"/>
        <v>8.460000000000008</v>
      </c>
      <c r="K15" s="7">
        <f t="shared" si="1"/>
        <v>0.82315800000000072</v>
      </c>
      <c r="L15" s="19">
        <f t="shared" si="2"/>
        <v>16.463160000000016</v>
      </c>
      <c r="M15" t="s">
        <v>150</v>
      </c>
      <c r="N15">
        <v>1359</v>
      </c>
      <c r="O15">
        <v>1745</v>
      </c>
      <c r="R15" t="s">
        <v>286</v>
      </c>
      <c r="S15" s="15"/>
      <c r="T15" s="15"/>
      <c r="W15" s="51"/>
    </row>
    <row r="16" spans="1:32" x14ac:dyDescent="0.55000000000000004">
      <c r="B16" t="s">
        <v>276</v>
      </c>
      <c r="C16" t="s">
        <v>280</v>
      </c>
      <c r="D16" t="s">
        <v>283</v>
      </c>
      <c r="E16" t="s">
        <v>89</v>
      </c>
      <c r="F16" t="s">
        <v>728</v>
      </c>
      <c r="G16">
        <v>10</v>
      </c>
      <c r="H16" t="s">
        <v>18</v>
      </c>
      <c r="J16" s="7"/>
      <c r="K16" s="7"/>
      <c r="L16" s="19"/>
      <c r="M16">
        <v>91.41</v>
      </c>
      <c r="P16">
        <v>4889</v>
      </c>
      <c r="R16" t="s">
        <v>288</v>
      </c>
      <c r="S16" s="11">
        <v>5</v>
      </c>
      <c r="T16" s="11">
        <v>0</v>
      </c>
      <c r="W16" s="51">
        <f>T16/(S16)</f>
        <v>0</v>
      </c>
    </row>
    <row r="17" spans="1:23" x14ac:dyDescent="0.55000000000000004">
      <c r="B17" t="s">
        <v>276</v>
      </c>
      <c r="C17" t="s">
        <v>280</v>
      </c>
      <c r="D17" t="s">
        <v>283</v>
      </c>
      <c r="E17" t="s">
        <v>89</v>
      </c>
      <c r="F17" t="s">
        <v>728</v>
      </c>
      <c r="G17">
        <v>10</v>
      </c>
      <c r="H17" t="s">
        <v>18</v>
      </c>
      <c r="J17" s="7"/>
      <c r="K17" s="7"/>
      <c r="L17" s="19"/>
      <c r="M17">
        <v>273</v>
      </c>
      <c r="S17" s="11">
        <v>4</v>
      </c>
      <c r="T17" s="11">
        <v>0</v>
      </c>
      <c r="W17" s="51">
        <f>T17/(S17)</f>
        <v>0</v>
      </c>
    </row>
    <row r="18" spans="1:23" x14ac:dyDescent="0.55000000000000004">
      <c r="B18" t="s">
        <v>277</v>
      </c>
      <c r="C18" t="s">
        <v>281</v>
      </c>
      <c r="D18" t="s">
        <v>283</v>
      </c>
      <c r="E18" t="s">
        <v>89</v>
      </c>
      <c r="F18" t="s">
        <v>728</v>
      </c>
      <c r="G18">
        <v>10</v>
      </c>
      <c r="J18" s="7"/>
      <c r="K18" s="7"/>
      <c r="L18" s="19"/>
      <c r="M18" t="s">
        <v>289</v>
      </c>
      <c r="O18">
        <v>5614</v>
      </c>
      <c r="R18" t="s">
        <v>290</v>
      </c>
      <c r="S18" s="11">
        <v>8</v>
      </c>
      <c r="T18" s="11">
        <v>3</v>
      </c>
      <c r="W18" s="51">
        <f>T18/(S18)</f>
        <v>0.375</v>
      </c>
    </row>
    <row r="19" spans="1:23" x14ac:dyDescent="0.55000000000000004">
      <c r="A19">
        <v>7</v>
      </c>
      <c r="B19" t="s">
        <v>291</v>
      </c>
      <c r="C19" t="s">
        <v>281</v>
      </c>
      <c r="D19" t="s">
        <v>283</v>
      </c>
      <c r="E19" t="s">
        <v>89</v>
      </c>
      <c r="F19" t="s">
        <v>728</v>
      </c>
      <c r="G19">
        <v>10</v>
      </c>
      <c r="H19">
        <v>83.66</v>
      </c>
      <c r="I19">
        <v>112.702</v>
      </c>
      <c r="J19" s="7">
        <f t="shared" si="0"/>
        <v>29.042000000000002</v>
      </c>
      <c r="K19" s="7">
        <f t="shared" si="1"/>
        <v>2.8257866000000003</v>
      </c>
      <c r="L19" s="19">
        <f t="shared" si="2"/>
        <v>56.515732000000007</v>
      </c>
      <c r="M19" t="s">
        <v>289</v>
      </c>
      <c r="N19">
        <v>6012</v>
      </c>
      <c r="O19">
        <v>6362</v>
      </c>
      <c r="P19">
        <v>309.17</v>
      </c>
      <c r="S19" s="15"/>
      <c r="T19" s="15"/>
      <c r="W19" s="51"/>
    </row>
    <row r="20" spans="1:23" x14ac:dyDescent="0.55000000000000004">
      <c r="A20">
        <v>8</v>
      </c>
      <c r="B20" t="s">
        <v>292</v>
      </c>
      <c r="C20" t="s">
        <v>281</v>
      </c>
      <c r="D20" t="s">
        <v>283</v>
      </c>
      <c r="E20" t="s">
        <v>89</v>
      </c>
      <c r="F20" t="s">
        <v>728</v>
      </c>
      <c r="G20">
        <v>10</v>
      </c>
      <c r="H20">
        <v>84.305000000000007</v>
      </c>
      <c r="I20">
        <v>89.087000000000003</v>
      </c>
      <c r="J20" s="7">
        <f t="shared" si="0"/>
        <v>4.7819999999999965</v>
      </c>
      <c r="K20" s="7">
        <f t="shared" si="1"/>
        <v>0.46528859999999966</v>
      </c>
      <c r="L20" s="19">
        <f t="shared" si="2"/>
        <v>9.3057719999999939</v>
      </c>
      <c r="M20" t="s">
        <v>289</v>
      </c>
      <c r="N20">
        <v>6632</v>
      </c>
      <c r="O20">
        <v>6989</v>
      </c>
      <c r="P20">
        <v>339.64</v>
      </c>
      <c r="S20" s="15"/>
      <c r="T20" s="15"/>
      <c r="W20" s="51"/>
    </row>
    <row r="21" spans="1:23" x14ac:dyDescent="0.55000000000000004">
      <c r="A21">
        <v>9</v>
      </c>
      <c r="B21" t="s">
        <v>278</v>
      </c>
      <c r="C21" t="s">
        <v>282</v>
      </c>
      <c r="D21" t="s">
        <v>283</v>
      </c>
      <c r="E21" t="s">
        <v>89</v>
      </c>
      <c r="F21" t="s">
        <v>728</v>
      </c>
      <c r="G21">
        <v>10</v>
      </c>
      <c r="H21">
        <v>80.53</v>
      </c>
      <c r="I21">
        <v>97.18</v>
      </c>
      <c r="J21" s="7">
        <f t="shared" si="0"/>
        <v>16.650000000000006</v>
      </c>
      <c r="K21" s="7">
        <f t="shared" si="1"/>
        <v>1.6200450000000006</v>
      </c>
      <c r="L21" s="19">
        <f t="shared" si="2"/>
        <v>32.400900000000014</v>
      </c>
      <c r="M21">
        <v>70.569999999999993</v>
      </c>
      <c r="N21">
        <v>1992</v>
      </c>
      <c r="O21">
        <v>2177</v>
      </c>
      <c r="P21">
        <v>106.03</v>
      </c>
      <c r="Q21">
        <f>P21-M21</f>
        <v>35.460000000000008</v>
      </c>
      <c r="S21" s="11">
        <v>7</v>
      </c>
      <c r="T21" s="11">
        <v>1</v>
      </c>
      <c r="W21" s="51">
        <f>T21/(S21)</f>
        <v>0.14285714285714285</v>
      </c>
    </row>
    <row r="22" spans="1:23" x14ac:dyDescent="0.55000000000000004">
      <c r="A22">
        <v>10</v>
      </c>
      <c r="B22" t="s">
        <v>293</v>
      </c>
      <c r="C22" t="s">
        <v>282</v>
      </c>
      <c r="D22" t="s">
        <v>283</v>
      </c>
      <c r="E22" t="s">
        <v>89</v>
      </c>
      <c r="F22" t="s">
        <v>728</v>
      </c>
      <c r="G22">
        <v>10</v>
      </c>
      <c r="H22">
        <v>78.227000000000004</v>
      </c>
      <c r="I22">
        <v>96.06</v>
      </c>
      <c r="J22" s="7">
        <f t="shared" si="0"/>
        <v>17.832999999999998</v>
      </c>
      <c r="K22" s="7">
        <f t="shared" si="1"/>
        <v>1.7351508999999998</v>
      </c>
      <c r="L22" s="19">
        <f t="shared" si="2"/>
        <v>34.703018</v>
      </c>
      <c r="M22">
        <v>75.45</v>
      </c>
      <c r="N22">
        <v>2074</v>
      </c>
      <c r="O22">
        <v>2397</v>
      </c>
      <c r="P22">
        <v>118.52</v>
      </c>
      <c r="Q22">
        <f t="shared" ref="Q22:Q49" si="3">P22-M22</f>
        <v>43.069999999999993</v>
      </c>
      <c r="R22" t="s">
        <v>294</v>
      </c>
      <c r="S22" s="15"/>
      <c r="T22" s="15"/>
      <c r="W22" s="51"/>
    </row>
    <row r="23" spans="1:23" x14ac:dyDescent="0.55000000000000004">
      <c r="B23" t="s">
        <v>415</v>
      </c>
      <c r="C23" t="s">
        <v>419</v>
      </c>
      <c r="D23" t="s">
        <v>283</v>
      </c>
      <c r="E23" t="s">
        <v>89</v>
      </c>
      <c r="F23" t="s">
        <v>728</v>
      </c>
      <c r="G23">
        <v>10</v>
      </c>
      <c r="H23" t="s">
        <v>18</v>
      </c>
      <c r="J23" s="7"/>
      <c r="K23" s="7"/>
      <c r="L23" s="19"/>
      <c r="M23" t="s">
        <v>150</v>
      </c>
      <c r="S23" s="15"/>
      <c r="T23" s="15"/>
      <c r="W23" s="51"/>
    </row>
    <row r="24" spans="1:23" x14ac:dyDescent="0.55000000000000004">
      <c r="A24">
        <v>11</v>
      </c>
      <c r="B24" t="s">
        <v>416</v>
      </c>
      <c r="C24" t="s">
        <v>420</v>
      </c>
      <c r="D24" t="s">
        <v>283</v>
      </c>
      <c r="E24" t="s">
        <v>89</v>
      </c>
      <c r="F24" t="s">
        <v>728</v>
      </c>
      <c r="G24">
        <v>10</v>
      </c>
      <c r="H24">
        <v>75.349000000000004</v>
      </c>
      <c r="I24">
        <v>88.132000000000005</v>
      </c>
      <c r="J24" s="7">
        <f t="shared" si="0"/>
        <v>12.783000000000001</v>
      </c>
      <c r="K24" s="7">
        <f t="shared" si="1"/>
        <v>1.2437859</v>
      </c>
      <c r="L24" s="19">
        <f t="shared" si="2"/>
        <v>24.875717999999999</v>
      </c>
      <c r="M24">
        <v>9.68</v>
      </c>
      <c r="N24">
        <v>641</v>
      </c>
      <c r="O24">
        <v>1613</v>
      </c>
      <c r="P24">
        <v>78.88</v>
      </c>
      <c r="Q24">
        <f t="shared" si="3"/>
        <v>69.199999999999989</v>
      </c>
      <c r="S24">
        <v>9</v>
      </c>
      <c r="T24">
        <v>1</v>
      </c>
      <c r="W24" s="51">
        <f>T24/(S24)</f>
        <v>0.1111111111111111</v>
      </c>
    </row>
    <row r="25" spans="1:23" x14ac:dyDescent="0.55000000000000004">
      <c r="B25" t="s">
        <v>417</v>
      </c>
      <c r="C25" t="s">
        <v>421</v>
      </c>
      <c r="D25" t="s">
        <v>283</v>
      </c>
      <c r="E25" t="s">
        <v>89</v>
      </c>
      <c r="F25" t="s">
        <v>728</v>
      </c>
      <c r="G25">
        <v>10</v>
      </c>
      <c r="H25" t="s">
        <v>18</v>
      </c>
      <c r="J25" s="7"/>
      <c r="K25" s="7"/>
      <c r="L25" s="19"/>
      <c r="M25">
        <v>6.01</v>
      </c>
      <c r="S25">
        <v>4</v>
      </c>
      <c r="T25">
        <v>0</v>
      </c>
      <c r="W25" s="51">
        <f>T25/(S25)</f>
        <v>0</v>
      </c>
    </row>
    <row r="26" spans="1:23" x14ac:dyDescent="0.55000000000000004">
      <c r="B26" t="s">
        <v>418</v>
      </c>
      <c r="C26" t="s">
        <v>422</v>
      </c>
      <c r="D26" t="s">
        <v>283</v>
      </c>
      <c r="E26" t="s">
        <v>89</v>
      </c>
      <c r="F26" t="s">
        <v>728</v>
      </c>
      <c r="G26">
        <v>10</v>
      </c>
      <c r="H26" t="s">
        <v>18</v>
      </c>
      <c r="J26" s="7"/>
      <c r="K26" s="7"/>
      <c r="L26" s="19"/>
      <c r="M26" t="s">
        <v>150</v>
      </c>
      <c r="S26" s="15"/>
      <c r="T26" s="15"/>
      <c r="W26" s="51"/>
    </row>
    <row r="27" spans="1:23" x14ac:dyDescent="0.55000000000000004">
      <c r="A27">
        <v>12</v>
      </c>
      <c r="B27" t="s">
        <v>427</v>
      </c>
      <c r="C27" t="s">
        <v>423</v>
      </c>
      <c r="D27" t="s">
        <v>283</v>
      </c>
      <c r="E27" t="s">
        <v>89</v>
      </c>
      <c r="F27" t="s">
        <v>728</v>
      </c>
      <c r="G27">
        <v>10</v>
      </c>
      <c r="H27">
        <v>84.528000000000006</v>
      </c>
      <c r="I27">
        <v>105.98699999999999</v>
      </c>
      <c r="J27" s="7">
        <f t="shared" si="0"/>
        <v>21.458999999999989</v>
      </c>
      <c r="K27" s="7">
        <f t="shared" si="1"/>
        <v>2.0879606999999987</v>
      </c>
      <c r="L27" s="19">
        <f t="shared" si="2"/>
        <v>41.759213999999972</v>
      </c>
      <c r="M27">
        <v>143.11000000000001</v>
      </c>
      <c r="N27">
        <v>2797</v>
      </c>
      <c r="O27">
        <v>4271</v>
      </c>
      <c r="P27">
        <v>209.53</v>
      </c>
      <c r="Q27">
        <f t="shared" si="3"/>
        <v>66.419999999999987</v>
      </c>
      <c r="R27" t="s">
        <v>429</v>
      </c>
      <c r="S27">
        <v>10</v>
      </c>
      <c r="T27">
        <v>4</v>
      </c>
      <c r="W27" s="51">
        <f>T27/(S27)</f>
        <v>0.4</v>
      </c>
    </row>
    <row r="28" spans="1:23" x14ac:dyDescent="0.55000000000000004">
      <c r="A28">
        <v>13</v>
      </c>
      <c r="B28" t="s">
        <v>428</v>
      </c>
      <c r="C28" t="s">
        <v>423</v>
      </c>
      <c r="D28" t="s">
        <v>283</v>
      </c>
      <c r="E28" t="s">
        <v>89</v>
      </c>
      <c r="F28" t="s">
        <v>728</v>
      </c>
      <c r="G28">
        <v>10</v>
      </c>
      <c r="H28">
        <v>84.528000000000006</v>
      </c>
      <c r="I28">
        <v>103.401</v>
      </c>
      <c r="J28" s="7">
        <f t="shared" si="0"/>
        <v>18.87299999999999</v>
      </c>
      <c r="K28" s="7">
        <f t="shared" si="1"/>
        <v>1.8363428999999991</v>
      </c>
      <c r="L28" s="19">
        <f t="shared" si="2"/>
        <v>36.726857999999979</v>
      </c>
      <c r="M28">
        <v>143.11000000000001</v>
      </c>
      <c r="N28">
        <v>2797</v>
      </c>
      <c r="O28">
        <v>4682</v>
      </c>
      <c r="P28">
        <v>229.7</v>
      </c>
      <c r="Q28">
        <f t="shared" si="3"/>
        <v>86.589999999999975</v>
      </c>
      <c r="R28" t="s">
        <v>429</v>
      </c>
      <c r="S28" s="15"/>
      <c r="T28" s="15"/>
      <c r="W28" s="51"/>
    </row>
    <row r="29" spans="1:23" x14ac:dyDescent="0.55000000000000004">
      <c r="A29">
        <v>14</v>
      </c>
      <c r="B29" t="s">
        <v>431</v>
      </c>
      <c r="C29" t="s">
        <v>423</v>
      </c>
      <c r="D29" t="s">
        <v>283</v>
      </c>
      <c r="E29" t="s">
        <v>89</v>
      </c>
      <c r="F29" t="s">
        <v>728</v>
      </c>
      <c r="G29">
        <v>10</v>
      </c>
      <c r="H29">
        <v>84.183999999999997</v>
      </c>
      <c r="I29">
        <v>103.786</v>
      </c>
      <c r="J29" s="7">
        <f t="shared" si="0"/>
        <v>19.602000000000004</v>
      </c>
      <c r="K29" s="7">
        <f t="shared" si="1"/>
        <v>1.9072746000000003</v>
      </c>
      <c r="L29" s="19">
        <f t="shared" si="2"/>
        <v>38.145492000000004</v>
      </c>
      <c r="M29">
        <v>143.11000000000001</v>
      </c>
      <c r="N29">
        <v>5327</v>
      </c>
      <c r="O29">
        <v>5776</v>
      </c>
      <c r="P29">
        <v>283.37</v>
      </c>
      <c r="Q29">
        <f t="shared" si="3"/>
        <v>140.26</v>
      </c>
      <c r="R29" t="s">
        <v>430</v>
      </c>
      <c r="S29" s="15"/>
      <c r="T29" s="15"/>
      <c r="W29" s="51"/>
    </row>
    <row r="30" spans="1:23" x14ac:dyDescent="0.55000000000000004">
      <c r="A30">
        <v>15</v>
      </c>
      <c r="B30" t="s">
        <v>432</v>
      </c>
      <c r="C30" t="s">
        <v>423</v>
      </c>
      <c r="D30" t="s">
        <v>283</v>
      </c>
      <c r="E30" t="s">
        <v>89</v>
      </c>
      <c r="F30" t="s">
        <v>728</v>
      </c>
      <c r="G30">
        <v>10</v>
      </c>
      <c r="H30">
        <v>81.510000000000005</v>
      </c>
      <c r="I30">
        <v>91.231999999999999</v>
      </c>
      <c r="J30" s="7">
        <f t="shared" si="0"/>
        <v>9.7219999999999942</v>
      </c>
      <c r="K30" s="7">
        <f t="shared" si="1"/>
        <v>0.94595059999999942</v>
      </c>
      <c r="L30" s="19">
        <f t="shared" si="2"/>
        <v>18.919011999999988</v>
      </c>
      <c r="M30">
        <v>143.11000000000001</v>
      </c>
      <c r="N30">
        <v>7209</v>
      </c>
      <c r="O30">
        <v>7737</v>
      </c>
      <c r="P30">
        <v>379.58</v>
      </c>
      <c r="Q30">
        <f t="shared" si="3"/>
        <v>236.46999999999997</v>
      </c>
      <c r="R30" t="s">
        <v>433</v>
      </c>
      <c r="S30" s="15"/>
      <c r="T30" s="15"/>
      <c r="W30" s="51"/>
    </row>
    <row r="31" spans="1:23" x14ac:dyDescent="0.55000000000000004">
      <c r="A31">
        <v>16</v>
      </c>
      <c r="B31" t="s">
        <v>436</v>
      </c>
      <c r="C31" t="s">
        <v>424</v>
      </c>
      <c r="D31" t="s">
        <v>283</v>
      </c>
      <c r="E31" t="s">
        <v>89</v>
      </c>
      <c r="F31" t="s">
        <v>728</v>
      </c>
      <c r="G31">
        <v>10</v>
      </c>
      <c r="H31">
        <v>84.281000000000006</v>
      </c>
      <c r="I31">
        <v>101.089</v>
      </c>
      <c r="J31" s="7">
        <f t="shared" si="0"/>
        <v>16.807999999999993</v>
      </c>
      <c r="K31" s="7">
        <f t="shared" si="1"/>
        <v>1.6354183999999992</v>
      </c>
      <c r="L31" s="19">
        <f t="shared" si="2"/>
        <v>32.708367999999986</v>
      </c>
      <c r="M31">
        <v>2</v>
      </c>
      <c r="N31">
        <v>50</v>
      </c>
      <c r="O31">
        <v>576</v>
      </c>
      <c r="P31">
        <v>28.59</v>
      </c>
      <c r="Q31">
        <f t="shared" si="3"/>
        <v>26.59</v>
      </c>
      <c r="S31" s="15"/>
      <c r="T31" s="15"/>
      <c r="W31" s="51"/>
    </row>
    <row r="32" spans="1:23" x14ac:dyDescent="0.55000000000000004">
      <c r="A32">
        <v>17</v>
      </c>
      <c r="B32" t="s">
        <v>437</v>
      </c>
      <c r="C32" t="s">
        <v>424</v>
      </c>
      <c r="D32" t="s">
        <v>283</v>
      </c>
      <c r="E32" t="s">
        <v>89</v>
      </c>
      <c r="F32" t="s">
        <v>728</v>
      </c>
      <c r="G32">
        <v>10</v>
      </c>
      <c r="H32">
        <v>84.281000000000006</v>
      </c>
      <c r="I32">
        <v>107.992</v>
      </c>
      <c r="J32" s="7">
        <f t="shared" si="0"/>
        <v>23.710999999999999</v>
      </c>
      <c r="K32" s="7">
        <f t="shared" si="1"/>
        <v>2.3070803</v>
      </c>
      <c r="L32" s="19">
        <f t="shared" si="2"/>
        <v>46.141605999999996</v>
      </c>
      <c r="M32" t="s">
        <v>150</v>
      </c>
      <c r="N32">
        <v>50</v>
      </c>
      <c r="O32">
        <v>683</v>
      </c>
      <c r="R32" t="s">
        <v>435</v>
      </c>
      <c r="S32" s="15"/>
      <c r="T32" s="15"/>
      <c r="W32" s="51"/>
    </row>
    <row r="33" spans="1:23" x14ac:dyDescent="0.55000000000000004">
      <c r="A33">
        <v>18</v>
      </c>
      <c r="B33" t="s">
        <v>438</v>
      </c>
      <c r="C33" t="s">
        <v>425</v>
      </c>
      <c r="D33" t="s">
        <v>283</v>
      </c>
      <c r="E33" t="s">
        <v>89</v>
      </c>
      <c r="F33" t="s">
        <v>728</v>
      </c>
      <c r="G33">
        <v>10</v>
      </c>
      <c r="H33">
        <v>84.569000000000003</v>
      </c>
      <c r="I33">
        <v>91.944000000000003</v>
      </c>
      <c r="J33" s="7">
        <f t="shared" si="0"/>
        <v>7.375</v>
      </c>
      <c r="K33" s="7">
        <f t="shared" si="1"/>
        <v>0.71758749999999993</v>
      </c>
      <c r="L33" s="19">
        <f t="shared" si="2"/>
        <v>14.351749999999999</v>
      </c>
      <c r="M33">
        <v>103.95</v>
      </c>
      <c r="N33">
        <v>2243</v>
      </c>
      <c r="O33">
        <v>4643</v>
      </c>
      <c r="P33">
        <v>228.51</v>
      </c>
      <c r="Q33">
        <f t="shared" si="3"/>
        <v>124.55999999999999</v>
      </c>
      <c r="S33">
        <v>8</v>
      </c>
      <c r="T33">
        <v>3</v>
      </c>
      <c r="W33" s="51">
        <f>T33/(S33)</f>
        <v>0.375</v>
      </c>
    </row>
    <row r="34" spans="1:23" x14ac:dyDescent="0.55000000000000004">
      <c r="A34">
        <v>19</v>
      </c>
      <c r="B34" t="s">
        <v>439</v>
      </c>
      <c r="C34" t="s">
        <v>425</v>
      </c>
      <c r="D34" t="s">
        <v>283</v>
      </c>
      <c r="E34" t="s">
        <v>89</v>
      </c>
      <c r="F34" t="s">
        <v>728</v>
      </c>
      <c r="G34">
        <v>10</v>
      </c>
      <c r="H34">
        <v>85.698999999999998</v>
      </c>
      <c r="I34">
        <v>102.79900000000001</v>
      </c>
      <c r="J34" s="7">
        <f t="shared" si="0"/>
        <v>17.100000000000009</v>
      </c>
      <c r="K34" s="7">
        <f t="shared" si="1"/>
        <v>1.6638300000000008</v>
      </c>
      <c r="L34" s="19">
        <f t="shared" si="2"/>
        <v>33.276600000000016</v>
      </c>
      <c r="M34">
        <v>103.95</v>
      </c>
      <c r="N34">
        <v>2664</v>
      </c>
      <c r="O34">
        <v>4721</v>
      </c>
      <c r="P34">
        <v>232.35</v>
      </c>
      <c r="Q34">
        <f t="shared" si="3"/>
        <v>128.39999999999998</v>
      </c>
      <c r="R34" t="s">
        <v>440</v>
      </c>
      <c r="S34" s="15"/>
      <c r="T34" s="15"/>
      <c r="W34" s="51"/>
    </row>
    <row r="35" spans="1:23" x14ac:dyDescent="0.55000000000000004">
      <c r="B35" t="s">
        <v>685</v>
      </c>
      <c r="C35" t="s">
        <v>691</v>
      </c>
      <c r="D35" t="s">
        <v>700</v>
      </c>
      <c r="E35" t="s">
        <v>89</v>
      </c>
      <c r="F35" t="s">
        <v>728</v>
      </c>
      <c r="G35">
        <v>10</v>
      </c>
      <c r="H35" t="s">
        <v>18</v>
      </c>
      <c r="J35" s="7"/>
      <c r="K35" s="7"/>
      <c r="L35" s="19"/>
      <c r="M35">
        <v>69.53</v>
      </c>
      <c r="S35">
        <v>11</v>
      </c>
      <c r="T35">
        <v>0</v>
      </c>
      <c r="W35" s="51">
        <f>T35/(S35)</f>
        <v>0</v>
      </c>
    </row>
    <row r="36" spans="1:23" x14ac:dyDescent="0.55000000000000004">
      <c r="B36" t="s">
        <v>703</v>
      </c>
      <c r="C36" t="s">
        <v>692</v>
      </c>
      <c r="D36" t="s">
        <v>700</v>
      </c>
      <c r="E36" t="s">
        <v>89</v>
      </c>
      <c r="F36" t="s">
        <v>728</v>
      </c>
      <c r="G36">
        <v>10</v>
      </c>
      <c r="J36" s="7">
        <f t="shared" si="0"/>
        <v>0</v>
      </c>
      <c r="K36" s="7">
        <f t="shared" si="1"/>
        <v>0</v>
      </c>
      <c r="L36" s="19">
        <f t="shared" si="2"/>
        <v>0</v>
      </c>
      <c r="M36">
        <v>58.2</v>
      </c>
      <c r="N36">
        <v>1523</v>
      </c>
      <c r="O36">
        <v>1887</v>
      </c>
      <c r="P36">
        <v>92.61</v>
      </c>
      <c r="Q36">
        <f t="shared" si="3"/>
        <v>34.409999999999997</v>
      </c>
      <c r="R36" t="s">
        <v>701</v>
      </c>
      <c r="S36">
        <v>5</v>
      </c>
      <c r="T36">
        <v>1</v>
      </c>
      <c r="W36" s="51">
        <f>T36/(S36)</f>
        <v>0.2</v>
      </c>
    </row>
    <row r="37" spans="1:23" s="10" customFormat="1" x14ac:dyDescent="0.55000000000000004">
      <c r="B37" s="10" t="s">
        <v>702</v>
      </c>
      <c r="C37" s="10" t="s">
        <v>693</v>
      </c>
      <c r="D37" t="s">
        <v>700</v>
      </c>
      <c r="E37" t="s">
        <v>89</v>
      </c>
      <c r="F37" t="s">
        <v>728</v>
      </c>
      <c r="G37">
        <v>10</v>
      </c>
      <c r="H37" s="10" t="s">
        <v>18</v>
      </c>
      <c r="J37" s="7"/>
      <c r="K37" s="7"/>
      <c r="L37" s="19"/>
      <c r="M37" s="10">
        <v>146.74</v>
      </c>
      <c r="Q37"/>
      <c r="S37" s="74">
        <v>5</v>
      </c>
      <c r="T37" s="74">
        <v>0</v>
      </c>
      <c r="W37" s="51">
        <f>T37/(S37)</f>
        <v>0</v>
      </c>
    </row>
    <row r="38" spans="1:23" s="10" customFormat="1" x14ac:dyDescent="0.55000000000000004">
      <c r="B38" s="10" t="s">
        <v>686</v>
      </c>
      <c r="C38" s="10" t="s">
        <v>693</v>
      </c>
      <c r="D38" t="s">
        <v>700</v>
      </c>
      <c r="E38" t="s">
        <v>89</v>
      </c>
      <c r="F38" t="s">
        <v>728</v>
      </c>
      <c r="G38" s="6">
        <v>10</v>
      </c>
      <c r="H38" s="76"/>
      <c r="I38" s="76"/>
      <c r="J38" s="6">
        <f>I38-H38</f>
        <v>0</v>
      </c>
      <c r="K38" s="6">
        <f>J38*0.0973</f>
        <v>0</v>
      </c>
      <c r="L38" s="12">
        <f>K38*20</f>
        <v>0</v>
      </c>
      <c r="M38" s="76">
        <v>18.829999999999998</v>
      </c>
      <c r="N38" s="77">
        <v>5176</v>
      </c>
      <c r="O38" s="77">
        <v>4878</v>
      </c>
      <c r="P38" s="76">
        <v>239.86</v>
      </c>
      <c r="Q38" s="6">
        <f>P38-M38</f>
        <v>221.03000000000003</v>
      </c>
      <c r="R38" s="10" t="s">
        <v>704</v>
      </c>
      <c r="S38" s="74">
        <v>11</v>
      </c>
      <c r="T38" s="74">
        <v>0</v>
      </c>
      <c r="W38" s="51">
        <f>T38/(S38)</f>
        <v>0</v>
      </c>
    </row>
    <row r="39" spans="1:23" x14ac:dyDescent="0.55000000000000004">
      <c r="B39" t="s">
        <v>687</v>
      </c>
      <c r="C39" t="s">
        <v>694</v>
      </c>
      <c r="D39" t="s">
        <v>700</v>
      </c>
      <c r="E39" t="s">
        <v>89</v>
      </c>
      <c r="F39" t="s">
        <v>728</v>
      </c>
      <c r="G39">
        <v>10</v>
      </c>
      <c r="H39" t="s">
        <v>705</v>
      </c>
      <c r="J39" s="7"/>
      <c r="K39" s="7"/>
      <c r="L39" s="19"/>
      <c r="N39" s="74"/>
      <c r="O39" s="74"/>
      <c r="S39" s="78"/>
      <c r="T39" s="78"/>
      <c r="W39" s="51"/>
    </row>
    <row r="40" spans="1:23" x14ac:dyDescent="0.55000000000000004">
      <c r="A40">
        <v>20</v>
      </c>
      <c r="B40" t="s">
        <v>688</v>
      </c>
      <c r="C40" t="s">
        <v>695</v>
      </c>
      <c r="D40" t="s">
        <v>700</v>
      </c>
      <c r="E40" t="s">
        <v>89</v>
      </c>
      <c r="F40" t="s">
        <v>728</v>
      </c>
      <c r="G40">
        <v>10</v>
      </c>
      <c r="H40">
        <v>81.180000000000007</v>
      </c>
      <c r="I40">
        <v>99.453999999999994</v>
      </c>
      <c r="J40" s="7">
        <f t="shared" si="0"/>
        <v>18.273999999999987</v>
      </c>
      <c r="K40" s="7">
        <f t="shared" si="1"/>
        <v>1.7780601999999988</v>
      </c>
      <c r="L40" s="19">
        <f t="shared" si="2"/>
        <v>35.561203999999975</v>
      </c>
      <c r="M40">
        <v>146.74</v>
      </c>
      <c r="N40" s="74">
        <v>5432</v>
      </c>
      <c r="O40" s="74">
        <v>5845</v>
      </c>
      <c r="P40">
        <v>294.19</v>
      </c>
      <c r="Q40">
        <f t="shared" si="3"/>
        <v>147.44999999999999</v>
      </c>
      <c r="S40" s="74">
        <v>8</v>
      </c>
      <c r="T40" s="74">
        <v>2</v>
      </c>
      <c r="W40" s="51">
        <f>T40/(S40)</f>
        <v>0.25</v>
      </c>
    </row>
    <row r="41" spans="1:23" x14ac:dyDescent="0.55000000000000004">
      <c r="A41">
        <v>21</v>
      </c>
      <c r="B41" s="10" t="s">
        <v>706</v>
      </c>
      <c r="C41" t="s">
        <v>696</v>
      </c>
      <c r="D41" t="s">
        <v>700</v>
      </c>
      <c r="E41" t="s">
        <v>89</v>
      </c>
      <c r="F41" t="s">
        <v>728</v>
      </c>
      <c r="G41">
        <v>10</v>
      </c>
      <c r="H41">
        <v>79.688000000000002</v>
      </c>
      <c r="I41">
        <v>84.984999999999999</v>
      </c>
      <c r="J41" s="7">
        <f t="shared" si="0"/>
        <v>5.296999999999997</v>
      </c>
      <c r="K41" s="7">
        <f t="shared" si="1"/>
        <v>0.51539809999999975</v>
      </c>
      <c r="L41" s="19">
        <f t="shared" si="2"/>
        <v>10.307961999999995</v>
      </c>
      <c r="M41">
        <v>33.33</v>
      </c>
      <c r="N41" s="74">
        <v>962</v>
      </c>
      <c r="O41" s="74">
        <v>2624</v>
      </c>
      <c r="P41">
        <v>130.16</v>
      </c>
      <c r="Q41">
        <f t="shared" si="3"/>
        <v>96.83</v>
      </c>
      <c r="R41" t="s">
        <v>709</v>
      </c>
      <c r="S41" s="74">
        <v>8</v>
      </c>
      <c r="T41" s="74">
        <v>3</v>
      </c>
      <c r="W41" s="51">
        <f>T41/(S41)</f>
        <v>0.375</v>
      </c>
    </row>
    <row r="42" spans="1:23" x14ac:dyDescent="0.55000000000000004">
      <c r="A42">
        <v>22</v>
      </c>
      <c r="B42" s="10" t="s">
        <v>707</v>
      </c>
      <c r="C42" t="s">
        <v>696</v>
      </c>
      <c r="D42" t="s">
        <v>700</v>
      </c>
      <c r="E42" t="s">
        <v>89</v>
      </c>
      <c r="F42" t="s">
        <v>728</v>
      </c>
      <c r="G42">
        <v>10</v>
      </c>
      <c r="H42">
        <v>81.542000000000002</v>
      </c>
      <c r="I42">
        <v>114.474</v>
      </c>
      <c r="J42" s="7">
        <f>I42-H42</f>
        <v>32.932000000000002</v>
      </c>
      <c r="K42" s="7">
        <f>J42*0.0973</f>
        <v>3.2042836000000001</v>
      </c>
      <c r="L42" s="19">
        <f>K42*20</f>
        <v>64.085672000000002</v>
      </c>
      <c r="M42">
        <v>33.33</v>
      </c>
      <c r="N42" s="74">
        <v>2874</v>
      </c>
      <c r="O42" s="74">
        <v>4116</v>
      </c>
      <c r="P42">
        <v>204.16</v>
      </c>
      <c r="Q42">
        <f t="shared" si="3"/>
        <v>170.82999999999998</v>
      </c>
      <c r="R42" t="s">
        <v>709</v>
      </c>
      <c r="S42" s="78"/>
      <c r="T42" s="78"/>
      <c r="W42" s="51"/>
    </row>
    <row r="43" spans="1:23" x14ac:dyDescent="0.55000000000000004">
      <c r="A43">
        <v>23</v>
      </c>
      <c r="B43" s="10" t="s">
        <v>708</v>
      </c>
      <c r="C43" t="s">
        <v>696</v>
      </c>
      <c r="D43" t="s">
        <v>700</v>
      </c>
      <c r="E43" t="s">
        <v>89</v>
      </c>
      <c r="F43" t="s">
        <v>728</v>
      </c>
      <c r="G43">
        <v>10</v>
      </c>
      <c r="H43">
        <v>86.885000000000005</v>
      </c>
      <c r="I43">
        <v>95.923000000000002</v>
      </c>
      <c r="J43" s="7">
        <f>I43-H43</f>
        <v>9.0379999999999967</v>
      </c>
      <c r="K43" s="7">
        <f>J43*0.0973</f>
        <v>0.87939739999999966</v>
      </c>
      <c r="L43" s="19">
        <f>K43*20</f>
        <v>17.587947999999994</v>
      </c>
      <c r="M43">
        <v>33.33</v>
      </c>
      <c r="N43" s="74">
        <v>1122</v>
      </c>
      <c r="O43" s="74">
        <v>4604</v>
      </c>
      <c r="P43">
        <v>228.37</v>
      </c>
      <c r="Q43">
        <f t="shared" si="3"/>
        <v>195.04000000000002</v>
      </c>
      <c r="R43" t="s">
        <v>710</v>
      </c>
      <c r="S43" s="78"/>
      <c r="T43" s="78"/>
      <c r="W43" s="51"/>
    </row>
    <row r="44" spans="1:23" x14ac:dyDescent="0.55000000000000004">
      <c r="B44" t="s">
        <v>689</v>
      </c>
      <c r="C44" t="s">
        <v>699</v>
      </c>
      <c r="D44" t="s">
        <v>700</v>
      </c>
      <c r="E44" t="s">
        <v>89</v>
      </c>
      <c r="F44" t="s">
        <v>728</v>
      </c>
      <c r="G44">
        <v>10</v>
      </c>
      <c r="H44" s="6">
        <v>87.358000000000004</v>
      </c>
      <c r="I44" s="79">
        <v>86.234999999999999</v>
      </c>
      <c r="J44" s="6">
        <f t="shared" si="0"/>
        <v>-1.1230000000000047</v>
      </c>
      <c r="K44" s="6">
        <f t="shared" si="1"/>
        <v>-0.10926790000000045</v>
      </c>
      <c r="L44" s="12">
        <f t="shared" si="2"/>
        <v>-2.1853580000000088</v>
      </c>
      <c r="M44" s="6">
        <v>62.48</v>
      </c>
      <c r="N44" s="77">
        <v>1876</v>
      </c>
      <c r="O44" s="77">
        <v>2835</v>
      </c>
      <c r="P44" s="6">
        <v>141.6</v>
      </c>
      <c r="Q44" s="6">
        <f t="shared" si="3"/>
        <v>79.12</v>
      </c>
      <c r="R44" t="s">
        <v>713</v>
      </c>
      <c r="S44" s="74">
        <v>9</v>
      </c>
      <c r="T44" s="74">
        <v>2</v>
      </c>
      <c r="W44" s="51">
        <f>T44/(S44)</f>
        <v>0.22222222222222221</v>
      </c>
    </row>
    <row r="45" spans="1:23" x14ac:dyDescent="0.55000000000000004">
      <c r="A45">
        <v>24</v>
      </c>
      <c r="B45" t="s">
        <v>711</v>
      </c>
      <c r="C45" t="s">
        <v>699</v>
      </c>
      <c r="D45" t="s">
        <v>700</v>
      </c>
      <c r="E45" t="s">
        <v>89</v>
      </c>
      <c r="F45" t="s">
        <v>728</v>
      </c>
      <c r="G45">
        <v>10</v>
      </c>
      <c r="H45" s="7">
        <v>83.432000000000002</v>
      </c>
      <c r="I45" s="7">
        <v>87.018000000000001</v>
      </c>
      <c r="J45" s="7">
        <f t="shared" si="0"/>
        <v>3.5859999999999985</v>
      </c>
      <c r="K45" s="7">
        <f t="shared" si="1"/>
        <v>0.34891779999999983</v>
      </c>
      <c r="L45" s="19">
        <f t="shared" si="2"/>
        <v>6.9783559999999962</v>
      </c>
      <c r="M45" s="7">
        <v>62.48</v>
      </c>
      <c r="N45" s="75">
        <v>1876</v>
      </c>
      <c r="O45" s="75">
        <v>4136</v>
      </c>
      <c r="P45" s="7">
        <v>206.58</v>
      </c>
      <c r="Q45" s="7">
        <f t="shared" si="3"/>
        <v>144.10000000000002</v>
      </c>
      <c r="R45" t="s">
        <v>713</v>
      </c>
      <c r="S45" s="78"/>
      <c r="T45" s="78"/>
      <c r="W45" s="51"/>
    </row>
    <row r="46" spans="1:23" x14ac:dyDescent="0.55000000000000004">
      <c r="B46" t="s">
        <v>712</v>
      </c>
      <c r="C46" t="s">
        <v>699</v>
      </c>
      <c r="D46" t="s">
        <v>700</v>
      </c>
      <c r="E46" t="s">
        <v>89</v>
      </c>
      <c r="F46" t="s">
        <v>728</v>
      </c>
      <c r="G46">
        <v>10</v>
      </c>
      <c r="H46" s="36">
        <v>87.358000000000004</v>
      </c>
      <c r="I46" s="36">
        <v>90.021000000000001</v>
      </c>
      <c r="J46" s="36">
        <f t="shared" si="0"/>
        <v>2.6629999999999967</v>
      </c>
      <c r="K46" s="36">
        <f t="shared" si="1"/>
        <v>0.25910989999999967</v>
      </c>
      <c r="L46" s="37">
        <f t="shared" si="2"/>
        <v>5.1821979999999934</v>
      </c>
      <c r="M46" s="36">
        <v>62.48</v>
      </c>
      <c r="N46" s="80">
        <v>1876</v>
      </c>
      <c r="O46" s="80">
        <v>4136</v>
      </c>
      <c r="P46" s="36">
        <v>206.58</v>
      </c>
      <c r="Q46" s="36">
        <f t="shared" si="3"/>
        <v>144.10000000000002</v>
      </c>
      <c r="R46" t="s">
        <v>713</v>
      </c>
      <c r="S46" s="78"/>
      <c r="T46" s="78"/>
      <c r="W46" s="51"/>
    </row>
    <row r="47" spans="1:23" x14ac:dyDescent="0.55000000000000004">
      <c r="A47">
        <v>25</v>
      </c>
      <c r="B47" t="s">
        <v>714</v>
      </c>
      <c r="C47" t="s">
        <v>697</v>
      </c>
      <c r="D47" t="s">
        <v>700</v>
      </c>
      <c r="E47" t="s">
        <v>89</v>
      </c>
      <c r="F47" t="s">
        <v>728</v>
      </c>
      <c r="G47">
        <v>10</v>
      </c>
      <c r="H47">
        <v>81.92</v>
      </c>
      <c r="I47">
        <v>87.522000000000006</v>
      </c>
      <c r="J47" s="7">
        <f t="shared" si="0"/>
        <v>5.6020000000000039</v>
      </c>
      <c r="K47" s="7">
        <f t="shared" si="1"/>
        <v>0.54507460000000041</v>
      </c>
      <c r="L47" s="19">
        <f t="shared" si="2"/>
        <v>10.901492000000008</v>
      </c>
      <c r="M47">
        <v>16.21</v>
      </c>
      <c r="N47" s="74">
        <v>327</v>
      </c>
      <c r="O47" s="74">
        <v>1684</v>
      </c>
      <c r="P47">
        <v>80.78</v>
      </c>
      <c r="Q47">
        <f t="shared" si="3"/>
        <v>64.569999999999993</v>
      </c>
      <c r="S47" s="74">
        <v>13</v>
      </c>
      <c r="T47" s="74">
        <v>2</v>
      </c>
      <c r="W47" s="51">
        <f>T47/(S47)</f>
        <v>0.15384615384615385</v>
      </c>
    </row>
    <row r="48" spans="1:23" x14ac:dyDescent="0.55000000000000004">
      <c r="A48">
        <v>26</v>
      </c>
      <c r="B48" t="s">
        <v>715</v>
      </c>
      <c r="C48" t="s">
        <v>697</v>
      </c>
      <c r="D48" t="s">
        <v>700</v>
      </c>
      <c r="E48" t="s">
        <v>89</v>
      </c>
      <c r="F48" t="s">
        <v>728</v>
      </c>
      <c r="G48">
        <v>10</v>
      </c>
      <c r="H48">
        <v>73.057000000000002</v>
      </c>
      <c r="I48">
        <v>77.581999999999994</v>
      </c>
      <c r="J48" s="7">
        <f>I48-H48</f>
        <v>4.5249999999999915</v>
      </c>
      <c r="K48" s="7">
        <f>J48*0.0973</f>
        <v>0.44028249999999913</v>
      </c>
      <c r="L48" s="19">
        <f>K48*20</f>
        <v>8.8056499999999822</v>
      </c>
      <c r="M48">
        <v>16.21</v>
      </c>
      <c r="N48" s="74">
        <v>1748</v>
      </c>
      <c r="O48" s="74">
        <v>2193</v>
      </c>
      <c r="P48">
        <v>105.19</v>
      </c>
      <c r="Q48">
        <f>P48-M48</f>
        <v>88.97999999999999</v>
      </c>
      <c r="S48" s="78"/>
      <c r="T48" s="78"/>
      <c r="W48" s="51"/>
    </row>
    <row r="49" spans="1:24" x14ac:dyDescent="0.55000000000000004">
      <c r="A49">
        <v>27</v>
      </c>
      <c r="B49" s="10" t="s">
        <v>690</v>
      </c>
      <c r="C49" t="s">
        <v>698</v>
      </c>
      <c r="D49" t="s">
        <v>700</v>
      </c>
      <c r="E49" t="s">
        <v>89</v>
      </c>
      <c r="F49" t="s">
        <v>728</v>
      </c>
      <c r="G49">
        <v>10</v>
      </c>
      <c r="H49">
        <v>83.361999999999995</v>
      </c>
      <c r="I49">
        <v>94.736999999999995</v>
      </c>
      <c r="J49" s="7">
        <f t="shared" si="0"/>
        <v>11.375</v>
      </c>
      <c r="K49" s="7">
        <f t="shared" si="1"/>
        <v>1.1067875</v>
      </c>
      <c r="L49" s="19">
        <f t="shared" si="2"/>
        <v>22.135750000000002</v>
      </c>
      <c r="M49">
        <v>46.92</v>
      </c>
      <c r="N49">
        <v>1168</v>
      </c>
      <c r="O49">
        <v>1613</v>
      </c>
      <c r="P49">
        <v>80.180000000000007</v>
      </c>
      <c r="Q49">
        <f t="shared" si="3"/>
        <v>33.260000000000005</v>
      </c>
      <c r="R49" t="s">
        <v>716</v>
      </c>
      <c r="S49" s="74">
        <v>15</v>
      </c>
      <c r="T49" s="74">
        <v>5</v>
      </c>
      <c r="W49" s="51">
        <f>T49/(S49)</f>
        <v>0.33333333333333331</v>
      </c>
    </row>
    <row r="50" spans="1:24" x14ac:dyDescent="0.55000000000000004">
      <c r="A50">
        <v>28</v>
      </c>
      <c r="B50" s="10" t="s">
        <v>717</v>
      </c>
      <c r="C50" t="s">
        <v>698</v>
      </c>
      <c r="D50" t="s">
        <v>700</v>
      </c>
      <c r="E50" t="s">
        <v>89</v>
      </c>
      <c r="F50" t="s">
        <v>728</v>
      </c>
      <c r="G50">
        <v>10</v>
      </c>
      <c r="H50">
        <v>85.094999999999999</v>
      </c>
      <c r="I50">
        <v>111.86199999999999</v>
      </c>
      <c r="J50" s="7">
        <f>I50-H50</f>
        <v>26.766999999999996</v>
      </c>
      <c r="K50" s="7">
        <f>J50*0.0973</f>
        <v>2.6044290999999995</v>
      </c>
      <c r="L50" s="19">
        <f>K50*20</f>
        <v>52.088581999999988</v>
      </c>
      <c r="M50">
        <v>46.92</v>
      </c>
      <c r="N50">
        <v>1582</v>
      </c>
      <c r="O50">
        <v>2444</v>
      </c>
      <c r="P50">
        <v>121.49</v>
      </c>
      <c r="Q50">
        <f>P50-M50</f>
        <v>74.569999999999993</v>
      </c>
      <c r="R50" t="s">
        <v>719</v>
      </c>
      <c r="S50" s="74"/>
      <c r="T50" s="74"/>
      <c r="W50" s="51"/>
    </row>
    <row r="51" spans="1:24" x14ac:dyDescent="0.55000000000000004">
      <c r="A51">
        <v>29</v>
      </c>
      <c r="B51" s="10" t="s">
        <v>718</v>
      </c>
      <c r="C51" t="s">
        <v>698</v>
      </c>
      <c r="D51" t="s">
        <v>700</v>
      </c>
      <c r="E51" t="s">
        <v>89</v>
      </c>
      <c r="F51" t="s">
        <v>728</v>
      </c>
      <c r="G51">
        <v>10</v>
      </c>
      <c r="H51">
        <v>85.094999999999999</v>
      </c>
      <c r="I51">
        <v>106.601</v>
      </c>
      <c r="J51" s="7">
        <f>I51-H51</f>
        <v>21.506</v>
      </c>
      <c r="K51" s="7">
        <f>J51*0.0973</f>
        <v>2.0925338</v>
      </c>
      <c r="L51" s="19">
        <f>K51*20</f>
        <v>41.850676</v>
      </c>
      <c r="M51">
        <v>46.92</v>
      </c>
      <c r="N51">
        <v>1582</v>
      </c>
      <c r="O51">
        <v>2940</v>
      </c>
      <c r="P51">
        <v>146.13999999999999</v>
      </c>
      <c r="Q51">
        <f>P51-M51</f>
        <v>99.219999999999985</v>
      </c>
      <c r="R51" t="s">
        <v>721</v>
      </c>
      <c r="S51" s="74"/>
      <c r="T51" s="74"/>
      <c r="W51" s="51"/>
    </row>
    <row r="52" spans="1:24" x14ac:dyDescent="0.55000000000000004">
      <c r="A52">
        <v>30</v>
      </c>
      <c r="B52" s="10" t="s">
        <v>722</v>
      </c>
      <c r="C52" t="s">
        <v>698</v>
      </c>
      <c r="D52" t="s">
        <v>700</v>
      </c>
      <c r="E52" t="s">
        <v>89</v>
      </c>
      <c r="F52" t="s">
        <v>728</v>
      </c>
      <c r="G52">
        <v>10</v>
      </c>
      <c r="H52">
        <v>82.326999999999998</v>
      </c>
      <c r="I52">
        <v>113.316</v>
      </c>
      <c r="J52" s="7">
        <f>I52-H52</f>
        <v>30.989000000000004</v>
      </c>
      <c r="K52" s="7">
        <f>J52*0.0973</f>
        <v>3.0152297000000003</v>
      </c>
      <c r="L52" s="19">
        <f>K52*20</f>
        <v>60.304594000000009</v>
      </c>
      <c r="M52">
        <v>46.92</v>
      </c>
      <c r="N52">
        <v>1429</v>
      </c>
      <c r="O52">
        <v>3506</v>
      </c>
      <c r="P52">
        <v>174.28</v>
      </c>
      <c r="Q52">
        <f>P52-M52</f>
        <v>127.36</v>
      </c>
      <c r="R52" t="s">
        <v>720</v>
      </c>
      <c r="S52" s="74"/>
      <c r="T52" s="74"/>
      <c r="W52" s="51"/>
    </row>
    <row r="53" spans="1:24" x14ac:dyDescent="0.55000000000000004">
      <c r="A53">
        <v>31</v>
      </c>
      <c r="B53" s="10" t="s">
        <v>723</v>
      </c>
      <c r="C53" t="s">
        <v>698</v>
      </c>
      <c r="D53" t="s">
        <v>700</v>
      </c>
      <c r="E53" t="s">
        <v>89</v>
      </c>
      <c r="F53" t="s">
        <v>728</v>
      </c>
      <c r="G53">
        <v>10</v>
      </c>
      <c r="H53">
        <v>85.094999999999999</v>
      </c>
      <c r="I53">
        <v>111.685</v>
      </c>
      <c r="J53" s="7">
        <f>I53-H53</f>
        <v>26.590000000000003</v>
      </c>
      <c r="K53" s="7">
        <f>J53*0.0973</f>
        <v>2.5872070000000003</v>
      </c>
      <c r="L53" s="19">
        <f>K53*20</f>
        <v>51.744140000000002</v>
      </c>
      <c r="M53">
        <v>46.92</v>
      </c>
      <c r="N53">
        <v>1582</v>
      </c>
      <c r="O53">
        <v>4787</v>
      </c>
      <c r="P53">
        <v>237.95</v>
      </c>
      <c r="Q53">
        <f>P53-M53</f>
        <v>191.02999999999997</v>
      </c>
      <c r="R53" t="s">
        <v>724</v>
      </c>
      <c r="S53" s="74"/>
      <c r="T53" s="74"/>
      <c r="W53" s="51"/>
    </row>
    <row r="55" spans="1:24" x14ac:dyDescent="0.55000000000000004">
      <c r="C55" s="10"/>
      <c r="D55" s="10"/>
      <c r="E55" s="10"/>
      <c r="G55" s="10"/>
      <c r="H55" s="10"/>
      <c r="I55" s="10"/>
      <c r="J55" s="10"/>
      <c r="K55" t="s">
        <v>225</v>
      </c>
      <c r="L55" s="3">
        <f>(SUM(L6:L10,L15,L19:L22,L24,L27:L34,L40:L43,L45,L47:L53))/(COUNT(L6:L10,L15,L19:L22,L24,L27:L34,L40:L43,L45,L47:L53))</f>
        <v>30.847866451612905</v>
      </c>
      <c r="M55" s="10"/>
      <c r="N55" s="10"/>
      <c r="S55">
        <f>SUM(S2:S49)</f>
        <v>175</v>
      </c>
      <c r="T55">
        <f>SUM(T2:T49)</f>
        <v>31</v>
      </c>
      <c r="W55" s="51">
        <f>((SUM(W6,W10:W13,W16:W18,W21,W24:W25,W27,W33,W35:W38,W40:W41,W44,W47,W49))/(COUNT(W6,W10:W13,W16:W18,W21,W24:W25,W27,W33,W35:W38,W40:W41,W44,W47,W49)))*100</f>
        <v>15.541541791541794</v>
      </c>
      <c r="X55" s="51">
        <f>(STDEV(W6,W10:W13,W16:W18,W21,W24:W25,W27,W33,W35:W38,W40:W41,W44,W47,W49)/SQRT(COUNT(W6,W10:W13,W16:W18,W21,W24:W25,W27,W33,W35:W38,W40:W41,W44,W47,W49)))*100</f>
        <v>3.2422361464408724</v>
      </c>
    </row>
    <row r="56" spans="1:24" x14ac:dyDescent="0.55000000000000004">
      <c r="K56" t="s">
        <v>226</v>
      </c>
      <c r="L56" s="3">
        <f xml:space="preserve"> STDEV(L6:L10,L15,L19:L22,L24,L27:L34,L40:L43,L45,L47:L53)/SQRT(COUNT(L6:L10,L15,L19:L22,L24,L27:L34,L40:L43,L45,L47:L53))</f>
        <v>3.072590453435688</v>
      </c>
    </row>
    <row r="57" spans="1:24" x14ac:dyDescent="0.55000000000000004">
      <c r="S57" s="10">
        <f>(T55/S55)*100</f>
        <v>17.714285714285712</v>
      </c>
      <c r="T57" s="10"/>
    </row>
  </sheetData>
  <pageMargins left="0.7" right="0.7" top="0.75" bottom="0.75" header="0.3" footer="0.3"/>
  <pageSetup paperSize="9" orientation="portrait" horizontalDpi="4294967293"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F9FD2A418320044CA86F4385C1226BFA" ma:contentTypeVersion="14" ma:contentTypeDescription="Create a new document." ma:contentTypeScope="" ma:versionID="176bd85c525abdbd6c7374fa8fd73903">
  <xsd:schema xmlns:xsd="http://www.w3.org/2001/XMLSchema" xmlns:xs="http://www.w3.org/2001/XMLSchema" xmlns:p="http://schemas.microsoft.com/office/2006/metadata/properties" xmlns:ns3="7eaba979-086a-4c25-8028-1ea0625cccda" xmlns:ns4="6b8a18af-a13a-47c7-8014-f319f33f5590" targetNamespace="http://schemas.microsoft.com/office/2006/metadata/properties" ma:root="true" ma:fieldsID="7b9ba4d2b5ce254b96af3e8db8625629" ns3:_="" ns4:_="">
    <xsd:import namespace="7eaba979-086a-4c25-8028-1ea0625cccda"/>
    <xsd:import namespace="6b8a18af-a13a-47c7-8014-f319f33f5590"/>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DateTaken" minOccurs="0"/>
                <xsd:element ref="ns4:MediaServiceAutoTags" minOccurs="0"/>
                <xsd:element ref="ns4:MediaServiceOCR" minOccurs="0"/>
                <xsd:element ref="ns4:MediaServiceGenerationTime" minOccurs="0"/>
                <xsd:element ref="ns4:MediaServiceEventHashCode" minOccurs="0"/>
                <xsd:element ref="ns4:MediaServiceAutoKeyPoints" minOccurs="0"/>
                <xsd:element ref="ns4:MediaServiceKeyPoints" minOccurs="0"/>
                <xsd:element ref="ns4:MediaLengthInSeconds" minOccurs="0"/>
                <xsd:element ref="ns4: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eaba979-086a-4c25-8028-1ea0625cccda"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SharingHintHash" ma:index="10" nillable="true" ma:displayName="Sharing Hint Hash"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b8a18af-a13a-47c7-8014-f319f33f5590"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DateTaken" ma:index="13" nillable="true" ma:displayName="MediaServiceDateTaken" ma:hidden="true" ma:internalName="MediaServiceDateTaken" ma:readOnly="true">
      <xsd:simpleType>
        <xsd:restriction base="dms:Text"/>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LengthInSeconds" ma:index="20" nillable="true" ma:displayName="MediaLengthInSeconds" ma:hidden="true" ma:internalName="MediaLengthInSeconds" ma:readOnly="true">
      <xsd:simpleType>
        <xsd:restriction base="dms:Unknown"/>
      </xsd:simpleType>
    </xsd:element>
    <xsd:element name="MediaServiceLocation" ma:index="21" nillable="true" ma:displayName="Location" ma:internalName="MediaServiceLocatio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7861F9A-D331-4602-815C-06F86FE941F5}">
  <ds:schemaRefs>
    <ds:schemaRef ds:uri="http://schemas.microsoft.com/sharepoint/v3/contenttype/forms"/>
  </ds:schemaRefs>
</ds:datastoreItem>
</file>

<file path=customXml/itemProps2.xml><?xml version="1.0" encoding="utf-8"?>
<ds:datastoreItem xmlns:ds="http://schemas.openxmlformats.org/officeDocument/2006/customXml" ds:itemID="{B2976694-D941-439B-95FA-E5D29ACAC65C}">
  <ds:schemaRefs>
    <ds:schemaRef ds:uri="http://schemas.microsoft.com/office/2006/documentManagement/types"/>
    <ds:schemaRef ds:uri="http://purl.org/dc/dcmitype/"/>
    <ds:schemaRef ds:uri="http://schemas.microsoft.com/office/2006/metadata/properties"/>
    <ds:schemaRef ds:uri="http://schemas.microsoft.com/office/infopath/2007/PartnerControls"/>
    <ds:schemaRef ds:uri="http://purl.org/dc/elements/1.1/"/>
    <ds:schemaRef ds:uri="6b8a18af-a13a-47c7-8014-f319f33f5590"/>
    <ds:schemaRef ds:uri="http://www.w3.org/XML/1998/namespace"/>
    <ds:schemaRef ds:uri="http://purl.org/dc/terms/"/>
    <ds:schemaRef ds:uri="http://schemas.openxmlformats.org/package/2006/metadata/core-properties"/>
    <ds:schemaRef ds:uri="7eaba979-086a-4c25-8028-1ea0625cccda"/>
  </ds:schemaRefs>
</ds:datastoreItem>
</file>

<file path=customXml/itemProps3.xml><?xml version="1.0" encoding="utf-8"?>
<ds:datastoreItem xmlns:ds="http://schemas.openxmlformats.org/officeDocument/2006/customXml" ds:itemID="{846CBFE8-9A2E-4A92-B4F8-D4BE816F459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eaba979-086a-4c25-8028-1ea0625cccda"/>
    <ds:schemaRef ds:uri="6b8a18af-a13a-47c7-8014-f319f33f559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30</vt:i4>
      </vt:variant>
    </vt:vector>
  </HeadingPairs>
  <TitlesOfParts>
    <vt:vector size="30" baseType="lpstr">
      <vt:lpstr>Overall</vt:lpstr>
      <vt:lpstr>NF54 version 2</vt:lpstr>
      <vt:lpstr>R1 peptide</vt:lpstr>
      <vt:lpstr>3D7</vt:lpstr>
      <vt:lpstr>KOEBA175 (neg gen)</vt:lpstr>
      <vt:lpstr>NF54 + heparin </vt:lpstr>
      <vt:lpstr>NF54 + glutaraldehyde </vt:lpstr>
      <vt:lpstr>AMA1-GFP</vt:lpstr>
      <vt:lpstr>anti-CD147 </vt:lpstr>
      <vt:lpstr>anti-CD55</vt:lpstr>
      <vt:lpstr>anti-GYPA</vt:lpstr>
      <vt:lpstr>KOEBA175 </vt:lpstr>
      <vt:lpstr>KOEBA140 </vt:lpstr>
      <vt:lpstr>anti-GYPC (BRIC 4) </vt:lpstr>
      <vt:lpstr>anti-CR1</vt:lpstr>
      <vt:lpstr>KORH4 </vt:lpstr>
      <vt:lpstr>KOEBA181</vt:lpstr>
      <vt:lpstr>Neuraminidase</vt:lpstr>
      <vt:lpstr>KORH1</vt:lpstr>
      <vt:lpstr>anti-CR1 ABIN</vt:lpstr>
      <vt:lpstr>KORH2a</vt:lpstr>
      <vt:lpstr>Duffy neg</vt:lpstr>
      <vt:lpstr>cKOAMA1 DMSO</vt:lpstr>
      <vt:lpstr>cKOAMA1 Rap</vt:lpstr>
      <vt:lpstr>KOP230P C3</vt:lpstr>
      <vt:lpstr>KOpfs25 C1</vt:lpstr>
      <vt:lpstr>NF54 O+</vt:lpstr>
      <vt:lpstr>Sheet1</vt:lpstr>
      <vt:lpstr>Sheet3</vt:lpstr>
      <vt:lpstr>NF54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emmajones1995</dc:creator>
  <cp:lastModifiedBy>Emma Jones</cp:lastModifiedBy>
  <dcterms:created xsi:type="dcterms:W3CDTF">2020-01-21T14:26:24Z</dcterms:created>
  <dcterms:modified xsi:type="dcterms:W3CDTF">2022-12-08T13:48:56Z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0x010100F9FD2A418320044CA86F4385C1226BFA</vt:lpwstr>
  </property>
</Properties>
</file>