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workbookProtection workbookPassword="D9FD" lockStructure="1"/>
  <bookViews>
    <workbookView xWindow="0" yWindow="0" windowWidth="19395" windowHeight="8115"/>
  </bookViews>
  <sheets>
    <sheet name="PEDIDO" sheetId="1" r:id="rId1"/>
    <sheet name="ORÇAMENTO" sheetId="5" r:id="rId2"/>
    <sheet name="1. DADOS" sheetId="3" state="veryHidden" r:id="rId3"/>
    <sheet name="2.IMPOSTOS" sheetId="2" state="veryHidden" r:id="rId4"/>
    <sheet name="3.FRETE" sheetId="4" state="veryHidden" r:id="rId5"/>
  </sheets>
  <definedNames>
    <definedName name="_bac2" localSheetId="2" hidden="1">{#N/A,#N/A,FALSE,"Valuation Summary";#N/A,#N/A,FALSE,"BT IS";#N/A,#N/A,FALSE,"BT CF";#N/A,#N/A,FALSE,"BT BS";#N/A,#N/A,FALSE,"BT FCF";#N/A,#N/A,FALSE,"BT Model";#N/A,#N/A,FALSE,"BT Finance"}</definedName>
    <definedName name="_bac2" localSheetId="4" hidden="1">{#N/A,#N/A,FALSE,"Valuation Summary";#N/A,#N/A,FALSE,"BT IS";#N/A,#N/A,FALSE,"BT CF";#N/A,#N/A,FALSE,"BT BS";#N/A,#N/A,FALSE,"BT FCF";#N/A,#N/A,FALSE,"BT Model";#N/A,#N/A,FALSE,"BT Finance"}</definedName>
    <definedName name="_bac2" localSheetId="1" hidden="1">{#N/A,#N/A,FALSE,"Valuation Summary";#N/A,#N/A,FALSE,"BT IS";#N/A,#N/A,FALSE,"BT CF";#N/A,#N/A,FALSE,"BT BS";#N/A,#N/A,FALSE,"BT FCF";#N/A,#N/A,FALSE,"BT Model";#N/A,#N/A,FALSE,"BT Finance"}</definedName>
    <definedName name="_bac2" hidden="1">{#N/A,#N/A,FALSE,"Valuation Summary";#N/A,#N/A,FALSE,"BT IS";#N/A,#N/A,FALSE,"BT CF";#N/A,#N/A,FALSE,"BT BS";#N/A,#N/A,FALSE,"BT FCF";#N/A,#N/A,FALSE,"BT Model";#N/A,#N/A,FALSE,"BT Finance"}</definedName>
    <definedName name="_xlnm._FilterDatabase" localSheetId="4" hidden="1">'3.FRETE'!$N$46:$P$169</definedName>
    <definedName name="_Order1" hidden="1">0</definedName>
    <definedName name="aa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a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bc" localSheetId="2" hidden="1">{"'Janeiro'!$A$1:$I$153"}</definedName>
    <definedName name="abc" localSheetId="4" hidden="1">{"'Janeiro'!$A$1:$I$153"}</definedName>
    <definedName name="abc" localSheetId="1" hidden="1">{"'Janeiro'!$A$1:$I$153"}</definedName>
    <definedName name="abc" hidden="1">{"'Janeiro'!$A$1:$I$153"}</definedName>
    <definedName name="AL">'2.IMPOSTOS'!$A$44:$A$65</definedName>
    <definedName name="AM">'2.IMPOSTOS'!$B$44:$B$65</definedName>
    <definedName name="_xlnm.Print_Area" localSheetId="1">ORÇAMENTO!$A$1:$T$52</definedName>
    <definedName name="_xlnm.Print_Area" localSheetId="0">PEDIDO!$A$1:$V$41</definedName>
    <definedName name="ass"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ass"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'2.IMPOSTOS'!$C$44:$C$65</definedName>
    <definedName name="bac"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ac"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bb"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casa1" localSheetId="2" hidden="1">{#N/A,#N/A,TRUE,"Ratios USD";#N/A,#N/A,TRUE,"Ratios R$";#N/A,#N/A,TRUE,"Equity Interests";#N/A,#N/A,TRUE,"Sensitivity Tables";#N/A,#N/A,TRUE,"WACC Sensitivity Table";#N/A,#N/A,TRUE,"WACC";#N/A,#N/A,TRUE,"FX RATES";#N/A,#N/A,TRUE,"TMIGFCF";#N/A,#N/A,TRUE,"TNORTEFCF";#N/A,#N/A,TRUE,"AmericellFCF";#N/A,#N/A,TRUE,"TeletFCF"}</definedName>
    <definedName name="casa1" localSheetId="4" hidden="1">{#N/A,#N/A,TRUE,"Ratios USD";#N/A,#N/A,TRUE,"Ratios R$";#N/A,#N/A,TRUE,"Equity Interests";#N/A,#N/A,TRUE,"Sensitivity Tables";#N/A,#N/A,TRUE,"WACC Sensitivity Table";#N/A,#N/A,TRUE,"WACC";#N/A,#N/A,TRUE,"FX RATES";#N/A,#N/A,TRUE,"TMIGFCF";#N/A,#N/A,TRUE,"TNORTEFCF";#N/A,#N/A,TRUE,"AmericellFCF";#N/A,#N/A,TRUE,"TeletFCF"}</definedName>
    <definedName name="casa1" localSheetId="1" hidden="1">{#N/A,#N/A,TRUE,"Ratios USD";#N/A,#N/A,TRUE,"Ratios R$";#N/A,#N/A,TRUE,"Equity Interests";#N/A,#N/A,TRUE,"Sensitivity Tables";#N/A,#N/A,TRUE,"WACC Sensitivity Table";#N/A,#N/A,TRUE,"WACC";#N/A,#N/A,TRUE,"FX RATES";#N/A,#N/A,TRUE,"TMIGFCF";#N/A,#N/A,TRUE,"TNORTEFCF";#N/A,#N/A,TRUE,"AmericellFCF";#N/A,#N/A,TRUE,"TeletFCF"}</definedName>
    <definedName name="casa1" hidden="1">{#N/A,#N/A,TRUE,"Ratios USD";#N/A,#N/A,TRUE,"Ratios R$";#N/A,#N/A,TRUE,"Equity Interests";#N/A,#N/A,TRUE,"Sensitivity Tables";#N/A,#N/A,TRUE,"WACC Sensitivity Table";#N/A,#N/A,TRUE,"WACC";#N/A,#N/A,TRUE,"FX RATES";#N/A,#N/A,TRUE,"TMIGFCF";#N/A,#N/A,TRUE,"TNORTEFCF";#N/A,#N/A,TRUE,"AmericellFCF";#N/A,#N/A,TRUE,"TeletFCF"}</definedName>
    <definedName name="CE" comment="Cidades do Ceará">'2.IMPOSTOS'!$D$44:$D$65</definedName>
    <definedName name="CIDADE">PEDIDO!$S$11</definedName>
    <definedName name="CLASS_FISCAL">'2.IMPOSTOS'!$A$11:$AF$39</definedName>
    <definedName name="CODFISCAL">'2.IMPOSTOS'!$A$11:$A$39</definedName>
    <definedName name="crc" localSheetId="2" hidden="1">{#N/A,#N/A,FALSE,"Plan1"}</definedName>
    <definedName name="crc" localSheetId="4" hidden="1">{#N/A,#N/A,FALSE,"Plan1"}</definedName>
    <definedName name="crc" localSheetId="1" hidden="1">{#N/A,#N/A,FALSE,"Plan1"}</definedName>
    <definedName name="crc" hidden="1">{#N/A,#N/A,FALSE,"Plan1"}</definedName>
    <definedName name="D.ADM">'1. DADOS'!$H$19</definedName>
    <definedName name="D.ADM_AT">'1. DADOS'!$D$18</definedName>
    <definedName name="D.COM">'1. DADOS'!$J$19</definedName>
    <definedName name="D.FIN">'1. DADOS'!$G$19</definedName>
    <definedName name="daniel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aniel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ESTINO" comment="Definição se o cliente é uma revenda ou um cliente final">PEDIDO!$W$4</definedName>
    <definedName name="DF">'2.IMPOSTOS'!$E$44:$E$65</definedName>
    <definedName name="dist"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dist"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ES">'2.IMPOSTOS'!$F$44:$F$65</definedName>
    <definedName name="ESTADO" comment="Estado selecionado">PEDIDO!$S$9</definedName>
    <definedName name="ESTADOS">'2.IMPOSTOS'!$A$43:$W$43</definedName>
    <definedName name="FAIXAS">'1. DADOS'!$A$54:$A$58</definedName>
    <definedName name="FAIXAS_TRANSPORTE">'3.FRETE'!$R$24:$U$42</definedName>
    <definedName name="FLAG_COL.ICMS" localSheetId="2">'2.IMPOSTOS'!$F$4:$G$7</definedName>
    <definedName name="GO">'2.IMPOSTOS'!$G$44:$G$65</definedName>
    <definedName name="HTML_CodePage" hidden="1">1252</definedName>
    <definedName name="HTML_Control" localSheetId="2" hidden="1">{"'Janeiro'!$A$1:$I$153"}</definedName>
    <definedName name="HTML_Control" localSheetId="4" hidden="1">{"'Janeiro'!$A$1:$I$153"}</definedName>
    <definedName name="HTML_Control" localSheetId="1" hidden="1">{"'Janeiro'!$A$1:$I$153"}</definedName>
    <definedName name="HTML_Control" hidden="1">{"'Janeiro'!$A$1:$I$153"}</definedName>
    <definedName name="HTML_Description" hidden="1">""</definedName>
    <definedName name="HTML_Email" hidden="1">""</definedName>
    <definedName name="HTML_Header" hidden="1">"Janeiro"</definedName>
    <definedName name="HTML_LastUpdate" hidden="1">"18/01/00"</definedName>
    <definedName name="HTML_LineAfter" hidden="1">FALSE</definedName>
    <definedName name="HTML_LineBefore" hidden="1">FALSE</definedName>
    <definedName name="HTML_Name" hidden="1">"Publicis Norton S.A."</definedName>
    <definedName name="HTML_OBDlg2" hidden="1">TRUE</definedName>
    <definedName name="HTML_OBDlg4" hidden="1">TRUE</definedName>
    <definedName name="HTML_OS" hidden="1">0</definedName>
    <definedName name="HTML_PathFile" hidden="1">"G:\Midia\WINJOB\NESTLE\Levant\PREFINGE\Prefin2000\MeuHTML.htm"</definedName>
    <definedName name="HTML_Title" hidden="1">"janeiro"</definedName>
    <definedName name="IE">PEDIDO!$G$7</definedName>
    <definedName name="llp"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lp"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lsl" localSheetId="2" hidden="1">{#N/A,#N/A,TRUE,"Ratios USD";#N/A,#N/A,TRUE,"Ratios R$";#N/A,#N/A,TRUE,"Equity Interests";#N/A,#N/A,TRUE,"Sensitivity Tables";#N/A,#N/A,TRUE,"WACC Sensitivity Table";#N/A,#N/A,TRUE,"WACC";#N/A,#N/A,TRUE,"FX RATES";#N/A,#N/A,TRUE,"TMIGFCF";#N/A,#N/A,TRUE,"TNORTEFCF";#N/A,#N/A,TRUE,"AmericellFCF";#N/A,#N/A,TRUE,"TeletFCF"}</definedName>
    <definedName name="lsl" localSheetId="4" hidden="1">{#N/A,#N/A,TRUE,"Ratios USD";#N/A,#N/A,TRUE,"Ratios R$";#N/A,#N/A,TRUE,"Equity Interests";#N/A,#N/A,TRUE,"Sensitivity Tables";#N/A,#N/A,TRUE,"WACC Sensitivity Table";#N/A,#N/A,TRUE,"WACC";#N/A,#N/A,TRUE,"FX RATES";#N/A,#N/A,TRUE,"TMIGFCF";#N/A,#N/A,TRUE,"TNORTEFCF";#N/A,#N/A,TRUE,"AmericellFCF";#N/A,#N/A,TRUE,"TeletFCF"}</definedName>
    <definedName name="lsl" localSheetId="1" hidden="1">{#N/A,#N/A,TRUE,"Ratios USD";#N/A,#N/A,TRUE,"Ratios R$";#N/A,#N/A,TRUE,"Equity Interests";#N/A,#N/A,TRUE,"Sensitivity Tables";#N/A,#N/A,TRUE,"WACC Sensitivity Table";#N/A,#N/A,TRUE,"WACC";#N/A,#N/A,TRUE,"FX RATES";#N/A,#N/A,TRUE,"TMIGFCF";#N/A,#N/A,TRUE,"TNORTEFCF";#N/A,#N/A,TRUE,"AmericellFCF";#N/A,#N/A,TRUE,"TeletFCF"}</definedName>
    <definedName name="lsl" hidden="1">{#N/A,#N/A,TRUE,"Ratios USD";#N/A,#N/A,TRUE,"Ratios R$";#N/A,#N/A,TRUE,"Equity Interests";#N/A,#N/A,TRUE,"Sensitivity Tables";#N/A,#N/A,TRUE,"WACC Sensitivity Table";#N/A,#N/A,TRUE,"WACC";#N/A,#N/A,TRUE,"FX RATES";#N/A,#N/A,TRUE,"TMIGFCF";#N/A,#N/A,TRUE,"TNORTEFCF";#N/A,#N/A,TRUE,"AmericellFCF";#N/A,#N/A,TRUE,"TeletFCF"}</definedName>
    <definedName name="m"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MA">'2.IMPOSTOS'!$H$44:$H$65</definedName>
    <definedName name="Margem_sec">'1. DADOS'!$S$20:$W$43</definedName>
    <definedName name="MG">'2.IMPOSTOS'!$K$44:$K$65</definedName>
    <definedName name="MS">'2.IMPOSTOS'!$J$44:$J$65</definedName>
    <definedName name="MT">'2.IMPOSTOS'!$I$44:$I$65</definedName>
    <definedName name="MVA_COLUNA">'2.IMPOSTOS'!$Z$46:$AA$72</definedName>
    <definedName name="PA">'2.IMPOSTOS'!$L$44:$L$65</definedName>
    <definedName name="PB">'2.IMPOSTOS'!$M$44:$M$65</definedName>
    <definedName name="PE">'2.IMPOSTOS'!$O$44:$O$65</definedName>
    <definedName name="PI">'2.IMPOSTOS'!$P$44:$P$65</definedName>
    <definedName name="PIS">'1. DADOS'!$L$19</definedName>
    <definedName name="PR">'2.IMPOSTOS'!$N$44:$N$65</definedName>
    <definedName name="PRAZO">'1. DADOS'!$F$4:$F$9</definedName>
    <definedName name="REL_ICMS">'2.IMPOSTOS'!$Z$46:$AE$72</definedName>
    <definedName name="revista"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evista"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RJ">'2.IMPOSTOS'!$Q$44:$Q$65</definedName>
    <definedName name="RN">'2.IMPOSTOS'!$R$44:$R$65</definedName>
    <definedName name="RS">'2.IMPOSTOS'!$S$44:$S$65</definedName>
    <definedName name="SC">'2.IMPOSTOS'!$T$44:$T$65</definedName>
    <definedName name="SE">'2.IMPOSTOS'!$V$44:$V$65</definedName>
    <definedName name="SP">'2.IMPOSTOS'!$U$44:$U$65</definedName>
    <definedName name="tabela_frete">'3.FRETE'!$C$4:$K$177</definedName>
    <definedName name="teste" localSheetId="2" hidden="1">{"'Janeiro'!$A$1:$I$153"}</definedName>
    <definedName name="teste" localSheetId="4" hidden="1">{"'Janeiro'!$A$1:$I$153"}</definedName>
    <definedName name="teste" localSheetId="1" hidden="1">{"'Janeiro'!$A$1:$I$153"}</definedName>
    <definedName name="teste" hidden="1">{"'Janeiro'!$A$1:$I$153"}</definedName>
    <definedName name="TO">'2.IMPOSTOS'!$W$44:$W$65</definedName>
    <definedName name="u" localSheetId="2" hidden="1">{#N/A,#N/A,FALSE,"Valuation Summary";#N/A,#N/A,FALSE,"BT IS";#N/A,#N/A,FALSE,"BT CF";#N/A,#N/A,FALSE,"BT BS";#N/A,#N/A,FALSE,"BT FCF";#N/A,#N/A,FALSE,"BT Model";#N/A,#N/A,FALSE,"BT Finance"}</definedName>
    <definedName name="u" localSheetId="4" hidden="1">{#N/A,#N/A,FALSE,"Valuation Summary";#N/A,#N/A,FALSE,"BT IS";#N/A,#N/A,FALSE,"BT CF";#N/A,#N/A,FALSE,"BT BS";#N/A,#N/A,FALSE,"BT FCF";#N/A,#N/A,FALSE,"BT Model";#N/A,#N/A,FALSE,"BT Finance"}</definedName>
    <definedName name="u" localSheetId="1" hidden="1">{#N/A,#N/A,FALSE,"Valuation Summary";#N/A,#N/A,FALSE,"BT IS";#N/A,#N/A,FALSE,"BT CF";#N/A,#N/A,FALSE,"BT BS";#N/A,#N/A,FALSE,"BT FCF";#N/A,#N/A,FALSE,"BT Model";#N/A,#N/A,FALSE,"BT Finance"}</definedName>
    <definedName name="u" hidden="1">{#N/A,#N/A,FALSE,"Valuation Summary";#N/A,#N/A,FALSE,"BT IS";#N/A,#N/A,FALSE,"BT CF";#N/A,#N/A,FALSE,"BT BS";#N/A,#N/A,FALSE,"BT FCF";#N/A,#N/A,FALSE,"BT Model";#N/A,#N/A,FALSE,"BT Finance"}</definedName>
    <definedName name="wrn.bosch." localSheetId="2" hidden="1">{#N/A,#N/A,FALSE,"Plan1"}</definedName>
    <definedName name="wrn.bosch." localSheetId="4" hidden="1">{#N/A,#N/A,FALSE,"Plan1"}</definedName>
    <definedName name="wrn.bosch." localSheetId="1" hidden="1">{#N/A,#N/A,FALSE,"Plan1"}</definedName>
    <definedName name="wrn.bosch." hidden="1">{#N/A,#N/A,FALSE,"Plan1"}</definedName>
    <definedName name="wrn.Model." localSheetId="2"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localSheetId="4"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localSheetId="1"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Model." hidden="1">{#N/A,#N/A,TRUE,"Balance_Sheet";#N/A,#N/A,TRUE,"Income_Statement";#N/A,#N/A,TRUE,"Cash_Flow_Stmt";#N/A,#N/A,TRUE,"Debt";#N/A,#N/A,TRUE,"Debt_Repayment";#N/A,#N/A,TRUE,"Ratio_Analysis";#N/A,#N/A,TRUE,"Inc_Stmt_Assumptions";#N/A,#N/A,TRUE,"Capital_Structure";#N/A,#N/A,TRUE,"Performance_Assumptions";#N/A,#N/A,TRUE,"Wrk_Capital_Assumptions";#N/A,#N/A,TRUE,"Bk_Depn_Schedule"}</definedName>
    <definedName name="wrn.Print." localSheetId="2" hidden="1">{#N/A,#N/A,TRUE,"Ratios USD";#N/A,#N/A,TRUE,"Ratios R$";#N/A,#N/A,TRUE,"Equity Interests";#N/A,#N/A,TRUE,"Sensitivity Tables";#N/A,#N/A,TRUE,"WACC Sensitivity Table";#N/A,#N/A,TRUE,"WACC";#N/A,#N/A,TRUE,"FX RATES";#N/A,#N/A,TRUE,"TMIGFCF";#N/A,#N/A,TRUE,"TNORTEFCF";#N/A,#N/A,TRUE,"AmericellFCF";#N/A,#N/A,TRUE,"TeletFCF"}</definedName>
    <definedName name="wrn.Print." localSheetId="4" hidden="1">{#N/A,#N/A,TRUE,"Ratios USD";#N/A,#N/A,TRUE,"Ratios R$";#N/A,#N/A,TRUE,"Equity Interests";#N/A,#N/A,TRUE,"Sensitivity Tables";#N/A,#N/A,TRUE,"WACC Sensitivity Table";#N/A,#N/A,TRUE,"WACC";#N/A,#N/A,TRUE,"FX RATES";#N/A,#N/A,TRUE,"TMIGFCF";#N/A,#N/A,TRUE,"TNORTEFCF";#N/A,#N/A,TRUE,"AmericellFCF";#N/A,#N/A,TRUE,"TeletFCF"}</definedName>
    <definedName name="wrn.Print." localSheetId="1" hidden="1">{#N/A,#N/A,TRUE,"Ratios USD";#N/A,#N/A,TRUE,"Ratios R$";#N/A,#N/A,TRUE,"Equity Interests";#N/A,#N/A,TRUE,"Sensitivity Tables";#N/A,#N/A,TRUE,"WACC Sensitivity Table";#N/A,#N/A,TRUE,"WACC";#N/A,#N/A,TRUE,"FX RATES";#N/A,#N/A,TRUE,"TMIGFCF";#N/A,#N/A,TRUE,"TNORTEFCF";#N/A,#N/A,TRUE,"AmericellFCF";#N/A,#N/A,TRUE,"TeletFCF"}</definedName>
    <definedName name="wrn.Print." hidden="1">{#N/A,#N/A,TRUE,"Ratios USD";#N/A,#N/A,TRUE,"Ratios R$";#N/A,#N/A,TRUE,"Equity Interests";#N/A,#N/A,TRUE,"Sensitivity Tables";#N/A,#N/A,TRUE,"WACC Sensitivity Table";#N/A,#N/A,TRUE,"WACC";#N/A,#N/A,TRUE,"FX RATES";#N/A,#N/A,TRUE,"TMIGFCF";#N/A,#N/A,TRUE,"TNORTEFCF";#N/A,#N/A,TRUE,"AmericellFCF";#N/A,#N/A,TRUE,"TeletFCF"}</definedName>
    <definedName name="wrn.Telet." localSheetId="2" hidden="1">{#N/A,#N/A,FALSE,"Valuation Summary";#N/A,#N/A,FALSE,"BT IS";#N/A,#N/A,FALSE,"BT CF";#N/A,#N/A,FALSE,"BT BS";#N/A,#N/A,FALSE,"BT FCF";#N/A,#N/A,FALSE,"BT Model";#N/A,#N/A,FALSE,"BT Finance"}</definedName>
    <definedName name="wrn.Telet." localSheetId="4" hidden="1">{#N/A,#N/A,FALSE,"Valuation Summary";#N/A,#N/A,FALSE,"BT IS";#N/A,#N/A,FALSE,"BT CF";#N/A,#N/A,FALSE,"BT BS";#N/A,#N/A,FALSE,"BT FCF";#N/A,#N/A,FALSE,"BT Model";#N/A,#N/A,FALSE,"BT Finance"}</definedName>
    <definedName name="wrn.Telet." localSheetId="1" hidden="1">{#N/A,#N/A,FALSE,"Valuation Summary";#N/A,#N/A,FALSE,"BT IS";#N/A,#N/A,FALSE,"BT CF";#N/A,#N/A,FALSE,"BT BS";#N/A,#N/A,FALSE,"BT FCF";#N/A,#N/A,FALSE,"BT Model";#N/A,#N/A,FALSE,"BT Finance"}</definedName>
    <definedName name="wrn.Telet." hidden="1">{#N/A,#N/A,FALSE,"Valuation Summary";#N/A,#N/A,FALSE,"BT IS";#N/A,#N/A,FALSE,"BT CF";#N/A,#N/A,FALSE,"BT BS";#N/A,#N/A,FALSE,"BT FCF";#N/A,#N/A,FALSE,"BT Model";#N/A,#N/A,FALSE,"BT Finance"}</definedName>
    <definedName name="y" localSheetId="2" hidden="1">{#N/A,#N/A,TRUE,"Ratios USD";#N/A,#N/A,TRUE,"Ratios R$";#N/A,#N/A,TRUE,"Equity Interests";#N/A,#N/A,TRUE,"Sensitivity Tables";#N/A,#N/A,TRUE,"WACC Sensitivity Table";#N/A,#N/A,TRUE,"WACC";#N/A,#N/A,TRUE,"FX RATES";#N/A,#N/A,TRUE,"TMIGFCF";#N/A,#N/A,TRUE,"TNORTEFCF";#N/A,#N/A,TRUE,"AmericellFCF";#N/A,#N/A,TRUE,"TeletFCF"}</definedName>
    <definedName name="y" localSheetId="4" hidden="1">{#N/A,#N/A,TRUE,"Ratios USD";#N/A,#N/A,TRUE,"Ratios R$";#N/A,#N/A,TRUE,"Equity Interests";#N/A,#N/A,TRUE,"Sensitivity Tables";#N/A,#N/A,TRUE,"WACC Sensitivity Table";#N/A,#N/A,TRUE,"WACC";#N/A,#N/A,TRUE,"FX RATES";#N/A,#N/A,TRUE,"TMIGFCF";#N/A,#N/A,TRUE,"TNORTEFCF";#N/A,#N/A,TRUE,"AmericellFCF";#N/A,#N/A,TRUE,"TeletFCF"}</definedName>
    <definedName name="y" localSheetId="1" hidden="1">{#N/A,#N/A,TRUE,"Ratios USD";#N/A,#N/A,TRUE,"Ratios R$";#N/A,#N/A,TRUE,"Equity Interests";#N/A,#N/A,TRUE,"Sensitivity Tables";#N/A,#N/A,TRUE,"WACC Sensitivity Table";#N/A,#N/A,TRUE,"WACC";#N/A,#N/A,TRUE,"FX RATES";#N/A,#N/A,TRUE,"TMIGFCF";#N/A,#N/A,TRUE,"TNORTEFCF";#N/A,#N/A,TRUE,"AmericellFCF";#N/A,#N/A,TRUE,"TeletFCF"}</definedName>
    <definedName name="y" hidden="1">{#N/A,#N/A,TRUE,"Ratios USD";#N/A,#N/A,TRUE,"Ratios R$";#N/A,#N/A,TRUE,"Equity Interests";#N/A,#N/A,TRUE,"Sensitivity Tables";#N/A,#N/A,TRUE,"WACC Sensitivity Table";#N/A,#N/A,TRUE,"WACC";#N/A,#N/A,TRUE,"FX RATES";#N/A,#N/A,TRUE,"TMIGFCF";#N/A,#N/A,TRUE,"TNORTEFCF";#N/A,#N/A,TRUE,"AmericellFCF";#N/A,#N/A,TRUE,"TeletFCF"}</definedName>
  </definedNames>
  <calcPr calcId="144525"/>
</workbook>
</file>

<file path=xl/calcChain.xml><?xml version="1.0" encoding="utf-8"?>
<calcChain xmlns="http://schemas.openxmlformats.org/spreadsheetml/2006/main">
  <c r="AE21" i="2" l="1"/>
  <c r="AE35" i="2"/>
  <c r="AE33" i="2"/>
  <c r="AE32" i="2"/>
  <c r="AE26" i="2"/>
  <c r="G19" i="3" l="1"/>
  <c r="G26" i="5" l="1"/>
  <c r="D16" i="3" l="1"/>
  <c r="D15" i="3"/>
  <c r="D14" i="3"/>
  <c r="D13" i="3"/>
  <c r="D18" i="3" l="1"/>
  <c r="G39" i="5"/>
  <c r="AC21" i="1" l="1"/>
  <c r="AC34" i="1"/>
  <c r="AC33" i="1"/>
  <c r="G30" i="5"/>
  <c r="G43" i="5"/>
  <c r="G42" i="5"/>
  <c r="E43" i="5"/>
  <c r="E42" i="5"/>
  <c r="C41" i="5"/>
  <c r="C35" i="5"/>
  <c r="E30" i="5"/>
  <c r="BK21" i="1"/>
  <c r="BA21" i="1"/>
  <c r="AW21" i="1"/>
  <c r="AF21" i="1"/>
  <c r="AE21" i="1"/>
  <c r="AD21" i="1"/>
  <c r="AA21" i="1"/>
  <c r="Z21" i="1"/>
  <c r="Y21" i="1"/>
  <c r="BZ21" i="1" s="1"/>
  <c r="X21" i="1"/>
  <c r="AR21" i="1" s="1"/>
  <c r="C21" i="1"/>
  <c r="C30" i="5" s="1"/>
  <c r="R26" i="3" l="1"/>
  <c r="O26" i="3"/>
  <c r="AG21" i="1" s="1"/>
  <c r="AF33" i="1"/>
  <c r="D38" i="1"/>
  <c r="C14" i="1" s="1"/>
  <c r="K177" i="4" l="1"/>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AA34" i="1" l="1"/>
  <c r="AA33" i="1"/>
  <c r="Z34" i="1"/>
  <c r="Z33" i="1"/>
  <c r="Y34" i="1"/>
  <c r="BZ34" i="1" s="1"/>
  <c r="Y33" i="1"/>
  <c r="X34" i="1"/>
  <c r="AR34" i="1" s="1"/>
  <c r="X33" i="1"/>
  <c r="AR33" i="1" s="1"/>
  <c r="D40" i="3"/>
  <c r="X35" i="1" s="1"/>
  <c r="AR35" i="1" s="1"/>
  <c r="D39" i="3"/>
  <c r="BS36" i="1"/>
  <c r="BP36" i="1"/>
  <c r="BK36" i="1"/>
  <c r="BA36" i="1"/>
  <c r="AW36" i="1"/>
  <c r="AU36" i="1"/>
  <c r="AF36" i="1"/>
  <c r="AE36" i="1"/>
  <c r="AD36" i="1"/>
  <c r="AC36" i="1"/>
  <c r="AA36" i="1"/>
  <c r="Z36" i="1"/>
  <c r="Y36" i="1"/>
  <c r="X36" i="1"/>
  <c r="AR36" i="1" s="1"/>
  <c r="BS35" i="1"/>
  <c r="BP35" i="1"/>
  <c r="BK35" i="1"/>
  <c r="BA35" i="1"/>
  <c r="AW35" i="1"/>
  <c r="AU35" i="1"/>
  <c r="AF35" i="1"/>
  <c r="AE35" i="1"/>
  <c r="AD35" i="1"/>
  <c r="AC35" i="1"/>
  <c r="AA35" i="1"/>
  <c r="Z35" i="1"/>
  <c r="Y35" i="1"/>
  <c r="BS34" i="1"/>
  <c r="BK34" i="1"/>
  <c r="BA34" i="1"/>
  <c r="AW34" i="1"/>
  <c r="AF34" i="1"/>
  <c r="AE34" i="1"/>
  <c r="AD34" i="1"/>
  <c r="BS33" i="1"/>
  <c r="BK33" i="1"/>
  <c r="BA33" i="1"/>
  <c r="AW33" i="1"/>
  <c r="AE33" i="1"/>
  <c r="AD33" i="1"/>
  <c r="C36" i="1"/>
  <c r="C35" i="1"/>
  <c r="C34" i="1"/>
  <c r="C43" i="5" s="1"/>
  <c r="C33" i="1"/>
  <c r="C42" i="5" s="1"/>
  <c r="O22" i="3"/>
  <c r="O30" i="3"/>
  <c r="O29" i="3"/>
  <c r="O28" i="3"/>
  <c r="O27" i="3"/>
  <c r="O25" i="3"/>
  <c r="O24" i="3"/>
  <c r="O36" i="3"/>
  <c r="O35" i="3"/>
  <c r="O34" i="3"/>
  <c r="O33" i="3"/>
  <c r="O32" i="3"/>
  <c r="O43" i="3"/>
  <c r="O42" i="3"/>
  <c r="O41" i="3"/>
  <c r="AG36" i="1" s="1"/>
  <c r="O40" i="3"/>
  <c r="AG34" i="1" s="1"/>
  <c r="O39" i="3"/>
  <c r="AG33" i="1" s="1"/>
  <c r="BQ36" i="1" l="1"/>
  <c r="BT36" i="1" s="1"/>
  <c r="CB36" i="1" s="1"/>
  <c r="BW36" i="1"/>
  <c r="AG35" i="1"/>
  <c r="BQ35" i="1" s="1"/>
  <c r="BV36" i="1"/>
  <c r="BL36" i="1"/>
  <c r="BM36" i="1" s="1"/>
  <c r="BN36" i="1" s="1"/>
  <c r="BH36" i="1" s="1"/>
  <c r="BY36" i="1"/>
  <c r="BR36" i="1"/>
  <c r="BZ36" i="1"/>
  <c r="AX36" i="1"/>
  <c r="BZ35" i="1"/>
  <c r="BZ33" i="1"/>
  <c r="BL35" i="1" l="1"/>
  <c r="BM35" i="1" s="1"/>
  <c r="BN35" i="1" s="1"/>
  <c r="BH35" i="1" s="1"/>
  <c r="BI35" i="1" s="1"/>
  <c r="BW35" i="1"/>
  <c r="BV35" i="1"/>
  <c r="AX35" i="1"/>
  <c r="AZ35" i="1" s="1"/>
  <c r="BR35" i="1"/>
  <c r="BT35" i="1" s="1"/>
  <c r="BY35" i="1"/>
  <c r="BJ36" i="1"/>
  <c r="BI36" i="1"/>
  <c r="AZ36" i="1"/>
  <c r="BD36" i="1"/>
  <c r="AY36" i="1"/>
  <c r="BB36" i="1" s="1"/>
  <c r="CA36" i="1"/>
  <c r="AG68" i="5"/>
  <c r="AG67" i="5"/>
  <c r="AG66" i="5"/>
  <c r="AG65" i="5"/>
  <c r="AG64" i="5"/>
  <c r="AG63" i="5"/>
  <c r="AG62" i="5"/>
  <c r="AG61" i="5"/>
  <c r="AG60" i="5"/>
  <c r="AG59" i="5"/>
  <c r="AG58" i="5"/>
  <c r="AG57" i="5"/>
  <c r="AG56" i="5"/>
  <c r="AG55" i="5"/>
  <c r="N4" i="1"/>
  <c r="AK68" i="5"/>
  <c r="BJ35" i="1" l="1"/>
  <c r="BD35" i="1"/>
  <c r="BF35" i="1" s="1"/>
  <c r="AY35" i="1"/>
  <c r="BB35" i="1" s="1"/>
  <c r="BF36" i="1"/>
  <c r="BE36" i="1"/>
  <c r="BE35" i="1"/>
  <c r="AU68" i="5"/>
  <c r="AQ68" i="5"/>
  <c r="AM68" i="5"/>
  <c r="AI68" i="5"/>
  <c r="AJ68" i="5" s="1"/>
  <c r="AE68" i="5"/>
  <c r="AA68" i="5"/>
  <c r="W68" i="5"/>
  <c r="AT68" i="5"/>
  <c r="AP68" i="5"/>
  <c r="AL68" i="5"/>
  <c r="AH68" i="5"/>
  <c r="AD68" i="5"/>
  <c r="Z68" i="5"/>
  <c r="AS68" i="5"/>
  <c r="AO68" i="5"/>
  <c r="AC68" i="5"/>
  <c r="Y68" i="5"/>
  <c r="AR68" i="5"/>
  <c r="AN68" i="5"/>
  <c r="AF68" i="5"/>
  <c r="AB68" i="5"/>
  <c r="X68" i="5"/>
  <c r="CB32" i="1" l="1"/>
  <c r="BZ16" i="1" l="1"/>
  <c r="BY16" i="1"/>
  <c r="BX16" i="1"/>
  <c r="BW16" i="1"/>
  <c r="BV16" i="1"/>
  <c r="G34" i="5" l="1"/>
  <c r="G33" i="5"/>
  <c r="G32" i="5"/>
  <c r="G31" i="5"/>
  <c r="G29" i="5"/>
  <c r="G28" i="5"/>
  <c r="G40" i="5"/>
  <c r="G38" i="5"/>
  <c r="G37" i="5"/>
  <c r="G36" i="5"/>
  <c r="E40" i="5"/>
  <c r="E39" i="5"/>
  <c r="E38" i="5"/>
  <c r="E37" i="5"/>
  <c r="E36" i="5"/>
  <c r="E34" i="5"/>
  <c r="E33" i="5"/>
  <c r="E32" i="5"/>
  <c r="E31" i="5"/>
  <c r="E29" i="5"/>
  <c r="E28" i="5"/>
  <c r="E26" i="5"/>
  <c r="P17" i="5"/>
  <c r="M17" i="5"/>
  <c r="E17" i="5"/>
  <c r="R14" i="5"/>
  <c r="M14" i="5"/>
  <c r="M11" i="5"/>
  <c r="E11" i="5"/>
  <c r="C11" i="5"/>
  <c r="C8" i="5"/>
  <c r="AG54" i="5"/>
  <c r="P48" i="5"/>
  <c r="E14" i="5"/>
  <c r="C10" i="5"/>
  <c r="H15" i="1"/>
  <c r="BP16" i="1" s="1"/>
  <c r="BK31" i="1"/>
  <c r="BK30" i="1"/>
  <c r="BK29" i="1"/>
  <c r="BK28" i="1"/>
  <c r="BK27" i="1"/>
  <c r="BK25" i="1"/>
  <c r="BK24" i="1"/>
  <c r="BK23" i="1"/>
  <c r="BK22" i="1"/>
  <c r="BK20" i="1"/>
  <c r="BK19" i="1"/>
  <c r="BK17" i="1"/>
  <c r="BA31" i="1"/>
  <c r="BA30" i="1"/>
  <c r="BA29" i="1"/>
  <c r="BA28" i="1"/>
  <c r="BA27" i="1"/>
  <c r="BA25" i="1"/>
  <c r="BA24" i="1"/>
  <c r="BA23" i="1"/>
  <c r="BA22" i="1"/>
  <c r="BA20" i="1"/>
  <c r="BA19" i="1"/>
  <c r="BA17" i="1"/>
  <c r="AW31" i="1" l="1"/>
  <c r="AW30" i="1"/>
  <c r="AW29" i="1"/>
  <c r="AW28" i="1"/>
  <c r="AW27" i="1"/>
  <c r="AW25" i="1"/>
  <c r="AW24" i="1"/>
  <c r="AW23" i="1"/>
  <c r="AW22" i="1"/>
  <c r="AW20" i="1"/>
  <c r="AW19" i="1"/>
  <c r="AW17" i="1"/>
  <c r="AL10" i="1"/>
  <c r="AK8" i="1"/>
  <c r="AK7" i="1"/>
  <c r="AK6" i="1"/>
  <c r="AK5" i="1"/>
  <c r="A6" i="3"/>
  <c r="AF4" i="1"/>
  <c r="AK10" i="1" l="1"/>
  <c r="AM16" i="1" l="1"/>
  <c r="AM32" i="1" s="1"/>
  <c r="AL16" i="1"/>
  <c r="AL32" i="1" s="1"/>
  <c r="AK16" i="1"/>
  <c r="AK32" i="1" s="1"/>
  <c r="AJ16" i="1"/>
  <c r="AJ32" i="1" s="1"/>
  <c r="AI16" i="1"/>
  <c r="AI32" i="1" s="1"/>
  <c r="AG31" i="1"/>
  <c r="AG30" i="1"/>
  <c r="AG29" i="1"/>
  <c r="AG28" i="1"/>
  <c r="AG27" i="1"/>
  <c r="AG25" i="1"/>
  <c r="AG24" i="1"/>
  <c r="AG23" i="1"/>
  <c r="AG22" i="1"/>
  <c r="AG20" i="1"/>
  <c r="AG19" i="1"/>
  <c r="AG17" i="1"/>
  <c r="AF31" i="1"/>
  <c r="AE31" i="1"/>
  <c r="AF30" i="1"/>
  <c r="AE30" i="1"/>
  <c r="AF29" i="1"/>
  <c r="AE29" i="1"/>
  <c r="AF28" i="1"/>
  <c r="AE28" i="1"/>
  <c r="AF27" i="1"/>
  <c r="AE27" i="1"/>
  <c r="AF25" i="1"/>
  <c r="AE25" i="1"/>
  <c r="AF24" i="1"/>
  <c r="AE24" i="1"/>
  <c r="AF23" i="1"/>
  <c r="AE23" i="1"/>
  <c r="AF22" i="1"/>
  <c r="AE22" i="1"/>
  <c r="AF20" i="1"/>
  <c r="AE20" i="1"/>
  <c r="AF19" i="1"/>
  <c r="AE19" i="1"/>
  <c r="AF17" i="1"/>
  <c r="AE17" i="1"/>
  <c r="AD31" i="1"/>
  <c r="AD30" i="1"/>
  <c r="AD29" i="1"/>
  <c r="AD28" i="1"/>
  <c r="AD27" i="1"/>
  <c r="AD25" i="1"/>
  <c r="AD24" i="1"/>
  <c r="AD23" i="1"/>
  <c r="AD22" i="1"/>
  <c r="AD20" i="1"/>
  <c r="AD19" i="1"/>
  <c r="AD17" i="1"/>
  <c r="AC31" i="1"/>
  <c r="AC30" i="1"/>
  <c r="AC29" i="1"/>
  <c r="AC28" i="1"/>
  <c r="AC27" i="1"/>
  <c r="AC25" i="1"/>
  <c r="AC24" i="1"/>
  <c r="AC23" i="1"/>
  <c r="AC22" i="1"/>
  <c r="AC20" i="1"/>
  <c r="AC19" i="1"/>
  <c r="AC17" i="1"/>
  <c r="AA31" i="1" l="1"/>
  <c r="AA30" i="1"/>
  <c r="AA29" i="1"/>
  <c r="AA28" i="1"/>
  <c r="AA27" i="1"/>
  <c r="AA25" i="1"/>
  <c r="AA24" i="1"/>
  <c r="AA23" i="1"/>
  <c r="AA22" i="1"/>
  <c r="AA20" i="1"/>
  <c r="AA19" i="1"/>
  <c r="AA17" i="1"/>
  <c r="Z31" i="1"/>
  <c r="Z30" i="1"/>
  <c r="Z29" i="1"/>
  <c r="Z28" i="1"/>
  <c r="Z27" i="1"/>
  <c r="Z25" i="1"/>
  <c r="Z24" i="1"/>
  <c r="Z23" i="1"/>
  <c r="Z22" i="1"/>
  <c r="Z20" i="1"/>
  <c r="Z19" i="1"/>
  <c r="Z17" i="1"/>
  <c r="Y31" i="1"/>
  <c r="BZ31" i="1" s="1"/>
  <c r="Y30" i="1"/>
  <c r="BZ30" i="1" s="1"/>
  <c r="Y29" i="1"/>
  <c r="BZ29" i="1" s="1"/>
  <c r="Y28" i="1"/>
  <c r="BZ28" i="1" s="1"/>
  <c r="Y27" i="1"/>
  <c r="BZ27" i="1" s="1"/>
  <c r="Y25" i="1"/>
  <c r="BZ25" i="1" s="1"/>
  <c r="Y24" i="1"/>
  <c r="BZ24" i="1" s="1"/>
  <c r="Y23" i="1"/>
  <c r="BZ23" i="1" s="1"/>
  <c r="Y22" i="1"/>
  <c r="BZ22" i="1" s="1"/>
  <c r="Y19" i="1"/>
  <c r="BZ19" i="1" s="1"/>
  <c r="Y17" i="1"/>
  <c r="BZ17" i="1" s="1"/>
  <c r="X31" i="1"/>
  <c r="AR31" i="1" s="1"/>
  <c r="X30" i="1"/>
  <c r="AR30" i="1" s="1"/>
  <c r="X29" i="1"/>
  <c r="AR29" i="1" s="1"/>
  <c r="X25" i="1"/>
  <c r="X24" i="1"/>
  <c r="X23" i="1"/>
  <c r="X22" i="1"/>
  <c r="X20" i="1"/>
  <c r="X19" i="1"/>
  <c r="X17" i="1"/>
  <c r="AR17" i="1" s="1"/>
  <c r="C31" i="1"/>
  <c r="C40" i="5" s="1"/>
  <c r="C30" i="1"/>
  <c r="C39" i="5" s="1"/>
  <c r="C29" i="1"/>
  <c r="C38" i="5" s="1"/>
  <c r="C28" i="1"/>
  <c r="C37" i="5" s="1"/>
  <c r="C27" i="1"/>
  <c r="C36" i="5" s="1"/>
  <c r="C25" i="1"/>
  <c r="C34" i="5" s="1"/>
  <c r="C24" i="1"/>
  <c r="C33" i="5" s="1"/>
  <c r="C23" i="1"/>
  <c r="C32" i="5" s="1"/>
  <c r="C22" i="1"/>
  <c r="C31" i="5" s="1"/>
  <c r="C20" i="1"/>
  <c r="C29" i="5" s="1"/>
  <c r="C19" i="1"/>
  <c r="C28" i="5" s="1"/>
  <c r="C17" i="1"/>
  <c r="C26" i="5" s="1"/>
  <c r="R36" i="3"/>
  <c r="D33" i="3"/>
  <c r="X28" i="1" s="1"/>
  <c r="AR28" i="1" s="1"/>
  <c r="AR23" i="1" l="1"/>
  <c r="AR19" i="1"/>
  <c r="AR24" i="1"/>
  <c r="AR20" i="1"/>
  <c r="AR25" i="1"/>
  <c r="AR22" i="1"/>
  <c r="G177" i="4"/>
  <c r="F177" i="4"/>
  <c r="D177" i="4"/>
  <c r="C177" i="4"/>
  <c r="G176" i="4"/>
  <c r="F176" i="4"/>
  <c r="D176" i="4"/>
  <c r="C176" i="4"/>
  <c r="G175" i="4"/>
  <c r="F175" i="4"/>
  <c r="D175" i="4"/>
  <c r="C175" i="4"/>
  <c r="G174" i="4"/>
  <c r="F174" i="4"/>
  <c r="D174" i="4"/>
  <c r="C174" i="4"/>
  <c r="G173" i="4"/>
  <c r="F173" i="4"/>
  <c r="D173" i="4"/>
  <c r="C173" i="4"/>
  <c r="G172" i="4"/>
  <c r="F172" i="4"/>
  <c r="D172" i="4"/>
  <c r="C172" i="4"/>
  <c r="G171" i="4"/>
  <c r="F171" i="4"/>
  <c r="D171" i="4"/>
  <c r="C171" i="4"/>
  <c r="G170" i="4"/>
  <c r="F170" i="4"/>
  <c r="D170" i="4"/>
  <c r="C170" i="4"/>
  <c r="G169" i="4"/>
  <c r="F169" i="4"/>
  <c r="D169" i="4"/>
  <c r="C169" i="4"/>
  <c r="G168" i="4"/>
  <c r="F168" i="4"/>
  <c r="D168" i="4"/>
  <c r="C168" i="4"/>
  <c r="G167" i="4"/>
  <c r="F167" i="4"/>
  <c r="D167" i="4"/>
  <c r="C167" i="4"/>
  <c r="G166" i="4"/>
  <c r="F166" i="4"/>
  <c r="D166" i="4"/>
  <c r="C166" i="4"/>
  <c r="G165" i="4"/>
  <c r="F165" i="4"/>
  <c r="D165" i="4"/>
  <c r="C165" i="4"/>
  <c r="G164" i="4"/>
  <c r="F164" i="4"/>
  <c r="D164" i="4"/>
  <c r="C164" i="4"/>
  <c r="G163" i="4"/>
  <c r="F163" i="4"/>
  <c r="D163" i="4"/>
  <c r="C163" i="4"/>
  <c r="G162" i="4"/>
  <c r="F162" i="4"/>
  <c r="D162" i="4"/>
  <c r="C162" i="4"/>
  <c r="G161" i="4"/>
  <c r="F161" i="4"/>
  <c r="D161" i="4"/>
  <c r="C161" i="4"/>
  <c r="G160" i="4"/>
  <c r="F160" i="4"/>
  <c r="D160" i="4"/>
  <c r="C160" i="4"/>
  <c r="G159" i="4"/>
  <c r="F159" i="4"/>
  <c r="D159" i="4"/>
  <c r="C159" i="4"/>
  <c r="G158" i="4"/>
  <c r="F158" i="4"/>
  <c r="D158" i="4"/>
  <c r="C158" i="4"/>
  <c r="G157" i="4"/>
  <c r="F157" i="4"/>
  <c r="D157" i="4"/>
  <c r="C157" i="4"/>
  <c r="G156" i="4"/>
  <c r="F156" i="4"/>
  <c r="D156" i="4"/>
  <c r="C156" i="4"/>
  <c r="G155" i="4"/>
  <c r="F155" i="4"/>
  <c r="D155" i="4"/>
  <c r="C155" i="4"/>
  <c r="G154" i="4"/>
  <c r="F154" i="4"/>
  <c r="D154" i="4"/>
  <c r="C154" i="4"/>
  <c r="G153" i="4"/>
  <c r="F153" i="4"/>
  <c r="D153" i="4"/>
  <c r="C153" i="4"/>
  <c r="G152" i="4"/>
  <c r="F152" i="4"/>
  <c r="D152" i="4"/>
  <c r="C152" i="4"/>
  <c r="G151" i="4"/>
  <c r="F151" i="4"/>
  <c r="D151" i="4"/>
  <c r="C151" i="4"/>
  <c r="G150" i="4"/>
  <c r="F150" i="4"/>
  <c r="D150" i="4"/>
  <c r="C150" i="4"/>
  <c r="G149" i="4"/>
  <c r="F149" i="4"/>
  <c r="D149" i="4"/>
  <c r="C149" i="4"/>
  <c r="G148" i="4"/>
  <c r="F148" i="4"/>
  <c r="D148" i="4"/>
  <c r="C148" i="4"/>
  <c r="G147" i="4"/>
  <c r="F147" i="4"/>
  <c r="D147" i="4"/>
  <c r="C147" i="4"/>
  <c r="G146" i="4"/>
  <c r="F146" i="4"/>
  <c r="D146" i="4"/>
  <c r="C146" i="4"/>
  <c r="G145" i="4"/>
  <c r="F145" i="4"/>
  <c r="D145" i="4"/>
  <c r="C145" i="4"/>
  <c r="G144" i="4"/>
  <c r="F144" i="4"/>
  <c r="D144" i="4"/>
  <c r="C144" i="4"/>
  <c r="G143" i="4"/>
  <c r="F143" i="4"/>
  <c r="D143" i="4"/>
  <c r="C143" i="4"/>
  <c r="G142" i="4"/>
  <c r="F142" i="4"/>
  <c r="D142" i="4"/>
  <c r="C142" i="4"/>
  <c r="G141" i="4"/>
  <c r="F141" i="4"/>
  <c r="D141" i="4"/>
  <c r="C141" i="4"/>
  <c r="G140" i="4"/>
  <c r="F140" i="4"/>
  <c r="D140" i="4"/>
  <c r="C140" i="4"/>
  <c r="G139" i="4"/>
  <c r="F139" i="4"/>
  <c r="D139" i="4"/>
  <c r="C139" i="4"/>
  <c r="G138" i="4"/>
  <c r="F138" i="4"/>
  <c r="D138" i="4"/>
  <c r="C138" i="4"/>
  <c r="G137" i="4"/>
  <c r="C137" i="4"/>
  <c r="C136" i="4"/>
  <c r="C135" i="4"/>
  <c r="C134" i="4"/>
  <c r="C133" i="4"/>
  <c r="C132" i="4"/>
  <c r="C131" i="4"/>
  <c r="C130" i="4"/>
  <c r="C129" i="4"/>
  <c r="C128" i="4"/>
  <c r="G127" i="4"/>
  <c r="C127" i="4"/>
  <c r="G126" i="4"/>
  <c r="C126" i="4"/>
  <c r="G125" i="4"/>
  <c r="C125" i="4"/>
  <c r="G124" i="4"/>
  <c r="C124" i="4"/>
  <c r="G123" i="4"/>
  <c r="C123" i="4"/>
  <c r="G122" i="4"/>
  <c r="C122" i="4"/>
  <c r="G121" i="4"/>
  <c r="C121" i="4"/>
  <c r="G120" i="4"/>
  <c r="C120" i="4"/>
  <c r="G119" i="4"/>
  <c r="C119" i="4"/>
  <c r="G118" i="4"/>
  <c r="C118" i="4"/>
  <c r="G117" i="4"/>
  <c r="C117" i="4"/>
  <c r="G116" i="4"/>
  <c r="C116" i="4"/>
  <c r="G115" i="4"/>
  <c r="C115" i="4"/>
  <c r="G114" i="4"/>
  <c r="C114" i="4"/>
  <c r="G113" i="4"/>
  <c r="C113" i="4"/>
  <c r="G112" i="4"/>
  <c r="C112" i="4"/>
  <c r="G111" i="4"/>
  <c r="C111" i="4"/>
  <c r="G110" i="4"/>
  <c r="C110" i="4"/>
  <c r="G109" i="4"/>
  <c r="C109" i="4"/>
  <c r="G108" i="4"/>
  <c r="C108" i="4"/>
  <c r="G107" i="4"/>
  <c r="C107" i="4"/>
  <c r="G106" i="4"/>
  <c r="C106" i="4"/>
  <c r="G105" i="4"/>
  <c r="C105" i="4"/>
  <c r="G104" i="4"/>
  <c r="C104" i="4"/>
  <c r="G103" i="4"/>
  <c r="C103" i="4"/>
  <c r="G102" i="4"/>
  <c r="C102" i="4"/>
  <c r="G101" i="4"/>
  <c r="C101" i="4"/>
  <c r="G100" i="4"/>
  <c r="C100" i="4"/>
  <c r="G99" i="4"/>
  <c r="C99" i="4"/>
  <c r="G98" i="4"/>
  <c r="C98" i="4"/>
  <c r="G97" i="4"/>
  <c r="C97" i="4"/>
  <c r="G96" i="4"/>
  <c r="C96" i="4"/>
  <c r="G95" i="4"/>
  <c r="C95" i="4"/>
  <c r="G94" i="4"/>
  <c r="C94" i="4"/>
  <c r="G93" i="4"/>
  <c r="C93" i="4"/>
  <c r="G92" i="4"/>
  <c r="C92" i="4"/>
  <c r="G91" i="4"/>
  <c r="C91" i="4"/>
  <c r="G90" i="4"/>
  <c r="C90" i="4"/>
  <c r="G89" i="4"/>
  <c r="C89" i="4"/>
  <c r="G88" i="4"/>
  <c r="C88" i="4"/>
  <c r="G87" i="4"/>
  <c r="C87" i="4"/>
  <c r="G86" i="4"/>
  <c r="C86" i="4"/>
  <c r="G85" i="4"/>
  <c r="C85" i="4"/>
  <c r="G84" i="4"/>
  <c r="C84" i="4"/>
  <c r="G83" i="4"/>
  <c r="C83" i="4"/>
  <c r="G82" i="4"/>
  <c r="C82" i="4"/>
  <c r="G81" i="4"/>
  <c r="C81" i="4"/>
  <c r="G80" i="4"/>
  <c r="C80" i="4"/>
  <c r="G79" i="4"/>
  <c r="C79" i="4"/>
  <c r="G78" i="4"/>
  <c r="C78" i="4"/>
  <c r="G77" i="4"/>
  <c r="C77" i="4"/>
  <c r="V76" i="4"/>
  <c r="U76" i="4"/>
  <c r="G76" i="4"/>
  <c r="C76" i="4"/>
  <c r="V75" i="4"/>
  <c r="U75" i="4"/>
  <c r="G75" i="4"/>
  <c r="C75" i="4"/>
  <c r="V74" i="4"/>
  <c r="U74" i="4"/>
  <c r="G74" i="4"/>
  <c r="C74" i="4"/>
  <c r="V73" i="4"/>
  <c r="U73" i="4"/>
  <c r="G73" i="4"/>
  <c r="C73" i="4"/>
  <c r="V72" i="4"/>
  <c r="U72" i="4"/>
  <c r="G72" i="4"/>
  <c r="C72" i="4"/>
  <c r="V71" i="4"/>
  <c r="U71" i="4"/>
  <c r="G71" i="4"/>
  <c r="C71" i="4"/>
  <c r="V70" i="4"/>
  <c r="U70" i="4"/>
  <c r="G70" i="4"/>
  <c r="C70" i="4"/>
  <c r="V69" i="4"/>
  <c r="U69" i="4"/>
  <c r="G69" i="4"/>
  <c r="C69" i="4"/>
  <c r="V68" i="4"/>
  <c r="U68" i="4"/>
  <c r="G68" i="4"/>
  <c r="C68" i="4"/>
  <c r="V67" i="4"/>
  <c r="U67" i="4"/>
  <c r="G67" i="4"/>
  <c r="C67" i="4"/>
  <c r="V66" i="4"/>
  <c r="U66" i="4"/>
  <c r="G66" i="4"/>
  <c r="C66" i="4"/>
  <c r="V65" i="4"/>
  <c r="U65" i="4"/>
  <c r="G65" i="4"/>
  <c r="C65" i="4"/>
  <c r="V64" i="4"/>
  <c r="U64" i="4"/>
  <c r="G64" i="4"/>
  <c r="C64" i="4"/>
  <c r="V63" i="4"/>
  <c r="U63" i="4"/>
  <c r="G63" i="4"/>
  <c r="C63" i="4"/>
  <c r="V62" i="4"/>
  <c r="U62" i="4"/>
  <c r="G62" i="4"/>
  <c r="C62" i="4"/>
  <c r="V61" i="4"/>
  <c r="U61" i="4"/>
  <c r="G61" i="4"/>
  <c r="C61" i="4"/>
  <c r="V60" i="4"/>
  <c r="U60" i="4"/>
  <c r="G60" i="4"/>
  <c r="C60" i="4"/>
  <c r="V59" i="4"/>
  <c r="U59" i="4"/>
  <c r="G59" i="4"/>
  <c r="C59" i="4"/>
  <c r="V58" i="4"/>
  <c r="U58" i="4"/>
  <c r="G58" i="4"/>
  <c r="C58" i="4"/>
  <c r="V57" i="4"/>
  <c r="U57" i="4"/>
  <c r="G57" i="4"/>
  <c r="C57" i="4"/>
  <c r="V56" i="4"/>
  <c r="U56" i="4"/>
  <c r="G56" i="4"/>
  <c r="C56" i="4"/>
  <c r="V55" i="4"/>
  <c r="U55" i="4"/>
  <c r="G55" i="4"/>
  <c r="C55" i="4"/>
  <c r="V54" i="4"/>
  <c r="U54" i="4"/>
  <c r="G54" i="4"/>
  <c r="C54" i="4"/>
  <c r="V53" i="4"/>
  <c r="U53" i="4"/>
  <c r="G53" i="4"/>
  <c r="C53" i="4"/>
  <c r="V52" i="4"/>
  <c r="U52" i="4"/>
  <c r="G52" i="4"/>
  <c r="C52" i="4"/>
  <c r="V51" i="4"/>
  <c r="U51" i="4"/>
  <c r="G51" i="4"/>
  <c r="C51" i="4"/>
  <c r="V50" i="4"/>
  <c r="U50" i="4"/>
  <c r="G50" i="4"/>
  <c r="C50" i="4"/>
  <c r="V49" i="4"/>
  <c r="U49" i="4"/>
  <c r="G49" i="4"/>
  <c r="C49" i="4"/>
  <c r="V48" i="4"/>
  <c r="U48" i="4"/>
  <c r="G48" i="4"/>
  <c r="C48" i="4"/>
  <c r="G47" i="4"/>
  <c r="C47" i="4"/>
  <c r="G46" i="4"/>
  <c r="C46" i="4"/>
  <c r="G45" i="4"/>
  <c r="C45" i="4"/>
  <c r="G44" i="4"/>
  <c r="C44" i="4"/>
  <c r="G43" i="4"/>
  <c r="C43" i="4"/>
  <c r="U42" i="4"/>
  <c r="S42" i="4"/>
  <c r="R42" i="4" s="1"/>
  <c r="V42" i="4" s="1"/>
  <c r="G42" i="4"/>
  <c r="C42" i="4"/>
  <c r="V41" i="4"/>
  <c r="U41" i="4"/>
  <c r="S41" i="4"/>
  <c r="R41" i="4" s="1"/>
  <c r="G41" i="4"/>
  <c r="C41" i="4"/>
  <c r="U40" i="4"/>
  <c r="S40" i="4"/>
  <c r="R40" i="4" s="1"/>
  <c r="V40" i="4" s="1"/>
  <c r="G40" i="4"/>
  <c r="C40" i="4"/>
  <c r="U39" i="4"/>
  <c r="S39" i="4"/>
  <c r="R39" i="4" s="1"/>
  <c r="V39" i="4" s="1"/>
  <c r="G39" i="4"/>
  <c r="C39" i="4"/>
  <c r="U38" i="4"/>
  <c r="S38" i="4"/>
  <c r="R38" i="4" s="1"/>
  <c r="V38" i="4" s="1"/>
  <c r="G38" i="4"/>
  <c r="C38" i="4"/>
  <c r="U37" i="4"/>
  <c r="S37" i="4"/>
  <c r="R37" i="4" s="1"/>
  <c r="V37" i="4" s="1"/>
  <c r="G37" i="4"/>
  <c r="C37" i="4"/>
  <c r="U36" i="4"/>
  <c r="S36" i="4"/>
  <c r="R36" i="4" s="1"/>
  <c r="V36" i="4" s="1"/>
  <c r="G36" i="4"/>
  <c r="C36" i="4"/>
  <c r="U35" i="4"/>
  <c r="S35" i="4"/>
  <c r="R35" i="4" s="1"/>
  <c r="V35" i="4" s="1"/>
  <c r="G35" i="4"/>
  <c r="C35" i="4"/>
  <c r="U34" i="4"/>
  <c r="S34" i="4"/>
  <c r="R34" i="4" s="1"/>
  <c r="V34" i="4" s="1"/>
  <c r="G34" i="4"/>
  <c r="C34" i="4"/>
  <c r="V33" i="4"/>
  <c r="U33" i="4"/>
  <c r="S33" i="4"/>
  <c r="R33" i="4" s="1"/>
  <c r="G33" i="4"/>
  <c r="C33" i="4"/>
  <c r="U32" i="4"/>
  <c r="S32" i="4"/>
  <c r="R32" i="4" s="1"/>
  <c r="V32" i="4" s="1"/>
  <c r="G32" i="4"/>
  <c r="C32" i="4"/>
  <c r="U31" i="4"/>
  <c r="S31" i="4"/>
  <c r="R31" i="4" s="1"/>
  <c r="V31" i="4" s="1"/>
  <c r="G31" i="4"/>
  <c r="C31" i="4"/>
  <c r="U30" i="4"/>
  <c r="S30" i="4"/>
  <c r="R30" i="4" s="1"/>
  <c r="V30" i="4" s="1"/>
  <c r="G30" i="4"/>
  <c r="C30" i="4"/>
  <c r="U29" i="4"/>
  <c r="S29" i="4"/>
  <c r="R29" i="4" s="1"/>
  <c r="V29" i="4" s="1"/>
  <c r="G29" i="4"/>
  <c r="C29" i="4"/>
  <c r="U28" i="4"/>
  <c r="S28" i="4"/>
  <c r="R28" i="4" s="1"/>
  <c r="V28" i="4" s="1"/>
  <c r="G28" i="4"/>
  <c r="C28" i="4"/>
  <c r="U27" i="4"/>
  <c r="S27" i="4"/>
  <c r="R27" i="4" s="1"/>
  <c r="V27" i="4" s="1"/>
  <c r="G27" i="4"/>
  <c r="C27" i="4"/>
  <c r="U26" i="4"/>
  <c r="S26" i="4"/>
  <c r="R26" i="4" s="1"/>
  <c r="V26" i="4" s="1"/>
  <c r="O26" i="4"/>
  <c r="G26" i="4"/>
  <c r="C26" i="4"/>
  <c r="U25" i="4"/>
  <c r="S25" i="4"/>
  <c r="R25" i="4"/>
  <c r="V25" i="4" s="1"/>
  <c r="O25" i="4"/>
  <c r="G25" i="4"/>
  <c r="C25" i="4"/>
  <c r="U24" i="4"/>
  <c r="R24" i="4"/>
  <c r="V24" i="4" s="1"/>
  <c r="O24" i="4"/>
  <c r="G24" i="4"/>
  <c r="C24" i="4"/>
  <c r="O23" i="4"/>
  <c r="G23" i="4"/>
  <c r="C23" i="4"/>
  <c r="O22" i="4"/>
  <c r="G22" i="4"/>
  <c r="C22" i="4"/>
  <c r="O21" i="4"/>
  <c r="G21" i="4"/>
  <c r="C21" i="4"/>
  <c r="O20" i="4"/>
  <c r="G20" i="4"/>
  <c r="C20" i="4"/>
  <c r="O19" i="4"/>
  <c r="G19" i="4"/>
  <c r="C19" i="4"/>
  <c r="O18" i="4"/>
  <c r="G18" i="4"/>
  <c r="C18" i="4"/>
  <c r="AB17" i="4"/>
  <c r="O17" i="4"/>
  <c r="G17" i="4"/>
  <c r="C17" i="4"/>
  <c r="AB16" i="4"/>
  <c r="O16" i="4"/>
  <c r="G16" i="4"/>
  <c r="C16" i="4"/>
  <c r="AB15" i="4"/>
  <c r="O15" i="4"/>
  <c r="G15" i="4"/>
  <c r="C15" i="4"/>
  <c r="AB14" i="4"/>
  <c r="O14" i="4"/>
  <c r="G14" i="4"/>
  <c r="C14" i="4"/>
  <c r="AB13" i="4"/>
  <c r="O13" i="4"/>
  <c r="G13" i="4"/>
  <c r="C13" i="4"/>
  <c r="AB12" i="4"/>
  <c r="O12" i="4"/>
  <c r="G12" i="4"/>
  <c r="C12" i="4"/>
  <c r="AB11" i="4"/>
  <c r="F16" i="4" s="1"/>
  <c r="O11" i="4"/>
  <c r="G11" i="4"/>
  <c r="C11" i="4"/>
  <c r="AB10" i="4"/>
  <c r="Y10" i="4"/>
  <c r="O10" i="4"/>
  <c r="G10" i="4"/>
  <c r="F10" i="4"/>
  <c r="C10" i="4"/>
  <c r="AB9" i="4"/>
  <c r="Y9" i="4"/>
  <c r="O9" i="4"/>
  <c r="G9" i="4"/>
  <c r="F9" i="4"/>
  <c r="C9" i="4"/>
  <c r="AB8" i="4"/>
  <c r="Y8" i="4"/>
  <c r="O8" i="4"/>
  <c r="G8" i="4"/>
  <c r="F8" i="4"/>
  <c r="C8" i="4"/>
  <c r="AB7" i="4"/>
  <c r="Y7" i="4"/>
  <c r="O7" i="4"/>
  <c r="G7" i="4"/>
  <c r="F7" i="4"/>
  <c r="C7" i="4"/>
  <c r="AB6" i="4"/>
  <c r="Y6" i="4"/>
  <c r="O6" i="4"/>
  <c r="G6" i="4"/>
  <c r="F6" i="4"/>
  <c r="C6" i="4"/>
  <c r="AB5" i="4"/>
  <c r="Y5" i="4"/>
  <c r="O5" i="4"/>
  <c r="G5" i="4"/>
  <c r="F5" i="4"/>
  <c r="C5" i="4"/>
  <c r="AB4" i="4"/>
  <c r="Y4" i="4"/>
  <c r="O4" i="4"/>
  <c r="G4" i="4"/>
  <c r="F4" i="4"/>
  <c r="C4" i="4"/>
  <c r="C54" i="3"/>
  <c r="B55" i="3" s="1"/>
  <c r="R43" i="3"/>
  <c r="R42" i="3"/>
  <c r="R41" i="3"/>
  <c r="R40" i="3"/>
  <c r="R39" i="3"/>
  <c r="R35" i="3"/>
  <c r="R34" i="3"/>
  <c r="R33" i="3"/>
  <c r="R32" i="3"/>
  <c r="D32" i="3"/>
  <c r="X27" i="1" s="1"/>
  <c r="AR27" i="1" s="1"/>
  <c r="R30" i="3"/>
  <c r="R29" i="3"/>
  <c r="R28" i="3"/>
  <c r="R27" i="3"/>
  <c r="R25" i="3"/>
  <c r="Y20" i="1"/>
  <c r="R24" i="3"/>
  <c r="R22" i="3"/>
  <c r="J9" i="3"/>
  <c r="J8" i="3"/>
  <c r="C8" i="3"/>
  <c r="J7" i="3"/>
  <c r="J6" i="3"/>
  <c r="J5" i="3"/>
  <c r="G5" i="3"/>
  <c r="J4" i="3"/>
  <c r="C4" i="3"/>
  <c r="D137" i="4"/>
  <c r="I7" i="4" l="1"/>
  <c r="F137" i="4"/>
  <c r="BZ20" i="1"/>
  <c r="BZ15" i="1" s="1"/>
  <c r="I5" i="4"/>
  <c r="I4" i="4"/>
  <c r="I6" i="4"/>
  <c r="I8" i="4"/>
  <c r="I10" i="4"/>
  <c r="I16" i="4"/>
  <c r="K137" i="4"/>
  <c r="K133" i="4"/>
  <c r="K129" i="4"/>
  <c r="K125" i="4"/>
  <c r="K121" i="4"/>
  <c r="K117" i="4"/>
  <c r="K113" i="4"/>
  <c r="K109" i="4"/>
  <c r="K105" i="4"/>
  <c r="K101" i="4"/>
  <c r="K97" i="4"/>
  <c r="K93" i="4"/>
  <c r="K89" i="4"/>
  <c r="K85" i="4"/>
  <c r="K81" i="4"/>
  <c r="K77" i="4"/>
  <c r="K73" i="4"/>
  <c r="K69" i="4"/>
  <c r="K65" i="4"/>
  <c r="K61" i="4"/>
  <c r="K57" i="4"/>
  <c r="K53" i="4"/>
  <c r="K49" i="4"/>
  <c r="K45" i="4"/>
  <c r="K41" i="4"/>
  <c r="K37" i="4"/>
  <c r="K33" i="4"/>
  <c r="K29" i="4"/>
  <c r="K25" i="4"/>
  <c r="K21" i="4"/>
  <c r="K17" i="4"/>
  <c r="K13" i="4"/>
  <c r="K9" i="4"/>
  <c r="K5" i="4"/>
  <c r="K135" i="4"/>
  <c r="K127" i="4"/>
  <c r="K119" i="4"/>
  <c r="K111" i="4"/>
  <c r="K136" i="4"/>
  <c r="K132" i="4"/>
  <c r="K128" i="4"/>
  <c r="K124" i="4"/>
  <c r="K120" i="4"/>
  <c r="K116" i="4"/>
  <c r="K112" i="4"/>
  <c r="K108" i="4"/>
  <c r="K104" i="4"/>
  <c r="K100" i="4"/>
  <c r="K96" i="4"/>
  <c r="K92" i="4"/>
  <c r="K88" i="4"/>
  <c r="K84" i="4"/>
  <c r="K80" i="4"/>
  <c r="K76" i="4"/>
  <c r="K72" i="4"/>
  <c r="K68" i="4"/>
  <c r="K64" i="4"/>
  <c r="K60" i="4"/>
  <c r="K56" i="4"/>
  <c r="K52" i="4"/>
  <c r="K48" i="4"/>
  <c r="K44" i="4"/>
  <c r="K40" i="4"/>
  <c r="K36" i="4"/>
  <c r="K32" i="4"/>
  <c r="K28" i="4"/>
  <c r="K24" i="4"/>
  <c r="K20" i="4"/>
  <c r="K16" i="4"/>
  <c r="K12" i="4"/>
  <c r="K8" i="4"/>
  <c r="K4" i="4"/>
  <c r="K131" i="4"/>
  <c r="K123" i="4"/>
  <c r="K115" i="4"/>
  <c r="K107" i="4"/>
  <c r="K134" i="4"/>
  <c r="K118" i="4"/>
  <c r="K103" i="4"/>
  <c r="K95" i="4"/>
  <c r="K87" i="4"/>
  <c r="K79" i="4"/>
  <c r="K71" i="4"/>
  <c r="K63" i="4"/>
  <c r="K55" i="4"/>
  <c r="K47" i="4"/>
  <c r="K39" i="4"/>
  <c r="K31" i="4"/>
  <c r="K23" i="4"/>
  <c r="K15" i="4"/>
  <c r="K7" i="4"/>
  <c r="K91" i="4"/>
  <c r="K59" i="4"/>
  <c r="K43" i="4"/>
  <c r="K27" i="4"/>
  <c r="K11" i="4"/>
  <c r="K106" i="4"/>
  <c r="K90" i="4"/>
  <c r="K74" i="4"/>
  <c r="K58" i="4"/>
  <c r="K34" i="4"/>
  <c r="K18" i="4"/>
  <c r="K130" i="4"/>
  <c r="K114" i="4"/>
  <c r="K102" i="4"/>
  <c r="K94" i="4"/>
  <c r="K86" i="4"/>
  <c r="K78" i="4"/>
  <c r="K70" i="4"/>
  <c r="K62" i="4"/>
  <c r="K54" i="4"/>
  <c r="K46" i="4"/>
  <c r="K38" i="4"/>
  <c r="K30" i="4"/>
  <c r="K22" i="4"/>
  <c r="K14" i="4"/>
  <c r="K6" i="4"/>
  <c r="K126" i="4"/>
  <c r="K110" i="4"/>
  <c r="K99" i="4"/>
  <c r="K83" i="4"/>
  <c r="K75" i="4"/>
  <c r="K67" i="4"/>
  <c r="K51" i="4"/>
  <c r="K35" i="4"/>
  <c r="K19" i="4"/>
  <c r="K122" i="4"/>
  <c r="K98" i="4"/>
  <c r="K82" i="4"/>
  <c r="K66" i="4"/>
  <c r="K50" i="4"/>
  <c r="K42" i="4"/>
  <c r="K26" i="4"/>
  <c r="K10" i="4"/>
  <c r="AF6" i="1"/>
  <c r="I9"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J14" i="1"/>
  <c r="G9" i="3"/>
  <c r="G8" i="3"/>
  <c r="G136" i="4"/>
  <c r="G134" i="4"/>
  <c r="I134" i="4" s="1"/>
  <c r="G135" i="4"/>
  <c r="F12" i="4"/>
  <c r="I12" i="4" s="1"/>
  <c r="F14" i="4"/>
  <c r="I14" i="4" s="1"/>
  <c r="G132" i="4"/>
  <c r="G130" i="4"/>
  <c r="G128" i="4"/>
  <c r="G133" i="4"/>
  <c r="G131" i="4"/>
  <c r="G129" i="4"/>
  <c r="F136" i="4"/>
  <c r="F134" i="4"/>
  <c r="F135" i="4"/>
  <c r="F126" i="4"/>
  <c r="I126" i="4" s="1"/>
  <c r="F124" i="4"/>
  <c r="I124" i="4" s="1"/>
  <c r="F122" i="4"/>
  <c r="I122" i="4" s="1"/>
  <c r="F120" i="4"/>
  <c r="I120" i="4" s="1"/>
  <c r="F118" i="4"/>
  <c r="I118" i="4" s="1"/>
  <c r="F116" i="4"/>
  <c r="I116" i="4" s="1"/>
  <c r="F114" i="4"/>
  <c r="I114" i="4" s="1"/>
  <c r="F112" i="4"/>
  <c r="I112" i="4" s="1"/>
  <c r="F110" i="4"/>
  <c r="I110" i="4" s="1"/>
  <c r="F108" i="4"/>
  <c r="I108" i="4" s="1"/>
  <c r="F106" i="4"/>
  <c r="I106" i="4" s="1"/>
  <c r="F104" i="4"/>
  <c r="I104" i="4" s="1"/>
  <c r="F102" i="4"/>
  <c r="I102" i="4" s="1"/>
  <c r="F100" i="4"/>
  <c r="I100" i="4" s="1"/>
  <c r="F98" i="4"/>
  <c r="I98" i="4" s="1"/>
  <c r="F96" i="4"/>
  <c r="I96" i="4" s="1"/>
  <c r="F94" i="4"/>
  <c r="I94" i="4" s="1"/>
  <c r="F92" i="4"/>
  <c r="I92" i="4" s="1"/>
  <c r="F90" i="4"/>
  <c r="I90" i="4" s="1"/>
  <c r="F88" i="4"/>
  <c r="I88" i="4" s="1"/>
  <c r="F86" i="4"/>
  <c r="I86" i="4" s="1"/>
  <c r="F84" i="4"/>
  <c r="I84" i="4" s="1"/>
  <c r="F82" i="4"/>
  <c r="I82" i="4" s="1"/>
  <c r="F80" i="4"/>
  <c r="I80" i="4" s="1"/>
  <c r="F78" i="4"/>
  <c r="I78" i="4" s="1"/>
  <c r="F123" i="4"/>
  <c r="I123" i="4" s="1"/>
  <c r="F119" i="4"/>
  <c r="I119" i="4" s="1"/>
  <c r="F115" i="4"/>
  <c r="I115" i="4" s="1"/>
  <c r="F111" i="4"/>
  <c r="I111" i="4" s="1"/>
  <c r="F107" i="4"/>
  <c r="I107" i="4" s="1"/>
  <c r="F103" i="4"/>
  <c r="I103" i="4" s="1"/>
  <c r="F99" i="4"/>
  <c r="I99" i="4" s="1"/>
  <c r="F95" i="4"/>
  <c r="I95" i="4" s="1"/>
  <c r="F91" i="4"/>
  <c r="I91" i="4" s="1"/>
  <c r="F87" i="4"/>
  <c r="I87" i="4" s="1"/>
  <c r="F83" i="4"/>
  <c r="I83" i="4" s="1"/>
  <c r="F79" i="4"/>
  <c r="I79" i="4" s="1"/>
  <c r="F75" i="4"/>
  <c r="I75" i="4" s="1"/>
  <c r="F47" i="4"/>
  <c r="I47" i="4" s="1"/>
  <c r="F45" i="4"/>
  <c r="I45" i="4" s="1"/>
  <c r="F43" i="4"/>
  <c r="I43" i="4" s="1"/>
  <c r="F41" i="4"/>
  <c r="I41" i="4" s="1"/>
  <c r="F39" i="4"/>
  <c r="I39" i="4" s="1"/>
  <c r="F37" i="4"/>
  <c r="I37" i="4" s="1"/>
  <c r="F35" i="4"/>
  <c r="I35" i="4" s="1"/>
  <c r="F33" i="4"/>
  <c r="I33" i="4" s="1"/>
  <c r="F76" i="4"/>
  <c r="I76" i="4" s="1"/>
  <c r="F127" i="4"/>
  <c r="I127" i="4" s="1"/>
  <c r="F125" i="4"/>
  <c r="I125" i="4" s="1"/>
  <c r="F70" i="4"/>
  <c r="I70" i="4" s="1"/>
  <c r="F66" i="4"/>
  <c r="I66" i="4" s="1"/>
  <c r="F62" i="4"/>
  <c r="I62" i="4" s="1"/>
  <c r="F58" i="4"/>
  <c r="I58" i="4" s="1"/>
  <c r="F54" i="4"/>
  <c r="I54" i="4" s="1"/>
  <c r="F50" i="4"/>
  <c r="I50" i="4" s="1"/>
  <c r="F46" i="4"/>
  <c r="I46" i="4" s="1"/>
  <c r="F42" i="4"/>
  <c r="I42" i="4" s="1"/>
  <c r="F34" i="4"/>
  <c r="I34" i="4" s="1"/>
  <c r="F31" i="4"/>
  <c r="I31" i="4" s="1"/>
  <c r="F29" i="4"/>
  <c r="I29" i="4" s="1"/>
  <c r="F27" i="4"/>
  <c r="I27" i="4" s="1"/>
  <c r="F22" i="4"/>
  <c r="I22" i="4" s="1"/>
  <c r="F74" i="4"/>
  <c r="I74" i="4" s="1"/>
  <c r="F71" i="4"/>
  <c r="I71" i="4" s="1"/>
  <c r="F67" i="4"/>
  <c r="I67" i="4" s="1"/>
  <c r="F63" i="4"/>
  <c r="I63" i="4" s="1"/>
  <c r="F59" i="4"/>
  <c r="I59" i="4" s="1"/>
  <c r="F55" i="4"/>
  <c r="I55" i="4" s="1"/>
  <c r="F51" i="4"/>
  <c r="I51" i="4" s="1"/>
  <c r="F40" i="4"/>
  <c r="I40" i="4" s="1"/>
  <c r="F26" i="4"/>
  <c r="I26" i="4" s="1"/>
  <c r="F72" i="4"/>
  <c r="I72" i="4" s="1"/>
  <c r="F68" i="4"/>
  <c r="I68" i="4" s="1"/>
  <c r="F64" i="4"/>
  <c r="I64" i="4" s="1"/>
  <c r="F60" i="4"/>
  <c r="I60" i="4" s="1"/>
  <c r="F56" i="4"/>
  <c r="I56" i="4" s="1"/>
  <c r="F52" i="4"/>
  <c r="I52" i="4" s="1"/>
  <c r="F48" i="4"/>
  <c r="I48" i="4" s="1"/>
  <c r="F44" i="4"/>
  <c r="I44" i="4" s="1"/>
  <c r="F38" i="4"/>
  <c r="I38" i="4" s="1"/>
  <c r="F32" i="4"/>
  <c r="I32" i="4" s="1"/>
  <c r="F30" i="4"/>
  <c r="I30" i="4" s="1"/>
  <c r="F28" i="4"/>
  <c r="I28" i="4" s="1"/>
  <c r="F25" i="4"/>
  <c r="I25" i="4" s="1"/>
  <c r="F24" i="4"/>
  <c r="I24" i="4" s="1"/>
  <c r="F121" i="4"/>
  <c r="I121" i="4" s="1"/>
  <c r="F117" i="4"/>
  <c r="I117" i="4" s="1"/>
  <c r="F113" i="4"/>
  <c r="I113" i="4" s="1"/>
  <c r="F109" i="4"/>
  <c r="I109" i="4" s="1"/>
  <c r="F105" i="4"/>
  <c r="I105" i="4" s="1"/>
  <c r="F101" i="4"/>
  <c r="I101" i="4" s="1"/>
  <c r="F97" i="4"/>
  <c r="I97" i="4" s="1"/>
  <c r="F93" i="4"/>
  <c r="I93" i="4" s="1"/>
  <c r="F89" i="4"/>
  <c r="I89" i="4" s="1"/>
  <c r="F85" i="4"/>
  <c r="I85" i="4" s="1"/>
  <c r="F81" i="4"/>
  <c r="I81" i="4" s="1"/>
  <c r="F77" i="4"/>
  <c r="I77" i="4" s="1"/>
  <c r="F73" i="4"/>
  <c r="I73" i="4" s="1"/>
  <c r="F69" i="4"/>
  <c r="I69" i="4" s="1"/>
  <c r="F65" i="4"/>
  <c r="I65" i="4" s="1"/>
  <c r="F61" i="4"/>
  <c r="I61" i="4" s="1"/>
  <c r="F57" i="4"/>
  <c r="I57" i="4" s="1"/>
  <c r="F53" i="4"/>
  <c r="I53" i="4" s="1"/>
  <c r="F49" i="4"/>
  <c r="I49" i="4" s="1"/>
  <c r="F36" i="4"/>
  <c r="I36" i="4" s="1"/>
  <c r="F23" i="4"/>
  <c r="I23" i="4" s="1"/>
  <c r="F19" i="4"/>
  <c r="I19" i="4" s="1"/>
  <c r="F17" i="4"/>
  <c r="I17" i="4" s="1"/>
  <c r="F21" i="4"/>
  <c r="I21" i="4" s="1"/>
  <c r="F132" i="4"/>
  <c r="F130" i="4"/>
  <c r="F128" i="4"/>
  <c r="F133" i="4"/>
  <c r="F129" i="4"/>
  <c r="F131" i="4"/>
  <c r="F11" i="4"/>
  <c r="I11" i="4" s="1"/>
  <c r="F13" i="4"/>
  <c r="I13" i="4" s="1"/>
  <c r="F15" i="4"/>
  <c r="I15" i="4" s="1"/>
  <c r="F20" i="4"/>
  <c r="I20" i="4" s="1"/>
  <c r="F18" i="4"/>
  <c r="I18" i="4" s="1"/>
  <c r="C55" i="3"/>
  <c r="B56" i="3" s="1"/>
  <c r="G7" i="3"/>
  <c r="G6" i="3"/>
  <c r="A54" i="3"/>
  <c r="F54" i="3" s="1"/>
  <c r="AF5" i="1" l="1"/>
  <c r="I133" i="4"/>
  <c r="I136" i="4"/>
  <c r="I128" i="4"/>
  <c r="I129" i="4"/>
  <c r="I130" i="4"/>
  <c r="I135" i="4"/>
  <c r="I131" i="4"/>
  <c r="I132" i="4"/>
  <c r="P26" i="3"/>
  <c r="H26" i="3" s="1"/>
  <c r="AB21" i="1"/>
  <c r="P32" i="3"/>
  <c r="J32" i="3" s="1"/>
  <c r="P40" i="3"/>
  <c r="AB36" i="1"/>
  <c r="AB34" i="1"/>
  <c r="AB33" i="1"/>
  <c r="AB35" i="1"/>
  <c r="P39" i="3"/>
  <c r="P42" i="3"/>
  <c r="P41" i="3"/>
  <c r="P43" i="3"/>
  <c r="P27" i="3"/>
  <c r="K27" i="3" s="1"/>
  <c r="P30" i="3"/>
  <c r="H30" i="3" s="1"/>
  <c r="P33" i="3"/>
  <c r="L33" i="3" s="1"/>
  <c r="P34" i="3"/>
  <c r="G34" i="3" s="1"/>
  <c r="P35" i="3"/>
  <c r="L35" i="3" s="1"/>
  <c r="P22" i="3"/>
  <c r="G22" i="3" s="1"/>
  <c r="P28" i="3"/>
  <c r="H28" i="3" s="1"/>
  <c r="AB31" i="1"/>
  <c r="AB27" i="1"/>
  <c r="AB22" i="1"/>
  <c r="AB23" i="1"/>
  <c r="AB17" i="1"/>
  <c r="AB30" i="1"/>
  <c r="AB25" i="1"/>
  <c r="AB20" i="1"/>
  <c r="AB28" i="1"/>
  <c r="AB29" i="1"/>
  <c r="AB24" i="1"/>
  <c r="AB19" i="1"/>
  <c r="P36" i="3"/>
  <c r="P29" i="3"/>
  <c r="G29" i="3" s="1"/>
  <c r="P25" i="3"/>
  <c r="J25" i="3" s="1"/>
  <c r="P24" i="3"/>
  <c r="L24" i="3" s="1"/>
  <c r="C56" i="3"/>
  <c r="B57" i="3" s="1"/>
  <c r="A55" i="3"/>
  <c r="F55" i="3" s="1"/>
  <c r="L26" i="3" l="1"/>
  <c r="K26" i="3"/>
  <c r="J26" i="3"/>
  <c r="G26" i="3"/>
  <c r="I26" i="3"/>
  <c r="AI21" i="1"/>
  <c r="O21" i="1" s="1"/>
  <c r="E21" i="1" s="1"/>
  <c r="AJ21" i="1"/>
  <c r="P21" i="1" s="1"/>
  <c r="AM21" i="1"/>
  <c r="S21" i="1" s="1"/>
  <c r="AL21" i="1"/>
  <c r="R21" i="1" s="1"/>
  <c r="AK21" i="1"/>
  <c r="Q21" i="1" s="1"/>
  <c r="H32" i="3"/>
  <c r="L32" i="3"/>
  <c r="AL34" i="1"/>
  <c r="R34" i="1" s="1"/>
  <c r="AJ34" i="1"/>
  <c r="P34" i="1" s="1"/>
  <c r="AM34" i="1"/>
  <c r="S34" i="1" s="1"/>
  <c r="AI34" i="1"/>
  <c r="O34" i="1" s="1"/>
  <c r="E34" i="1" s="1"/>
  <c r="AK34" i="1"/>
  <c r="Q34" i="1" s="1"/>
  <c r="AM33" i="1"/>
  <c r="S33" i="1" s="1"/>
  <c r="AL33" i="1"/>
  <c r="R33" i="1" s="1"/>
  <c r="AK33" i="1"/>
  <c r="Q33" i="1" s="1"/>
  <c r="AJ33" i="1"/>
  <c r="P33" i="1" s="1"/>
  <c r="AI33" i="1"/>
  <c r="O33" i="1" s="1"/>
  <c r="E33" i="1" s="1"/>
  <c r="G32" i="3"/>
  <c r="I32" i="3"/>
  <c r="K32" i="3"/>
  <c r="L42" i="3"/>
  <c r="G42" i="3"/>
  <c r="H42" i="3"/>
  <c r="I42" i="3"/>
  <c r="J42" i="3"/>
  <c r="K42" i="3"/>
  <c r="J39" i="3"/>
  <c r="L39" i="3"/>
  <c r="K39" i="3"/>
  <c r="H39" i="3"/>
  <c r="G39" i="3"/>
  <c r="I39" i="3"/>
  <c r="AM36" i="1"/>
  <c r="S36" i="1" s="1"/>
  <c r="AJ36" i="1"/>
  <c r="P36" i="1" s="1"/>
  <c r="BX36" i="1"/>
  <c r="AK36" i="1"/>
  <c r="Q36" i="1" s="1"/>
  <c r="AI36" i="1"/>
  <c r="O36" i="1" s="1"/>
  <c r="AL36" i="1"/>
  <c r="R36" i="1" s="1"/>
  <c r="I43" i="3"/>
  <c r="J43" i="3"/>
  <c r="K43" i="3"/>
  <c r="L43" i="3"/>
  <c r="G43" i="3"/>
  <c r="H43" i="3"/>
  <c r="BX35" i="1"/>
  <c r="AI35" i="1"/>
  <c r="O35" i="1" s="1"/>
  <c r="AK35" i="1"/>
  <c r="Q35" i="1" s="1"/>
  <c r="AJ35" i="1"/>
  <c r="P35" i="1" s="1"/>
  <c r="AM35" i="1"/>
  <c r="S35" i="1" s="1"/>
  <c r="AL35" i="1"/>
  <c r="R35" i="1" s="1"/>
  <c r="J40" i="3"/>
  <c r="I40" i="3"/>
  <c r="L40" i="3"/>
  <c r="G40" i="3"/>
  <c r="K40" i="3"/>
  <c r="H40" i="3"/>
  <c r="I41" i="3"/>
  <c r="L41" i="3"/>
  <c r="K41" i="3"/>
  <c r="H41" i="3"/>
  <c r="G41" i="3"/>
  <c r="J41" i="3"/>
  <c r="H33" i="3"/>
  <c r="AM20" i="1"/>
  <c r="S20" i="1" s="1"/>
  <c r="AL20" i="1"/>
  <c r="R20" i="1" s="1"/>
  <c r="AJ20" i="1"/>
  <c r="P20" i="1" s="1"/>
  <c r="AK20" i="1"/>
  <c r="Q20" i="1" s="1"/>
  <c r="AI20" i="1"/>
  <c r="O20" i="1" s="1"/>
  <c r="E20" i="1" s="1"/>
  <c r="AL24" i="1"/>
  <c r="R24" i="1" s="1"/>
  <c r="AI24" i="1"/>
  <c r="O24" i="1" s="1"/>
  <c r="E24" i="1" s="1"/>
  <c r="AJ24" i="1"/>
  <c r="P24" i="1" s="1"/>
  <c r="AK24" i="1"/>
  <c r="Q24" i="1" s="1"/>
  <c r="AM24" i="1"/>
  <c r="S24" i="1" s="1"/>
  <c r="AJ25" i="1"/>
  <c r="P25" i="1" s="1"/>
  <c r="AK25" i="1"/>
  <c r="Q25" i="1" s="1"/>
  <c r="AI25" i="1"/>
  <c r="O25" i="1" s="1"/>
  <c r="E25" i="1" s="1"/>
  <c r="AM25" i="1"/>
  <c r="S25" i="1" s="1"/>
  <c r="AL25" i="1"/>
  <c r="R25" i="1" s="1"/>
  <c r="AI22" i="1"/>
  <c r="O22" i="1" s="1"/>
  <c r="E22" i="1" s="1"/>
  <c r="AJ22" i="1"/>
  <c r="P22" i="1" s="1"/>
  <c r="AL22" i="1"/>
  <c r="R22" i="1" s="1"/>
  <c r="AM22" i="1"/>
  <c r="S22" i="1" s="1"/>
  <c r="AK22" i="1"/>
  <c r="Q22" i="1" s="1"/>
  <c r="AK29" i="1"/>
  <c r="Q29" i="1" s="1"/>
  <c r="AL29" i="1"/>
  <c r="R29" i="1" s="1"/>
  <c r="AJ29" i="1"/>
  <c r="P29" i="1" s="1"/>
  <c r="AM29" i="1"/>
  <c r="S29" i="1" s="1"/>
  <c r="AI29" i="1"/>
  <c r="O29" i="1" s="1"/>
  <c r="E29" i="1" s="1"/>
  <c r="AM30" i="1"/>
  <c r="S30" i="1" s="1"/>
  <c r="AL30" i="1"/>
  <c r="R30" i="1" s="1"/>
  <c r="AJ30" i="1"/>
  <c r="P30" i="1" s="1"/>
  <c r="AK30" i="1"/>
  <c r="Q30" i="1" s="1"/>
  <c r="AI30" i="1"/>
  <c r="O30" i="1" s="1"/>
  <c r="E30" i="1" s="1"/>
  <c r="AK27" i="1"/>
  <c r="Q27" i="1" s="1"/>
  <c r="AI27" i="1"/>
  <c r="O27" i="1" s="1"/>
  <c r="E27" i="1" s="1"/>
  <c r="AJ27" i="1"/>
  <c r="P27" i="1" s="1"/>
  <c r="AL27" i="1"/>
  <c r="R27" i="1" s="1"/>
  <c r="AM27" i="1"/>
  <c r="S27" i="1" s="1"/>
  <c r="AI19" i="1"/>
  <c r="O19" i="1" s="1"/>
  <c r="E19" i="1" s="1"/>
  <c r="AJ19" i="1"/>
  <c r="P19" i="1" s="1"/>
  <c r="AM19" i="1"/>
  <c r="S19" i="1" s="1"/>
  <c r="AK19" i="1"/>
  <c r="Q19" i="1" s="1"/>
  <c r="AL19" i="1"/>
  <c r="R19" i="1" s="1"/>
  <c r="AJ23" i="1"/>
  <c r="P23" i="1" s="1"/>
  <c r="AI23" i="1"/>
  <c r="O23" i="1" s="1"/>
  <c r="E23" i="1" s="1"/>
  <c r="AK23" i="1"/>
  <c r="Q23" i="1" s="1"/>
  <c r="AL23" i="1"/>
  <c r="R23" i="1" s="1"/>
  <c r="AM23" i="1"/>
  <c r="S23" i="1" s="1"/>
  <c r="AL28" i="1"/>
  <c r="R28" i="1" s="1"/>
  <c r="AJ28" i="1"/>
  <c r="P28" i="1" s="1"/>
  <c r="AM28" i="1"/>
  <c r="S28" i="1" s="1"/>
  <c r="AI28" i="1"/>
  <c r="O28" i="1" s="1"/>
  <c r="E28" i="1" s="1"/>
  <c r="AK28" i="1"/>
  <c r="Q28" i="1" s="1"/>
  <c r="AI17" i="1"/>
  <c r="O17" i="1" s="1"/>
  <c r="E17" i="1" s="1"/>
  <c r="AJ17" i="1"/>
  <c r="P17" i="1" s="1"/>
  <c r="AL17" i="1"/>
  <c r="R17" i="1" s="1"/>
  <c r="AM17" i="1"/>
  <c r="S17" i="1" s="1"/>
  <c r="AK17" i="1"/>
  <c r="Q17" i="1" s="1"/>
  <c r="AM31" i="1"/>
  <c r="S31" i="1" s="1"/>
  <c r="AK31" i="1"/>
  <c r="Q31" i="1" s="1"/>
  <c r="AL31" i="1"/>
  <c r="R31" i="1" s="1"/>
  <c r="AI31" i="1"/>
  <c r="O31" i="1" s="1"/>
  <c r="E31" i="1" s="1"/>
  <c r="AJ31" i="1"/>
  <c r="P31" i="1" s="1"/>
  <c r="J30" i="3"/>
  <c r="I30" i="3"/>
  <c r="H29" i="3"/>
  <c r="H27" i="3"/>
  <c r="I33" i="3"/>
  <c r="K30" i="3"/>
  <c r="G27" i="3"/>
  <c r="L29" i="3"/>
  <c r="G30" i="3"/>
  <c r="J29" i="3"/>
  <c r="L30" i="3"/>
  <c r="K29" i="3"/>
  <c r="J27" i="3"/>
  <c r="J33" i="3"/>
  <c r="G24" i="3"/>
  <c r="L25" i="3"/>
  <c r="I29" i="3"/>
  <c r="K34" i="3"/>
  <c r="J28" i="3"/>
  <c r="L28" i="3"/>
  <c r="K35" i="3"/>
  <c r="K24" i="3"/>
  <c r="G28" i="3"/>
  <c r="I28" i="3"/>
  <c r="I35" i="3"/>
  <c r="I24" i="3"/>
  <c r="H24" i="3"/>
  <c r="K28" i="3"/>
  <c r="J35" i="3"/>
  <c r="H35" i="3"/>
  <c r="J24" i="3"/>
  <c r="G35" i="3"/>
  <c r="L27" i="3"/>
  <c r="G33" i="3"/>
  <c r="J22" i="3"/>
  <c r="I27" i="3"/>
  <c r="K33" i="3"/>
  <c r="I34" i="3"/>
  <c r="H34" i="3"/>
  <c r="J34" i="3"/>
  <c r="L34" i="3"/>
  <c r="G25" i="3"/>
  <c r="H22" i="3"/>
  <c r="K25" i="3"/>
  <c r="I25" i="3"/>
  <c r="L22" i="3"/>
  <c r="H25" i="3"/>
  <c r="K22" i="3"/>
  <c r="L36" i="3"/>
  <c r="J36" i="3"/>
  <c r="H36" i="3"/>
  <c r="I36" i="3"/>
  <c r="G36" i="3"/>
  <c r="K36" i="3"/>
  <c r="I22" i="3"/>
  <c r="A56" i="3"/>
  <c r="F56" i="3" s="1"/>
  <c r="C57" i="3"/>
  <c r="B58" i="3" s="1"/>
  <c r="C58" i="3" l="1"/>
  <c r="A58" i="3" s="1"/>
  <c r="F58" i="3" s="1"/>
  <c r="Y7" i="1" s="1"/>
  <c r="A57" i="3"/>
  <c r="F57" i="3" s="1"/>
  <c r="D67" i="4"/>
  <c r="D117" i="4"/>
  <c r="D48" i="4"/>
  <c r="D71" i="4"/>
  <c r="D88" i="4"/>
  <c r="N8" i="4"/>
  <c r="D18" i="4"/>
  <c r="D58" i="4"/>
  <c r="N9" i="4"/>
  <c r="D40" i="4"/>
  <c r="D63" i="4"/>
  <c r="D21" i="4"/>
  <c r="D60" i="4"/>
  <c r="N17" i="4"/>
  <c r="D39" i="4"/>
  <c r="D20" i="4"/>
  <c r="D131" i="4"/>
  <c r="D76" i="4"/>
  <c r="D84" i="4"/>
  <c r="N5" i="4"/>
  <c r="D36" i="4"/>
  <c r="D52" i="4"/>
  <c r="D23" i="4"/>
  <c r="D53" i="4"/>
  <c r="D102" i="4"/>
  <c r="N23" i="4"/>
  <c r="D51" i="4"/>
  <c r="D100" i="4"/>
  <c r="N25" i="4"/>
  <c r="D5" i="4"/>
  <c r="D104" i="4"/>
  <c r="D9" i="4"/>
  <c r="D43" i="4"/>
  <c r="D66" i="4"/>
  <c r="D136" i="4"/>
  <c r="D34" i="4"/>
  <c r="D134" i="4"/>
  <c r="D28" i="4"/>
  <c r="D73" i="4"/>
  <c r="D6" i="4"/>
  <c r="D69" i="4"/>
  <c r="D125" i="4"/>
  <c r="D107" i="4"/>
  <c r="N4" i="4"/>
  <c r="D38" i="4"/>
  <c r="N20" i="4"/>
  <c r="D115" i="4"/>
  <c r="D80" i="4"/>
  <c r="D55" i="4"/>
  <c r="N24" i="4"/>
  <c r="D56" i="4"/>
  <c r="D12" i="4"/>
  <c r="D123" i="4"/>
  <c r="N10" i="4"/>
  <c r="D92" i="4"/>
  <c r="D112" i="4"/>
  <c r="D129" i="4"/>
  <c r="D114" i="4"/>
  <c r="N12" i="4"/>
  <c r="D72" i="4"/>
  <c r="D126" i="4"/>
  <c r="D4" i="4"/>
  <c r="D89" i="4"/>
  <c r="D121" i="4"/>
  <c r="D33" i="4"/>
  <c r="D59" i="4"/>
  <c r="D91" i="4"/>
  <c r="D74" i="4"/>
  <c r="D78" i="4"/>
  <c r="D8" i="4"/>
  <c r="N26" i="4"/>
  <c r="D22" i="4"/>
  <c r="D99" i="4"/>
  <c r="D109" i="4"/>
  <c r="D87" i="4"/>
  <c r="D11" i="4"/>
  <c r="N7" i="4"/>
  <c r="D130" i="4"/>
  <c r="D25" i="4"/>
  <c r="D10" i="4"/>
  <c r="D128" i="4"/>
  <c r="D90" i="4"/>
  <c r="D24" i="4"/>
  <c r="D122" i="4"/>
  <c r="N13" i="4"/>
  <c r="D135" i="4"/>
  <c r="D31" i="4"/>
  <c r="D96" i="4"/>
  <c r="D15" i="4"/>
  <c r="D44" i="4"/>
  <c r="N22" i="4"/>
  <c r="D16" i="4"/>
  <c r="D119" i="4"/>
  <c r="D54" i="4"/>
  <c r="D42" i="4"/>
  <c r="D127" i="4"/>
  <c r="D32" i="4"/>
  <c r="D81" i="4"/>
  <c r="D13" i="4"/>
  <c r="N6" i="4"/>
  <c r="D105" i="4"/>
  <c r="D93" i="4"/>
  <c r="D27" i="4"/>
  <c r="D113" i="4"/>
  <c r="D133" i="4"/>
  <c r="D132" i="4"/>
  <c r="D103" i="4"/>
  <c r="D98" i="4"/>
  <c r="D83" i="4"/>
  <c r="D14" i="4"/>
  <c r="D101" i="4"/>
  <c r="D46" i="4"/>
  <c r="D47" i="4"/>
  <c r="D111" i="4"/>
  <c r="D70" i="4"/>
  <c r="D97" i="4"/>
  <c r="D65" i="4"/>
  <c r="D120" i="4"/>
  <c r="D94" i="4"/>
  <c r="D17" i="4"/>
  <c r="D37" i="4"/>
  <c r="D95" i="4"/>
  <c r="D124" i="4"/>
  <c r="D41" i="4"/>
  <c r="N14" i="4"/>
  <c r="N21" i="4"/>
  <c r="D29" i="4"/>
  <c r="D75" i="4"/>
  <c r="D26" i="4"/>
  <c r="D49" i="4"/>
  <c r="D79" i="4"/>
  <c r="D19" i="4"/>
  <c r="N15" i="4"/>
  <c r="D77" i="4"/>
  <c r="D110" i="4"/>
  <c r="D30" i="4"/>
  <c r="N16" i="4"/>
  <c r="D68" i="4"/>
  <c r="D118" i="4"/>
  <c r="N11" i="4"/>
  <c r="N18" i="4"/>
  <c r="D106" i="4"/>
  <c r="D50" i="4"/>
  <c r="D61" i="4"/>
  <c r="D35" i="4"/>
  <c r="D85" i="4"/>
  <c r="D7" i="4"/>
  <c r="D116" i="4"/>
  <c r="D108" i="4"/>
  <c r="D64" i="4"/>
  <c r="D82" i="4"/>
  <c r="D57" i="4"/>
  <c r="D86" i="4"/>
  <c r="N19" i="4"/>
  <c r="D45" i="4"/>
  <c r="D62" i="4"/>
  <c r="AQ24" i="1" l="1"/>
  <c r="BU24" i="1" s="1"/>
  <c r="AQ21" i="1"/>
  <c r="AQ19" i="1"/>
  <c r="AS19" i="1" s="1"/>
  <c r="AQ31" i="1"/>
  <c r="BU31" i="1" s="1"/>
  <c r="AQ28" i="1"/>
  <c r="BU28" i="1" s="1"/>
  <c r="AQ29" i="1"/>
  <c r="AQ17" i="1"/>
  <c r="BU17" i="1" s="1"/>
  <c r="AQ27" i="1"/>
  <c r="BU27" i="1" s="1"/>
  <c r="AQ30" i="1"/>
  <c r="AQ20" i="1"/>
  <c r="AQ22" i="1"/>
  <c r="BU22" i="1" s="1"/>
  <c r="AQ25" i="1"/>
  <c r="AQ23" i="1"/>
  <c r="BU23" i="1" s="1"/>
  <c r="P4" i="4"/>
  <c r="P20" i="4"/>
  <c r="P10" i="4"/>
  <c r="P25" i="4"/>
  <c r="P24" i="4"/>
  <c r="P19" i="4"/>
  <c r="P16" i="4"/>
  <c r="P13" i="4"/>
  <c r="P14" i="4"/>
  <c r="P18" i="4"/>
  <c r="P7" i="4"/>
  <c r="P23" i="4"/>
  <c r="P12" i="4"/>
  <c r="P22" i="4"/>
  <c r="P11" i="4"/>
  <c r="P6" i="4"/>
  <c r="P5" i="4"/>
  <c r="P17" i="4"/>
  <c r="P15" i="4"/>
  <c r="P21" i="4"/>
  <c r="P9" i="4"/>
  <c r="P8" i="4"/>
  <c r="P26" i="4"/>
  <c r="AO21" i="1"/>
  <c r="G21" i="1"/>
  <c r="AU21" i="1" s="1"/>
  <c r="AO34" i="1"/>
  <c r="AO33" i="1"/>
  <c r="AO36" i="1"/>
  <c r="AO35" i="1"/>
  <c r="G33" i="1"/>
  <c r="J42" i="5" s="1"/>
  <c r="G34" i="1"/>
  <c r="AO31" i="1"/>
  <c r="AO27" i="1"/>
  <c r="AO22" i="1"/>
  <c r="AF11" i="1" s="1"/>
  <c r="AF12" i="1" s="1"/>
  <c r="AF13" i="1" s="1"/>
  <c r="AO28" i="1"/>
  <c r="AO30" i="1"/>
  <c r="AO25" i="1"/>
  <c r="AO20" i="1"/>
  <c r="AO23" i="1"/>
  <c r="AO29" i="1"/>
  <c r="AO24" i="1"/>
  <c r="AO19" i="1"/>
  <c r="AO17" i="1"/>
  <c r="BU25" i="1"/>
  <c r="BU29" i="1"/>
  <c r="G31" i="1"/>
  <c r="G28" i="1"/>
  <c r="AU28" i="1" s="1"/>
  <c r="G25" i="1"/>
  <c r="G24" i="1"/>
  <c r="G17" i="1"/>
  <c r="G19" i="1"/>
  <c r="AU19" i="1" s="1"/>
  <c r="G23" i="1"/>
  <c r="G29" i="1"/>
  <c r="AU29" i="1" s="1"/>
  <c r="G22" i="1"/>
  <c r="AU22" i="1" s="1"/>
  <c r="G30" i="1"/>
  <c r="F30" i="1" s="1"/>
  <c r="G27" i="1"/>
  <c r="AU27" i="1" s="1"/>
  <c r="G20" i="1"/>
  <c r="AU20" i="1" s="1"/>
  <c r="F7" i="2"/>
  <c r="F6" i="2"/>
  <c r="F5" i="2"/>
  <c r="F4" i="2"/>
  <c r="AQ34" i="1"/>
  <c r="AQ36" i="1"/>
  <c r="AQ33" i="1"/>
  <c r="AQ35" i="1"/>
  <c r="J32" i="5" l="1"/>
  <c r="AU23" i="1"/>
  <c r="BV28" i="1"/>
  <c r="BX28" i="1"/>
  <c r="BW28" i="1"/>
  <c r="BY28" i="1"/>
  <c r="BR28" i="1"/>
  <c r="BQ28" i="1"/>
  <c r="AS20" i="1"/>
  <c r="J20" i="1" s="1"/>
  <c r="BU20" i="1"/>
  <c r="AS21" i="1"/>
  <c r="J21" i="1" s="1"/>
  <c r="BU21" i="1"/>
  <c r="BX27" i="1"/>
  <c r="BQ27" i="1"/>
  <c r="BV27" i="1"/>
  <c r="BY27" i="1"/>
  <c r="BR27" i="1"/>
  <c r="BW27" i="1"/>
  <c r="F25" i="1"/>
  <c r="AU25" i="1"/>
  <c r="BW22" i="1"/>
  <c r="BQ22" i="1"/>
  <c r="BR22" i="1"/>
  <c r="BV22" i="1"/>
  <c r="BY22" i="1"/>
  <c r="BX22" i="1"/>
  <c r="J26" i="5"/>
  <c r="AU17" i="1"/>
  <c r="BW21" i="1"/>
  <c r="BQ21" i="1"/>
  <c r="BR21" i="1"/>
  <c r="BV21" i="1"/>
  <c r="BY21" i="1"/>
  <c r="BX21" i="1"/>
  <c r="BW20" i="1"/>
  <c r="BQ20" i="1"/>
  <c r="BR20" i="1"/>
  <c r="BV20" i="1"/>
  <c r="BY20" i="1"/>
  <c r="BX20" i="1"/>
  <c r="BV29" i="1"/>
  <c r="BX29" i="1"/>
  <c r="BW29" i="1"/>
  <c r="BY29" i="1"/>
  <c r="BR29" i="1"/>
  <c r="BQ29" i="1"/>
  <c r="J33" i="5"/>
  <c r="AU24" i="1"/>
  <c r="AS28" i="1"/>
  <c r="J28" i="1" s="1"/>
  <c r="AS17" i="1"/>
  <c r="J17" i="1" s="1"/>
  <c r="BU19" i="1"/>
  <c r="AS23" i="1"/>
  <c r="J23" i="1" s="1"/>
  <c r="AS22" i="1"/>
  <c r="J22" i="1" s="1"/>
  <c r="AS24" i="1"/>
  <c r="J24" i="1" s="1"/>
  <c r="AS27" i="1"/>
  <c r="J27" i="1" s="1"/>
  <c r="AS29" i="1"/>
  <c r="J29" i="1" s="1"/>
  <c r="AS25" i="1"/>
  <c r="J25" i="1" s="1"/>
  <c r="J28" i="5"/>
  <c r="F19" i="1"/>
  <c r="F21" i="1"/>
  <c r="F34" i="1"/>
  <c r="J40" i="5"/>
  <c r="F31" i="1"/>
  <c r="BU34" i="1"/>
  <c r="AS34" i="1"/>
  <c r="BU36" i="1"/>
  <c r="AS36" i="1"/>
  <c r="BU33" i="1"/>
  <c r="AS33" i="1"/>
  <c r="F33" i="1"/>
  <c r="BU35" i="1"/>
  <c r="CA35" i="1" s="1"/>
  <c r="CB35" i="1" s="1"/>
  <c r="AS35" i="1"/>
  <c r="R8" i="5"/>
  <c r="AS30" i="1"/>
  <c r="BU30" i="1"/>
  <c r="J29" i="5"/>
  <c r="F20" i="1"/>
  <c r="J19" i="1"/>
  <c r="AS31" i="1"/>
  <c r="J31" i="1" s="1"/>
  <c r="F29" i="1"/>
  <c r="F27" i="1"/>
  <c r="F23" i="1"/>
  <c r="F28" i="1"/>
  <c r="F22" i="1"/>
  <c r="F17" i="1"/>
  <c r="F24" i="1"/>
  <c r="BW24" i="1" l="1"/>
  <c r="BQ24" i="1"/>
  <c r="BR24" i="1"/>
  <c r="BV24" i="1"/>
  <c r="BY24" i="1"/>
  <c r="BX24" i="1"/>
  <c r="BX17" i="1"/>
  <c r="BV17" i="1"/>
  <c r="BR17" i="1"/>
  <c r="BQ17" i="1"/>
  <c r="BW17" i="1"/>
  <c r="BY17" i="1"/>
  <c r="BW25" i="1"/>
  <c r="BQ25" i="1"/>
  <c r="BR25" i="1"/>
  <c r="BV25" i="1"/>
  <c r="BY25" i="1"/>
  <c r="BX25" i="1"/>
  <c r="BW23" i="1"/>
  <c r="BQ23" i="1"/>
  <c r="BR23" i="1"/>
  <c r="BV23" i="1"/>
  <c r="BY23" i="1"/>
  <c r="BX23" i="1"/>
  <c r="BU15" i="1"/>
  <c r="BL21" i="1"/>
  <c r="BM21" i="1" s="1"/>
  <c r="BN21" i="1" s="1"/>
  <c r="BH21" i="1" s="1"/>
  <c r="AX21" i="1"/>
  <c r="J30" i="1"/>
  <c r="AU30" i="1" s="1"/>
  <c r="J34" i="1"/>
  <c r="AU34" i="1" s="1"/>
  <c r="J33" i="1"/>
  <c r="AU33" i="1" s="1"/>
  <c r="BR33" i="1" s="1"/>
  <c r="AU31" i="1"/>
  <c r="BV19" i="1" l="1"/>
  <c r="BW19" i="1"/>
  <c r="BX19" i="1"/>
  <c r="BY19" i="1"/>
  <c r="BJ21" i="1"/>
  <c r="BI21" i="1"/>
  <c r="AZ21" i="1"/>
  <c r="BD21" i="1"/>
  <c r="M30" i="5" s="1"/>
  <c r="AY21" i="1"/>
  <c r="AX34" i="1"/>
  <c r="BD34" i="1" s="1"/>
  <c r="BW30" i="1"/>
  <c r="BY30" i="1"/>
  <c r="BR30" i="1"/>
  <c r="AX30" i="1"/>
  <c r="BX30" i="1"/>
  <c r="BL30" i="1"/>
  <c r="BM30" i="1" s="1"/>
  <c r="BN30" i="1" s="1"/>
  <c r="BH30" i="1" s="1"/>
  <c r="BJ30" i="1" s="1"/>
  <c r="BQ30" i="1"/>
  <c r="BV30" i="1"/>
  <c r="AX33" i="1"/>
  <c r="BL33" i="1"/>
  <c r="BM33" i="1" s="1"/>
  <c r="BN33" i="1" s="1"/>
  <c r="BH33" i="1" s="1"/>
  <c r="BJ33" i="1" s="1"/>
  <c r="BY33" i="1"/>
  <c r="BW33" i="1"/>
  <c r="BX33" i="1"/>
  <c r="BV33" i="1"/>
  <c r="BQ33" i="1"/>
  <c r="BW34" i="1"/>
  <c r="BL34" i="1"/>
  <c r="BM34" i="1" s="1"/>
  <c r="BN34" i="1" s="1"/>
  <c r="BH34" i="1" s="1"/>
  <c r="BI34" i="1" s="1"/>
  <c r="BQ34" i="1"/>
  <c r="BX34" i="1"/>
  <c r="BY34" i="1"/>
  <c r="BR34" i="1"/>
  <c r="BV34" i="1"/>
  <c r="BY31" i="1"/>
  <c r="BV31" i="1"/>
  <c r="BW31" i="1"/>
  <c r="BX31" i="1"/>
  <c r="BR19" i="1"/>
  <c r="J38" i="1"/>
  <c r="BQ31" i="1"/>
  <c r="BR31" i="1"/>
  <c r="BL25" i="1"/>
  <c r="BM25" i="1" s="1"/>
  <c r="BN25" i="1" s="1"/>
  <c r="BL17" i="1"/>
  <c r="BM17" i="1" s="1"/>
  <c r="BN17" i="1" s="1"/>
  <c r="BL24" i="1"/>
  <c r="BM24" i="1" s="1"/>
  <c r="BN24" i="1" s="1"/>
  <c r="BL20" i="1"/>
  <c r="BM20" i="1" s="1"/>
  <c r="BN20" i="1" s="1"/>
  <c r="BL28" i="1"/>
  <c r="BM28" i="1" s="1"/>
  <c r="BN28" i="1" s="1"/>
  <c r="BL19" i="1"/>
  <c r="BM19" i="1" s="1"/>
  <c r="BN19" i="1" s="1"/>
  <c r="BQ19" i="1"/>
  <c r="BL27" i="1"/>
  <c r="BM27" i="1" s="1"/>
  <c r="BN27" i="1" s="1"/>
  <c r="BL23" i="1"/>
  <c r="BM23" i="1" s="1"/>
  <c r="BN23" i="1" s="1"/>
  <c r="BL22" i="1"/>
  <c r="BM22" i="1" s="1"/>
  <c r="BN22" i="1" s="1"/>
  <c r="AX29" i="1"/>
  <c r="BL29" i="1"/>
  <c r="BM29" i="1" s="1"/>
  <c r="BN29" i="1" s="1"/>
  <c r="AX31" i="1"/>
  <c r="BL31" i="1"/>
  <c r="BM31" i="1" s="1"/>
  <c r="BN31" i="1" s="1"/>
  <c r="AX25" i="1"/>
  <c r="AX17" i="1"/>
  <c r="AX24" i="1"/>
  <c r="AX20" i="1"/>
  <c r="AX28" i="1"/>
  <c r="AX27" i="1"/>
  <c r="AX19" i="1"/>
  <c r="AX23" i="1"/>
  <c r="AX22" i="1"/>
  <c r="K30" i="5"/>
  <c r="J30" i="5" l="1"/>
  <c r="H34" i="5"/>
  <c r="H39" i="5"/>
  <c r="H28" i="5"/>
  <c r="H33" i="5"/>
  <c r="H36" i="5"/>
  <c r="BB21" i="1"/>
  <c r="H21" i="1" s="1"/>
  <c r="AZ34" i="1"/>
  <c r="BD33" i="1"/>
  <c r="BE33" i="1" s="1"/>
  <c r="H30" i="5"/>
  <c r="BE21" i="1"/>
  <c r="L30" i="5" s="1"/>
  <c r="BS21" i="1" s="1"/>
  <c r="BF21" i="1"/>
  <c r="N30" i="5" s="1"/>
  <c r="AY34" i="1"/>
  <c r="R11" i="5"/>
  <c r="R50" i="5" s="1"/>
  <c r="AY30" i="1"/>
  <c r="BD30" i="1"/>
  <c r="BF30" i="1" s="1"/>
  <c r="AZ30" i="1"/>
  <c r="AZ33" i="1"/>
  <c r="AY33" i="1"/>
  <c r="BI33" i="1"/>
  <c r="BJ34" i="1"/>
  <c r="BE34" i="1"/>
  <c r="BF34" i="1"/>
  <c r="BI30" i="1"/>
  <c r="BV15" i="1"/>
  <c r="BW15" i="1"/>
  <c r="BY15" i="1"/>
  <c r="BX15" i="1"/>
  <c r="BH31" i="1"/>
  <c r="BI31" i="1" s="1"/>
  <c r="BH23" i="1"/>
  <c r="BJ23" i="1" s="1"/>
  <c r="BH19" i="1"/>
  <c r="BJ19" i="1" s="1"/>
  <c r="BH20" i="1"/>
  <c r="BI20" i="1" s="1"/>
  <c r="BH17" i="1"/>
  <c r="BH29" i="1"/>
  <c r="BI29" i="1" s="1"/>
  <c r="BH22" i="1"/>
  <c r="BI22" i="1" s="1"/>
  <c r="BH27" i="1"/>
  <c r="BI27" i="1" s="1"/>
  <c r="BH28" i="1"/>
  <c r="BI28" i="1" s="1"/>
  <c r="BH24" i="1"/>
  <c r="BJ24" i="1" s="1"/>
  <c r="BH25" i="1"/>
  <c r="BD27" i="1"/>
  <c r="M36" i="5" s="1"/>
  <c r="BD28" i="1"/>
  <c r="BE28" i="1" s="1"/>
  <c r="BD25" i="1"/>
  <c r="BF25" i="1" s="1"/>
  <c r="BD23" i="1"/>
  <c r="BF23" i="1" s="1"/>
  <c r="BD20" i="1"/>
  <c r="BF20" i="1" s="1"/>
  <c r="BD31" i="1"/>
  <c r="BF31" i="1" s="1"/>
  <c r="BD17" i="1"/>
  <c r="BF17" i="1" s="1"/>
  <c r="BD29" i="1"/>
  <c r="BE29" i="1" s="1"/>
  <c r="BD22" i="1"/>
  <c r="M31" i="5" s="1"/>
  <c r="BD19" i="1"/>
  <c r="BE19" i="1" s="1"/>
  <c r="BD24" i="1"/>
  <c r="BE24" i="1" s="1"/>
  <c r="AY29" i="1"/>
  <c r="AY31" i="1"/>
  <c r="BB31" i="1" s="1"/>
  <c r="AZ31" i="1"/>
  <c r="N40" i="5" s="1"/>
  <c r="AZ29" i="1"/>
  <c r="AY23" i="1"/>
  <c r="AZ23" i="1"/>
  <c r="AY27" i="1"/>
  <c r="AZ27" i="1"/>
  <c r="AY20" i="1"/>
  <c r="AZ20" i="1"/>
  <c r="N29" i="5" s="1"/>
  <c r="AY17" i="1"/>
  <c r="AZ17" i="1"/>
  <c r="N26" i="5" s="1"/>
  <c r="AY22" i="1"/>
  <c r="AZ22" i="1"/>
  <c r="AY19" i="1"/>
  <c r="AZ19" i="1"/>
  <c r="AY28" i="1"/>
  <c r="AZ28" i="1"/>
  <c r="AY24" i="1"/>
  <c r="AZ24" i="1"/>
  <c r="AY25" i="1"/>
  <c r="AZ25" i="1"/>
  <c r="K43" i="5"/>
  <c r="M43" i="5"/>
  <c r="N43" i="5"/>
  <c r="K39" i="5"/>
  <c r="K36" i="5"/>
  <c r="N42" i="5"/>
  <c r="K42" i="5"/>
  <c r="M42" i="5"/>
  <c r="K31" i="5"/>
  <c r="N34" i="5" l="1"/>
  <c r="N32" i="5"/>
  <c r="N39" i="5"/>
  <c r="J43" i="5"/>
  <c r="M40" i="5"/>
  <c r="M39" i="5"/>
  <c r="M38" i="5"/>
  <c r="H38" i="5" s="1"/>
  <c r="M33" i="5"/>
  <c r="M29" i="5"/>
  <c r="H29" i="5" s="1"/>
  <c r="M34" i="5"/>
  <c r="M26" i="5"/>
  <c r="H26" i="5" s="1"/>
  <c r="M28" i="5"/>
  <c r="M32" i="5"/>
  <c r="M37" i="5"/>
  <c r="H37" i="5" s="1"/>
  <c r="J39" i="5"/>
  <c r="J31" i="5"/>
  <c r="P40" i="5"/>
  <c r="H31" i="1"/>
  <c r="BP31" i="1" s="1"/>
  <c r="L38" i="5"/>
  <c r="BS29" i="1" s="1"/>
  <c r="BB29" i="1"/>
  <c r="H29" i="1" s="1"/>
  <c r="BB30" i="1"/>
  <c r="H30" i="1" s="1"/>
  <c r="BF33" i="1"/>
  <c r="BP21" i="1"/>
  <c r="BT21" i="1" s="1"/>
  <c r="CA21" i="1" s="1"/>
  <c r="CB21" i="1" s="1"/>
  <c r="P30" i="5"/>
  <c r="R30" i="5" s="1"/>
  <c r="BB34" i="1"/>
  <c r="H34" i="1" s="1"/>
  <c r="L43" i="5"/>
  <c r="H43" i="5"/>
  <c r="BB33" i="1"/>
  <c r="H33" i="1" s="1"/>
  <c r="L42" i="5"/>
  <c r="H42" i="5"/>
  <c r="BE30" i="1"/>
  <c r="L39" i="5" s="1"/>
  <c r="BS30" i="1" s="1"/>
  <c r="BJ29" i="1"/>
  <c r="BJ22" i="1"/>
  <c r="BJ28" i="1"/>
  <c r="BE25" i="1"/>
  <c r="L34" i="5" s="1"/>
  <c r="BS25" i="1" s="1"/>
  <c r="BJ27" i="1"/>
  <c r="BI24" i="1"/>
  <c r="BF28" i="1"/>
  <c r="N37" i="5" s="1"/>
  <c r="BI23" i="1"/>
  <c r="BE31" i="1"/>
  <c r="L40" i="5" s="1"/>
  <c r="BS31" i="1" s="1"/>
  <c r="BJ20" i="1"/>
  <c r="BJ31" i="1"/>
  <c r="BI19" i="1"/>
  <c r="BI25" i="1"/>
  <c r="BJ25" i="1"/>
  <c r="BF27" i="1"/>
  <c r="N36" i="5" s="1"/>
  <c r="J36" i="5"/>
  <c r="BB25" i="1"/>
  <c r="H25" i="1" s="1"/>
  <c r="BB28" i="1"/>
  <c r="H28" i="1" s="1"/>
  <c r="L37" i="5"/>
  <c r="BS28" i="1" s="1"/>
  <c r="BB20" i="1"/>
  <c r="H20" i="1" s="1"/>
  <c r="BB22" i="1"/>
  <c r="H22" i="1" s="1"/>
  <c r="BB23" i="1"/>
  <c r="H23" i="1" s="1"/>
  <c r="BB24" i="1"/>
  <c r="H24" i="1" s="1"/>
  <c r="L33" i="5"/>
  <c r="BS24" i="1" s="1"/>
  <c r="BB19" i="1"/>
  <c r="H19" i="1" s="1"/>
  <c r="L28" i="5"/>
  <c r="BS19" i="1" s="1"/>
  <c r="BB17" i="1"/>
  <c r="H17" i="1" s="1"/>
  <c r="BB27" i="1"/>
  <c r="H27" i="1" s="1"/>
  <c r="BE20" i="1"/>
  <c r="L29" i="5" s="1"/>
  <c r="BS20" i="1" s="1"/>
  <c r="BE27" i="1"/>
  <c r="L36" i="5" s="1"/>
  <c r="BS27" i="1" s="1"/>
  <c r="BE22" i="1"/>
  <c r="L31" i="5" s="1"/>
  <c r="BS22" i="1" s="1"/>
  <c r="BF24" i="1"/>
  <c r="N33" i="5" s="1"/>
  <c r="BF22" i="1"/>
  <c r="N31" i="5" s="1"/>
  <c r="BE17" i="1"/>
  <c r="L26" i="5" s="1"/>
  <c r="BS17" i="1" s="1"/>
  <c r="BF19" i="1"/>
  <c r="N28" i="5" s="1"/>
  <c r="BF29" i="1"/>
  <c r="N38" i="5" s="1"/>
  <c r="BE23" i="1"/>
  <c r="L32" i="5" s="1"/>
  <c r="BS23" i="1" s="1"/>
  <c r="K40" i="5"/>
  <c r="K34" i="5"/>
  <c r="K28" i="5"/>
  <c r="K37" i="5"/>
  <c r="K29" i="5"/>
  <c r="K33" i="5"/>
  <c r="K32" i="5"/>
  <c r="K38" i="5"/>
  <c r="K26" i="5"/>
  <c r="H40" i="5" l="1"/>
  <c r="R40" i="5"/>
  <c r="J34" i="5"/>
  <c r="J37" i="5"/>
  <c r="J38" i="5"/>
  <c r="L31" i="1"/>
  <c r="M31" i="1" s="1"/>
  <c r="P38" i="5"/>
  <c r="BP29" i="1"/>
  <c r="BT29" i="1" s="1"/>
  <c r="CA29" i="1" s="1"/>
  <c r="CB29" i="1" s="1"/>
  <c r="P39" i="5"/>
  <c r="L21" i="1"/>
  <c r="M21" i="1" s="1"/>
  <c r="P42" i="5"/>
  <c r="R42" i="5" s="1"/>
  <c r="P43" i="5"/>
  <c r="R43" i="5" s="1"/>
  <c r="BT31" i="1"/>
  <c r="P26" i="5"/>
  <c r="P33" i="5"/>
  <c r="BP23" i="1"/>
  <c r="BT23" i="1" s="1"/>
  <c r="P32" i="5"/>
  <c r="P37" i="5"/>
  <c r="L19" i="1"/>
  <c r="M19" i="1" s="1"/>
  <c r="P28" i="5"/>
  <c r="BP22" i="1"/>
  <c r="BT22" i="1" s="1"/>
  <c r="P31" i="5"/>
  <c r="P36" i="5"/>
  <c r="P29" i="5"/>
  <c r="BP25" i="1"/>
  <c r="BT25" i="1" s="1"/>
  <c r="CA25" i="1" s="1"/>
  <c r="CB25" i="1" s="1"/>
  <c r="P34" i="5"/>
  <c r="E47" i="5"/>
  <c r="L28" i="1" l="1"/>
  <c r="M28" i="1" s="1"/>
  <c r="BP28" i="1"/>
  <c r="BT28" i="1" s="1"/>
  <c r="CA28" i="1" s="1"/>
  <c r="CB28" i="1" s="1"/>
  <c r="L27" i="1"/>
  <c r="M27" i="1" s="1"/>
  <c r="BP27" i="1"/>
  <c r="BT27" i="1" s="1"/>
  <c r="CA27" i="1" s="1"/>
  <c r="CB27" i="1" s="1"/>
  <c r="CA23" i="1"/>
  <c r="CB23" i="1" s="1"/>
  <c r="L20" i="1"/>
  <c r="M20" i="1" s="1"/>
  <c r="BP20" i="1"/>
  <c r="BT20" i="1" s="1"/>
  <c r="CA20" i="1" s="1"/>
  <c r="CB20" i="1" s="1"/>
  <c r="L24" i="1"/>
  <c r="M24" i="1" s="1"/>
  <c r="BP24" i="1"/>
  <c r="BT24" i="1" s="1"/>
  <c r="CA24" i="1" s="1"/>
  <c r="CB24" i="1" s="1"/>
  <c r="CA22" i="1"/>
  <c r="CB22" i="1" s="1"/>
  <c r="L17" i="1"/>
  <c r="M17" i="1" s="1"/>
  <c r="BP17" i="1"/>
  <c r="BT17" i="1" s="1"/>
  <c r="CA17" i="1" s="1"/>
  <c r="CB17" i="1" s="1"/>
  <c r="BP30" i="1"/>
  <c r="BT30" i="1" s="1"/>
  <c r="CA30" i="1" s="1"/>
  <c r="CB30" i="1" s="1"/>
  <c r="L30" i="1"/>
  <c r="M30" i="1" s="1"/>
  <c r="L29" i="1"/>
  <c r="M29" i="1" s="1"/>
  <c r="BP34" i="1"/>
  <c r="BT34" i="1" s="1"/>
  <c r="CA34" i="1" s="1"/>
  <c r="CB34" i="1" s="1"/>
  <c r="L34" i="1"/>
  <c r="M34" i="1" s="1"/>
  <c r="L33" i="1"/>
  <c r="M33" i="1" s="1"/>
  <c r="BP33" i="1"/>
  <c r="BT33" i="1" s="1"/>
  <c r="CA33" i="1" s="1"/>
  <c r="CB33" i="1" s="1"/>
  <c r="CA31" i="1"/>
  <c r="CB31" i="1" s="1"/>
  <c r="L23" i="1"/>
  <c r="M23" i="1" s="1"/>
  <c r="BP19" i="1"/>
  <c r="BT19" i="1" s="1"/>
  <c r="CA19" i="1" s="1"/>
  <c r="L25" i="1"/>
  <c r="M25" i="1" s="1"/>
  <c r="L22" i="1"/>
  <c r="M22" i="1" s="1"/>
  <c r="D77" i="3" l="1"/>
  <c r="E77" i="3" s="1"/>
  <c r="D75" i="3"/>
  <c r="E75" i="3" s="1"/>
  <c r="D66" i="3"/>
  <c r="E66" i="3" s="1"/>
  <c r="D73" i="3"/>
  <c r="E73" i="3" s="1"/>
  <c r="D68" i="3"/>
  <c r="E68" i="3" s="1"/>
  <c r="D71" i="3"/>
  <c r="E71" i="3" s="1"/>
  <c r="D69" i="3"/>
  <c r="E69" i="3" s="1"/>
  <c r="D64" i="3"/>
  <c r="E64" i="3" s="1"/>
  <c r="D74" i="3"/>
  <c r="E74" i="3" s="1"/>
  <c r="D65" i="3"/>
  <c r="E65" i="3" s="1"/>
  <c r="D76" i="3"/>
  <c r="E76" i="3" s="1"/>
  <c r="D67" i="3"/>
  <c r="E67" i="3" s="1"/>
  <c r="D70" i="3"/>
  <c r="E70" i="3" s="1"/>
  <c r="D72" i="3"/>
  <c r="E72" i="3" s="1"/>
  <c r="CB19" i="1"/>
  <c r="L38" i="1"/>
  <c r="BT15" i="1"/>
  <c r="AK63" i="5"/>
  <c r="AK57" i="5"/>
  <c r="AK58" i="5"/>
  <c r="AK56" i="5"/>
  <c r="AK66" i="5"/>
  <c r="AK60" i="5"/>
  <c r="AK59" i="5"/>
  <c r="AK62" i="5"/>
  <c r="AK67" i="5"/>
  <c r="AK55" i="5"/>
  <c r="AK65" i="5"/>
  <c r="AK54" i="5"/>
  <c r="AK61" i="5"/>
  <c r="AK64" i="5"/>
  <c r="L40" i="1" l="1"/>
  <c r="O40" i="1"/>
  <c r="P40" i="1" s="1"/>
  <c r="AN67" i="5"/>
  <c r="AU67" i="5"/>
  <c r="AE67" i="5"/>
  <c r="AP67" i="5"/>
  <c r="Z67" i="5"/>
  <c r="AC67" i="5"/>
  <c r="AF67" i="5"/>
  <c r="AQ67" i="5"/>
  <c r="AA67" i="5"/>
  <c r="AL67" i="5"/>
  <c r="AS67" i="5"/>
  <c r="AB67" i="5"/>
  <c r="AM67" i="5"/>
  <c r="W67" i="5"/>
  <c r="AH67" i="5"/>
  <c r="AO67" i="5"/>
  <c r="AR67" i="5"/>
  <c r="X67" i="5"/>
  <c r="AI67" i="5"/>
  <c r="AJ67" i="5" s="1"/>
  <c r="AT67" i="5"/>
  <c r="AD67" i="5"/>
  <c r="Y67" i="5"/>
  <c r="AB63" i="5"/>
  <c r="W63" i="5"/>
  <c r="Y63" i="5"/>
  <c r="X63" i="5"/>
  <c r="AT63" i="5"/>
  <c r="AD63" i="5"/>
  <c r="AA63" i="5"/>
  <c r="AU63" i="5"/>
  <c r="AE63" i="5"/>
  <c r="Z63" i="5"/>
  <c r="AC63" i="5"/>
  <c r="AF63" i="5"/>
  <c r="AB59" i="5"/>
  <c r="W59" i="5"/>
  <c r="Y59" i="5"/>
  <c r="X59" i="5"/>
  <c r="AT59" i="5"/>
  <c r="AD59" i="5"/>
  <c r="AC59" i="5"/>
  <c r="AU59" i="5"/>
  <c r="AE59" i="5"/>
  <c r="Z59" i="5"/>
  <c r="AF59" i="5"/>
  <c r="AA59" i="5"/>
  <c r="AA56" i="5"/>
  <c r="Y56" i="5"/>
  <c r="AD56" i="5"/>
  <c r="AF56" i="5"/>
  <c r="Z56" i="5"/>
  <c r="AB56" i="5"/>
  <c r="AE56" i="5"/>
  <c r="AC56" i="5"/>
  <c r="X56" i="5"/>
  <c r="W56" i="5"/>
  <c r="AU56" i="5"/>
  <c r="AT56" i="5"/>
  <c r="Y66" i="5"/>
  <c r="AB66" i="5"/>
  <c r="W66" i="5"/>
  <c r="Z66" i="5"/>
  <c r="X66" i="5"/>
  <c r="AE66" i="5"/>
  <c r="AD66" i="5"/>
  <c r="AT66" i="5"/>
  <c r="AC66" i="5"/>
  <c r="AF66" i="5"/>
  <c r="AA66" i="5"/>
  <c r="AU66" i="5"/>
  <c r="AC62" i="5"/>
  <c r="AU62" i="5"/>
  <c r="AE62" i="5"/>
  <c r="Z62" i="5"/>
  <c r="Y62" i="5"/>
  <c r="AF62" i="5"/>
  <c r="AA62" i="5"/>
  <c r="AT62" i="5"/>
  <c r="AD62" i="5"/>
  <c r="AB62" i="5"/>
  <c r="X62" i="5"/>
  <c r="W62" i="5"/>
  <c r="X58" i="5"/>
  <c r="AD58" i="5"/>
  <c r="AC58" i="5"/>
  <c r="AU58" i="5"/>
  <c r="AE58" i="5"/>
  <c r="AT58" i="5"/>
  <c r="Y58" i="5"/>
  <c r="Z58" i="5"/>
  <c r="AB58" i="5"/>
  <c r="AF58" i="5"/>
  <c r="W58" i="5"/>
  <c r="AA58" i="5"/>
  <c r="AU60" i="5"/>
  <c r="AE60" i="5"/>
  <c r="Z60" i="5"/>
  <c r="Y60" i="5"/>
  <c r="AB60" i="5"/>
  <c r="AA60" i="5"/>
  <c r="X60" i="5"/>
  <c r="W60" i="5"/>
  <c r="AF60" i="5"/>
  <c r="AC60" i="5"/>
  <c r="AD60" i="5"/>
  <c r="AT60" i="5"/>
  <c r="AT65" i="5"/>
  <c r="AD65" i="5"/>
  <c r="AC65" i="5"/>
  <c r="AU65" i="5"/>
  <c r="W65" i="5"/>
  <c r="Z65" i="5"/>
  <c r="Y65" i="5"/>
  <c r="AF65" i="5"/>
  <c r="AE65" i="5"/>
  <c r="X65" i="5"/>
  <c r="AB65" i="5"/>
  <c r="AA65" i="5"/>
  <c r="AF55" i="5"/>
  <c r="Z55" i="5"/>
  <c r="AA55" i="5"/>
  <c r="AB55" i="5"/>
  <c r="Y55" i="5"/>
  <c r="X55" i="5"/>
  <c r="AE55" i="5"/>
  <c r="AD55" i="5"/>
  <c r="AC55" i="5"/>
  <c r="W55" i="5"/>
  <c r="AT55" i="5"/>
  <c r="AU55" i="5"/>
  <c r="AB61" i="5"/>
  <c r="X61" i="5"/>
  <c r="AT61" i="5"/>
  <c r="AD61" i="5"/>
  <c r="AC61" i="5"/>
  <c r="AU61" i="5"/>
  <c r="AE61" i="5"/>
  <c r="Z61" i="5"/>
  <c r="W61" i="5"/>
  <c r="AA61" i="5"/>
  <c r="Y61" i="5"/>
  <c r="AF61" i="5"/>
  <c r="AT57" i="5"/>
  <c r="AD57" i="5"/>
  <c r="AC57" i="5"/>
  <c r="AF57" i="5"/>
  <c r="AA57" i="5"/>
  <c r="Z57" i="5"/>
  <c r="Y57" i="5"/>
  <c r="AB57" i="5"/>
  <c r="AE57" i="5"/>
  <c r="W57" i="5"/>
  <c r="X57" i="5"/>
  <c r="AU57" i="5"/>
  <c r="W64" i="5"/>
  <c r="AF64" i="5"/>
  <c r="X64" i="5"/>
  <c r="AT64" i="5"/>
  <c r="AD64" i="5"/>
  <c r="AC64" i="5"/>
  <c r="AU64" i="5"/>
  <c r="AE64" i="5"/>
  <c r="Z64" i="5"/>
  <c r="Y64" i="5"/>
  <c r="AB64" i="5"/>
  <c r="AA64" i="5"/>
  <c r="AU54" i="5"/>
  <c r="AT54" i="5"/>
  <c r="CA15" i="1"/>
  <c r="AI66" i="5"/>
  <c r="AS66" i="5"/>
  <c r="AH66" i="5"/>
  <c r="AL66" i="5"/>
  <c r="AM66" i="5"/>
  <c r="AR66" i="5"/>
  <c r="AP66" i="5"/>
  <c r="AO66" i="5"/>
  <c r="AN66" i="5"/>
  <c r="AQ66" i="5"/>
  <c r="AL65" i="5"/>
  <c r="AR65" i="5"/>
  <c r="AI65" i="5"/>
  <c r="AM65" i="5"/>
  <c r="AP65" i="5"/>
  <c r="AQ65" i="5"/>
  <c r="AS65" i="5"/>
  <c r="AO65" i="5"/>
  <c r="AH65" i="5"/>
  <c r="AN65" i="5"/>
  <c r="AL64" i="5"/>
  <c r="AH64" i="5"/>
  <c r="AI64" i="5"/>
  <c r="AN64" i="5"/>
  <c r="AS64" i="5"/>
  <c r="AR64" i="5"/>
  <c r="AO64" i="5"/>
  <c r="AQ64" i="5"/>
  <c r="AM64" i="5"/>
  <c r="AP64" i="5"/>
  <c r="AN63" i="5"/>
  <c r="AM63" i="5"/>
  <c r="AR63" i="5"/>
  <c r="AO63" i="5"/>
  <c r="AS63" i="5"/>
  <c r="AH63" i="5"/>
  <c r="AI63" i="5"/>
  <c r="AP63" i="5"/>
  <c r="AQ63" i="5"/>
  <c r="AL63" i="5"/>
  <c r="AS62" i="5"/>
  <c r="AH62" i="5"/>
  <c r="AO62" i="5"/>
  <c r="AR62" i="5"/>
  <c r="AN62" i="5"/>
  <c r="AQ62" i="5"/>
  <c r="AM62" i="5"/>
  <c r="AI62" i="5"/>
  <c r="AL62" i="5"/>
  <c r="AP62" i="5"/>
  <c r="AH61" i="5"/>
  <c r="AS61" i="5"/>
  <c r="AO61" i="5"/>
  <c r="AN61" i="5"/>
  <c r="AR61" i="5"/>
  <c r="AP61" i="5"/>
  <c r="AI61" i="5"/>
  <c r="AL61" i="5"/>
  <c r="AQ61" i="5"/>
  <c r="AM61" i="5"/>
  <c r="AS60" i="5"/>
  <c r="AL60" i="5"/>
  <c r="AH60" i="5"/>
  <c r="AR59" i="5"/>
  <c r="AH59" i="5"/>
  <c r="AL58" i="5"/>
  <c r="AR58" i="5"/>
  <c r="AO58" i="5"/>
  <c r="AH57" i="5"/>
  <c r="AN60" i="5"/>
  <c r="AI60" i="5"/>
  <c r="AM59" i="5"/>
  <c r="AQ59" i="5"/>
  <c r="AL59" i="5"/>
  <c r="AI58" i="5"/>
  <c r="AH58" i="5"/>
  <c r="AM57" i="5"/>
  <c r="AP57" i="5"/>
  <c r="AL57" i="5"/>
  <c r="AR57" i="5"/>
  <c r="AQ60" i="5"/>
  <c r="AP60" i="5"/>
  <c r="AP59" i="5"/>
  <c r="AO59" i="5"/>
  <c r="AI59" i="5"/>
  <c r="AN58" i="5"/>
  <c r="AP58" i="5"/>
  <c r="AQ57" i="5"/>
  <c r="AO57" i="5"/>
  <c r="AO60" i="5"/>
  <c r="AR60" i="5"/>
  <c r="AM60" i="5"/>
  <c r="AN59" i="5"/>
  <c r="AS59" i="5"/>
  <c r="AM58" i="5"/>
  <c r="AS58" i="5"/>
  <c r="AQ58" i="5"/>
  <c r="AS57" i="5"/>
  <c r="AI57" i="5"/>
  <c r="AN57" i="5"/>
  <c r="AO56" i="5"/>
  <c r="AP56" i="5"/>
  <c r="AN56" i="5"/>
  <c r="AQ56" i="5"/>
  <c r="AS56" i="5"/>
  <c r="AI56" i="5"/>
  <c r="AM56" i="5"/>
  <c r="AH56" i="5"/>
  <c r="AR56" i="5"/>
  <c r="AL56" i="5"/>
  <c r="AO55" i="5"/>
  <c r="AM55" i="5"/>
  <c r="AN55" i="5"/>
  <c r="AR55" i="5"/>
  <c r="AQ55" i="5"/>
  <c r="AP55" i="5"/>
  <c r="AS55" i="5"/>
  <c r="AL55" i="5"/>
  <c r="AH55" i="5"/>
  <c r="AI55" i="5"/>
  <c r="AQ54" i="5"/>
  <c r="AP54" i="5"/>
  <c r="AN54" i="5"/>
  <c r="AM54" i="5"/>
  <c r="AO54" i="5"/>
  <c r="AL54" i="5"/>
  <c r="AR54" i="5"/>
  <c r="AS54" i="5"/>
  <c r="AJ66" i="5" l="1"/>
  <c r="AJ65" i="5"/>
  <c r="AJ64" i="5"/>
  <c r="AJ63" i="5"/>
  <c r="AJ62" i="5"/>
  <c r="AJ61" i="5"/>
  <c r="AJ60" i="5"/>
  <c r="AJ59" i="5"/>
  <c r="AJ58" i="5"/>
  <c r="AJ57" i="5"/>
  <c r="AJ55" i="5"/>
  <c r="AJ56" i="5"/>
  <c r="R38" i="5"/>
  <c r="R37" i="5"/>
  <c r="H32" i="5" l="1"/>
  <c r="R32" i="5"/>
  <c r="R39" i="5"/>
  <c r="H31" i="5"/>
  <c r="R36" i="5" l="1"/>
  <c r="E48" i="5"/>
  <c r="R33" i="5"/>
  <c r="R46" i="5" l="1"/>
  <c r="R29" i="5"/>
  <c r="R26" i="5"/>
  <c r="R31" i="5"/>
  <c r="R34" i="5"/>
  <c r="R28" i="5"/>
  <c r="R47" i="5" l="1"/>
  <c r="R48" i="5"/>
  <c r="E49" i="5" l="1"/>
  <c r="R49" i="5"/>
  <c r="AF54" i="5" l="1"/>
  <c r="AC54" i="5"/>
  <c r="AA54" i="5"/>
  <c r="Z54" i="5"/>
  <c r="Y54" i="5"/>
  <c r="X54" i="5"/>
  <c r="W54" i="5"/>
  <c r="AB54" i="5"/>
  <c r="AE54" i="5"/>
  <c r="AD54" i="5"/>
  <c r="AI54" i="5"/>
  <c r="AH54" i="5"/>
  <c r="AJ54" i="5" l="1"/>
</calcChain>
</file>

<file path=xl/sharedStrings.xml><?xml version="1.0" encoding="utf-8"?>
<sst xmlns="http://schemas.openxmlformats.org/spreadsheetml/2006/main" count="1837" uniqueCount="640">
  <si>
    <t>PRATT HIPOCLORITO 1% (caixa 4 x 5L)</t>
  </si>
  <si>
    <t>PRATT CLOR 2% (caixa 4 x 5L)</t>
  </si>
  <si>
    <t>PRATT ULTRA (caixa 4 x 5L)</t>
  </si>
  <si>
    <t>PRATT DETERGENTE NEUTRO (caixa 4 x 5L)</t>
  </si>
  <si>
    <t>PRATT DESINFETANTE FLORAL (caixa 4 x 5L)</t>
  </si>
  <si>
    <t>PRATT DESINFETANTE LAVANDA (caixa 4 x 5L)</t>
  </si>
  <si>
    <t>PRATT DESINFETANTE CITRONELA (caixa 4 x 5L)</t>
  </si>
  <si>
    <t>LETAHGEL (caixa 6 x 0,8L)</t>
  </si>
  <si>
    <t>PRATT SABONETE ERVA DOCE (caixa 4 x 5L)</t>
  </si>
  <si>
    <t>LETAHGEL (caixa 4 x 5L)</t>
  </si>
  <si>
    <t>De 10 a 34 caixas</t>
  </si>
  <si>
    <t>De 35 a 142 caixas</t>
  </si>
  <si>
    <t>De 143 a 258 caixas</t>
  </si>
  <si>
    <t>De 259 a 435 caixas</t>
  </si>
  <si>
    <t>De 436 a 650 caixas</t>
  </si>
  <si>
    <t>FAIXAS DE DESCONTO</t>
  </si>
  <si>
    <t>Preço por unidade</t>
  </si>
  <si>
    <t>TOTAL</t>
  </si>
  <si>
    <t>DATA DO PEDIDO</t>
  </si>
  <si>
    <t>ORDEM DO PEDIDO</t>
  </si>
  <si>
    <t>Revenda</t>
  </si>
  <si>
    <t>CNPJ</t>
  </si>
  <si>
    <t>Cód. Cliente</t>
  </si>
  <si>
    <t>Cód. Vendedor</t>
  </si>
  <si>
    <t>Ins. Estadual</t>
  </si>
  <si>
    <t>2.1. CLASSIFICAÇÃO FISCAL</t>
  </si>
  <si>
    <t>IE</t>
  </si>
  <si>
    <t>Flag</t>
  </si>
  <si>
    <t>Coluna</t>
  </si>
  <si>
    <t>Sim</t>
  </si>
  <si>
    <t>TESTE</t>
  </si>
  <si>
    <t>Não</t>
  </si>
  <si>
    <t>ERRO</t>
  </si>
  <si>
    <t>COD</t>
  </si>
  <si>
    <t>CLASSIFICAÇÃO FISCAL</t>
  </si>
  <si>
    <t>DESCRIÇÃO/APLICAÇÃO</t>
  </si>
  <si>
    <t>MVA</t>
  </si>
  <si>
    <t>Solidário RS</t>
  </si>
  <si>
    <t>IPI</t>
  </si>
  <si>
    <t>AM</t>
  </si>
  <si>
    <t>AP</t>
  </si>
  <si>
    <t>RR</t>
  </si>
  <si>
    <t>RO</t>
  </si>
  <si>
    <t>AC</t>
  </si>
  <si>
    <t>PA</t>
  </si>
  <si>
    <t>MS</t>
  </si>
  <si>
    <t>MT</t>
  </si>
  <si>
    <t>TO</t>
  </si>
  <si>
    <t>GO</t>
  </si>
  <si>
    <t>DF</t>
  </si>
  <si>
    <t>MA</t>
  </si>
  <si>
    <t>PI</t>
  </si>
  <si>
    <t>CE</t>
  </si>
  <si>
    <t>RN</t>
  </si>
  <si>
    <t>PB</t>
  </si>
  <si>
    <t>PE</t>
  </si>
  <si>
    <t>AL</t>
  </si>
  <si>
    <t>SE</t>
  </si>
  <si>
    <t>BA</t>
  </si>
  <si>
    <t>MG</t>
  </si>
  <si>
    <t>ES</t>
  </si>
  <si>
    <t>RJ</t>
  </si>
  <si>
    <t>SP</t>
  </si>
  <si>
    <t>PR</t>
  </si>
  <si>
    <t>SC</t>
  </si>
  <si>
    <t>RS</t>
  </si>
  <si>
    <t>J.1</t>
  </si>
  <si>
    <t>34 05 90 00</t>
  </si>
  <si>
    <t>CERAS DISPERSAS</t>
  </si>
  <si>
    <t>N</t>
  </si>
  <si>
    <t>34 02 90 31</t>
  </si>
  <si>
    <t>DETERGENTES NÃO IONICOS</t>
  </si>
  <si>
    <t>DESENGRAXANTES NÃO IONICOS</t>
  </si>
  <si>
    <t>34 02 90 39</t>
  </si>
  <si>
    <t>DETERGENTES</t>
  </si>
  <si>
    <t>DETERGENTES DESENGRAXANTES</t>
  </si>
  <si>
    <t>G8.1</t>
  </si>
  <si>
    <t>38 08 94 29</t>
  </si>
  <si>
    <t>DESINFETANTES</t>
  </si>
  <si>
    <t>G8.3</t>
  </si>
  <si>
    <t>DESINFETANTES EMBALAGEM ATÉ 5 L</t>
  </si>
  <si>
    <t>G8.4</t>
  </si>
  <si>
    <t>DESINFETANTES BASE HIPOCLORITO</t>
  </si>
  <si>
    <t>G8.5</t>
  </si>
  <si>
    <t>DESINFETANTE B/HIPOCLORITO ATÉ 5 L</t>
  </si>
  <si>
    <t>F.1</t>
  </si>
  <si>
    <t>38 10 10 10</t>
  </si>
  <si>
    <t>DECAPANTE DE METAIS</t>
  </si>
  <si>
    <t>N.1</t>
  </si>
  <si>
    <t>39 10 00 12</t>
  </si>
  <si>
    <t>EMULSÃO DE SILICONE</t>
  </si>
  <si>
    <t>G.1</t>
  </si>
  <si>
    <t>34 05 20 00</t>
  </si>
  <si>
    <t>CERAS DISPERSAS ENCAUSTICAS</t>
  </si>
  <si>
    <t>E1.1</t>
  </si>
  <si>
    <t>34 01 20 90</t>
  </si>
  <si>
    <t>PREPARAÇÕES LAVAGEM DA PELE</t>
  </si>
  <si>
    <t>D9.1</t>
  </si>
  <si>
    <t>34 01 30 00</t>
  </si>
  <si>
    <t>PREP LAVAGEM DA PELE - RETALHO</t>
  </si>
  <si>
    <t>D8.1</t>
  </si>
  <si>
    <t>27 10 19 91</t>
  </si>
  <si>
    <t>POLIDOR SUPERFÍCIES AÇO INOX</t>
  </si>
  <si>
    <t>K.1</t>
  </si>
  <si>
    <t>38 09 91 90</t>
  </si>
  <si>
    <t>PRODUTO DE APRESTO TEXTIL</t>
  </si>
  <si>
    <t>D2.1</t>
  </si>
  <si>
    <t>29 15 90 50</t>
  </si>
  <si>
    <t>PERÓXIDOS DE ÁCIDOS</t>
  </si>
  <si>
    <t>S</t>
  </si>
  <si>
    <t>A.1</t>
  </si>
  <si>
    <t>15 20 00 20</t>
  </si>
  <si>
    <t>LIXÍVIAS GLICERICAS</t>
  </si>
  <si>
    <t>D3.1</t>
  </si>
  <si>
    <t>90 27 80 14</t>
  </si>
  <si>
    <t>MONITOR DE GLUTARALDEÍDO E pH</t>
  </si>
  <si>
    <t>Y.1</t>
  </si>
  <si>
    <t>28 47 00 00</t>
  </si>
  <si>
    <t>PERÓXIDO DE HIDROGÊNIO</t>
  </si>
  <si>
    <t>F.9</t>
  </si>
  <si>
    <t>33 07 49 00</t>
  </si>
  <si>
    <t>DESORIZADOR DE AMBIENTE</t>
  </si>
  <si>
    <t>D0</t>
  </si>
  <si>
    <t>34 02 90 29</t>
  </si>
  <si>
    <t>PREPARAÇÕES  TENSOATIVAS</t>
  </si>
  <si>
    <t>A2</t>
  </si>
  <si>
    <t>34 02 90 90</t>
  </si>
  <si>
    <t>PREPARAÇÕES  PARA LIMPEZA</t>
  </si>
  <si>
    <t>G6</t>
  </si>
  <si>
    <t>28.28.10.00</t>
  </si>
  <si>
    <t>SANITIZANTE PARA AGROINDUSTRIA</t>
  </si>
  <si>
    <t>Z1</t>
  </si>
  <si>
    <t>34 02 90 19</t>
  </si>
  <si>
    <t>OUTROS</t>
  </si>
  <si>
    <t>M20</t>
  </si>
  <si>
    <t>GERADOR AUT. ESPUMA</t>
  </si>
  <si>
    <t>Garrafa</t>
  </si>
  <si>
    <t>Garra</t>
  </si>
  <si>
    <t>gatilho</t>
  </si>
  <si>
    <t>Gatilho</t>
  </si>
  <si>
    <t>2.2. RELAÇÃO DE CIDADES</t>
  </si>
  <si>
    <t>2.3. RELAÇÃO DE ICMS</t>
  </si>
  <si>
    <t>Arapiraca</t>
  </si>
  <si>
    <t>Manaus</t>
  </si>
  <si>
    <t>Alagoinhas</t>
  </si>
  <si>
    <t>Juazeiro do Norte</t>
  </si>
  <si>
    <t>Brasília</t>
  </si>
  <si>
    <t>Anchieta</t>
  </si>
  <si>
    <t>Anápolis</t>
  </si>
  <si>
    <t>Açailândia</t>
  </si>
  <si>
    <t>Cuiabá</t>
  </si>
  <si>
    <t>Campo Grande</t>
  </si>
  <si>
    <t>Araxá</t>
  </si>
  <si>
    <t>Belém</t>
  </si>
  <si>
    <t>Campina Grande</t>
  </si>
  <si>
    <t>Cascavel</t>
  </si>
  <si>
    <t>Cabo de Santo Agostinho</t>
  </si>
  <si>
    <t>Teresina</t>
  </si>
  <si>
    <t>Angra dos Reis</t>
  </si>
  <si>
    <t>Mossoró</t>
  </si>
  <si>
    <t>Bento Gonçalves</t>
  </si>
  <si>
    <t>Blumenau</t>
  </si>
  <si>
    <t>Araraquara</t>
  </si>
  <si>
    <t>Aracaju</t>
  </si>
  <si>
    <t>Araguaína</t>
  </si>
  <si>
    <t>Maceió</t>
  </si>
  <si>
    <t>Barreiras</t>
  </si>
  <si>
    <t>Sobral</t>
  </si>
  <si>
    <t>Aracruz</t>
  </si>
  <si>
    <t>Aparecida de Goiânia</t>
  </si>
  <si>
    <t>Balsas</t>
  </si>
  <si>
    <t>Rondonópolis</t>
  </si>
  <si>
    <t>Corumbá</t>
  </si>
  <si>
    <t>Belo Horizonte</t>
  </si>
  <si>
    <t>Marabá</t>
  </si>
  <si>
    <t>João Pessoa</t>
  </si>
  <si>
    <t>Curitiba</t>
  </si>
  <si>
    <t>Caruaru</t>
  </si>
  <si>
    <t>Campos dos Goytacazes</t>
  </si>
  <si>
    <t>Natal</t>
  </si>
  <si>
    <t>Canoas</t>
  </si>
  <si>
    <t>Chapecó</t>
  </si>
  <si>
    <t>Barueri</t>
  </si>
  <si>
    <t>Gurupi</t>
  </si>
  <si>
    <t>ESTADO</t>
  </si>
  <si>
    <t>COLUNA</t>
  </si>
  <si>
    <t>ICMS Revenda</t>
  </si>
  <si>
    <t>ICMS Consumo com Insc. Est.</t>
  </si>
  <si>
    <t>ICMS Destino</t>
  </si>
  <si>
    <t>ICMS Consumo sem Insc. Est.</t>
  </si>
  <si>
    <t>Camaçari</t>
  </si>
  <si>
    <t>Fortaleza (via Recife)</t>
  </si>
  <si>
    <t>Linhares</t>
  </si>
  <si>
    <t>Catalão</t>
  </si>
  <si>
    <t>Imperatriz</t>
  </si>
  <si>
    <t>Sorriso</t>
  </si>
  <si>
    <t>Dourados</t>
  </si>
  <si>
    <t>Congonhas</t>
  </si>
  <si>
    <t>Parauapebas</t>
  </si>
  <si>
    <t>João Pessoa (via Recife)</t>
  </si>
  <si>
    <t>Foz do Iguaçu</t>
  </si>
  <si>
    <t>Jaboatão dos Guararapes</t>
  </si>
  <si>
    <t>Duque de Caxias</t>
  </si>
  <si>
    <t>Nova Parnamirim</t>
  </si>
  <si>
    <t>Passo Fundo</t>
  </si>
  <si>
    <t>Florianópolis</t>
  </si>
  <si>
    <t>Cajamar (coleta na filial)</t>
  </si>
  <si>
    <t>Palmas</t>
  </si>
  <si>
    <t>Eunápolis</t>
  </si>
  <si>
    <t>Fortaleza</t>
  </si>
  <si>
    <t>Vila Velha</t>
  </si>
  <si>
    <t>Rio Verde</t>
  </si>
  <si>
    <t>São Luís</t>
  </si>
  <si>
    <t>Três Lagoas</t>
  </si>
  <si>
    <t>Divinópolis</t>
  </si>
  <si>
    <t>Campina Grande (via Recife)</t>
  </si>
  <si>
    <t>Guarapuava</t>
  </si>
  <si>
    <t>Petrolina</t>
  </si>
  <si>
    <t>Itaguaí</t>
  </si>
  <si>
    <t>Natal (via Recife)</t>
  </si>
  <si>
    <t>Porto Alegre</t>
  </si>
  <si>
    <t>Joinville</t>
  </si>
  <si>
    <t>Cajamar</t>
  </si>
  <si>
    <t>Feira de Santana</t>
  </si>
  <si>
    <t>Vitória</t>
  </si>
  <si>
    <t>Goiânia</t>
  </si>
  <si>
    <t>Governador Valadares</t>
  </si>
  <si>
    <t>Londrina</t>
  </si>
  <si>
    <t>Macaé</t>
  </si>
  <si>
    <t>Rio Grande</t>
  </si>
  <si>
    <t>Lages</t>
  </si>
  <si>
    <t>Campinas</t>
  </si>
  <si>
    <t>Inhambupe</t>
  </si>
  <si>
    <t>Ipatinga</t>
  </si>
  <si>
    <t>Maringá</t>
  </si>
  <si>
    <t>Recife (coleta na filial)</t>
  </si>
  <si>
    <t>Petrópolis</t>
  </si>
  <si>
    <t>Santa Cruz do Sul</t>
  </si>
  <si>
    <t>São Francisco do Sul</t>
  </si>
  <si>
    <t>Cubatão</t>
  </si>
  <si>
    <t>Itabuna</t>
  </si>
  <si>
    <t>Juiz de Fora</t>
  </si>
  <si>
    <t>Paranaguá</t>
  </si>
  <si>
    <t>Recife (via Recife)</t>
  </si>
  <si>
    <t>Resende</t>
  </si>
  <si>
    <t>Tubarão</t>
  </si>
  <si>
    <t>Diadema</t>
  </si>
  <si>
    <t>Juazeiro</t>
  </si>
  <si>
    <t>Montes Claros</t>
  </si>
  <si>
    <t>Pinhais</t>
  </si>
  <si>
    <t>Recife</t>
  </si>
  <si>
    <t>Rio de Janeiro</t>
  </si>
  <si>
    <t>Franca</t>
  </si>
  <si>
    <t>Luís Eduardo Magalhães</t>
  </si>
  <si>
    <t>Poços de Caldas</t>
  </si>
  <si>
    <t>Ponta Grossa</t>
  </si>
  <si>
    <t>Rio de Janeiro (coleta na filial)</t>
  </si>
  <si>
    <t>Itu</t>
  </si>
  <si>
    <t>Paulo Afonso</t>
  </si>
  <si>
    <t>Pouso Alegre</t>
  </si>
  <si>
    <t>Jardinópolis</t>
  </si>
  <si>
    <t>Salvador</t>
  </si>
  <si>
    <t>Uberaba</t>
  </si>
  <si>
    <t>Jaú</t>
  </si>
  <si>
    <t>Vitória da Conquista</t>
  </si>
  <si>
    <t>Uberlândia</t>
  </si>
  <si>
    <t>Limeira</t>
  </si>
  <si>
    <t>Lauro de Freitas</t>
  </si>
  <si>
    <t>Varginha</t>
  </si>
  <si>
    <t>Mogi das Cruzes</t>
  </si>
  <si>
    <t>Osasco</t>
  </si>
  <si>
    <t>Paulínia</t>
  </si>
  <si>
    <t>Piracicaba</t>
  </si>
  <si>
    <t>Presidente Prudente</t>
  </si>
  <si>
    <t>Ribeirão Preto</t>
  </si>
  <si>
    <t>Salto</t>
  </si>
  <si>
    <t>São Paulo (coleta na filial)</t>
  </si>
  <si>
    <t>São Paulo</t>
  </si>
  <si>
    <t>Tupã</t>
  </si>
  <si>
    <t>CIDADE</t>
  </si>
  <si>
    <t>FRETE</t>
  </si>
  <si>
    <t>Total do Frete</t>
  </si>
  <si>
    <t>FOB (Coleta na fábrica)</t>
  </si>
  <si>
    <t>OPÇÕES DE FRETE</t>
  </si>
  <si>
    <t>VALOR</t>
  </si>
  <si>
    <t>DESCRIÇÃO DO PRODUTO</t>
  </si>
  <si>
    <t>QTDE</t>
  </si>
  <si>
    <t>DESCONTO</t>
  </si>
  <si>
    <t>CIF Pacific Log (Compartilhado)</t>
  </si>
  <si>
    <t>Preço COM desconto</t>
  </si>
  <si>
    <t>LINHA DE HIGIENE CLINICA</t>
  </si>
  <si>
    <t>LINHA DE LIMPEZA E CONSERVAÇÃO</t>
  </si>
  <si>
    <t>LINHA DE HIGIENE PESSOAL</t>
  </si>
  <si>
    <t>PRATT ESPUMA LÍRIO DO CAMPO (caixa 4 x 5L)</t>
  </si>
  <si>
    <t>TOTAL DO PEDIDO</t>
  </si>
  <si>
    <t>1.1. PRAZOS DE PAGAMENTO</t>
  </si>
  <si>
    <t xml:space="preserve">1.1. Custo de oportunidade: </t>
  </si>
  <si>
    <t>PRAZO</t>
  </si>
  <si>
    <t>TAXA</t>
  </si>
  <si>
    <t>1º PAG</t>
  </si>
  <si>
    <t>2º PAG</t>
  </si>
  <si>
    <t>flag</t>
  </si>
  <si>
    <t>a.d.</t>
  </si>
  <si>
    <t>Antecipado</t>
  </si>
  <si>
    <t>28 dias</t>
  </si>
  <si>
    <t>a.m.</t>
  </si>
  <si>
    <t>35 dias</t>
  </si>
  <si>
    <t>28/42 dias</t>
  </si>
  <si>
    <t>a.a.</t>
  </si>
  <si>
    <t>35/42 dias</t>
  </si>
  <si>
    <t>1.2. CADASTRAMENTO DOS PRODUTOS</t>
  </si>
  <si>
    <t>1.3. MARGEM SECUNDÁRIA</t>
  </si>
  <si>
    <t>PRODUTO</t>
  </si>
  <si>
    <t>CÓD PROTHEUS</t>
  </si>
  <si>
    <t>CUSTO NET</t>
  </si>
  <si>
    <t>PESO</t>
  </si>
  <si>
    <t>MARGEM BRUTA PRIMÁRIA</t>
  </si>
  <si>
    <t>fundo comercial</t>
  </si>
  <si>
    <t>DESP. FINANCEIRA</t>
  </si>
  <si>
    <t>DESP. ADM.</t>
  </si>
  <si>
    <t>FUNDO COMERCIAL</t>
  </si>
  <si>
    <t>DESPESAS COMERC.</t>
  </si>
  <si>
    <t>ICMS</t>
  </si>
  <si>
    <t>PIS/COFINS</t>
  </si>
  <si>
    <t>CLASSIF. FISCAL</t>
  </si>
  <si>
    <t>Descrição</t>
  </si>
  <si>
    <t>IPI (%)</t>
  </si>
  <si>
    <t>Valor</t>
  </si>
  <si>
    <t>1.4. FAIXAS</t>
  </si>
  <si>
    <t>NOME DA FAIXA</t>
  </si>
  <si>
    <t>QTDE MIN</t>
  </si>
  <si>
    <t>QTDE MÁXIMA</t>
  </si>
  <si>
    <r>
      <t xml:space="preserve">D </t>
    </r>
    <r>
      <rPr>
        <sz val="10"/>
        <color theme="1"/>
        <rFont val="Calibri"/>
        <family val="2"/>
        <scheme val="minor"/>
      </rPr>
      <t>entre faixas</t>
    </r>
  </si>
  <si>
    <t>1.4. RELAÇÃO DE ITENS MAIS COMPRADOS NO PED</t>
  </si>
  <si>
    <t>1º</t>
  </si>
  <si>
    <t>2º</t>
  </si>
  <si>
    <t>3º</t>
  </si>
  <si>
    <t>4º</t>
  </si>
  <si>
    <t>5º</t>
  </si>
  <si>
    <t>6º</t>
  </si>
  <si>
    <t>7º</t>
  </si>
  <si>
    <t>8º</t>
  </si>
  <si>
    <t>9º</t>
  </si>
  <si>
    <t>10º</t>
  </si>
  <si>
    <t>11º</t>
  </si>
  <si>
    <t>12º</t>
  </si>
  <si>
    <t>13º</t>
  </si>
  <si>
    <t>14º</t>
  </si>
  <si>
    <t>1. VERIFICAÇÃO DE CIDADES</t>
  </si>
  <si>
    <t>2. CUSTO DE ARMAZENAGEM (DEPÓSITOS INDEBA)</t>
  </si>
  <si>
    <t>Cidade</t>
  </si>
  <si>
    <t>Estado</t>
  </si>
  <si>
    <t>FLAG</t>
  </si>
  <si>
    <t>STATUS</t>
  </si>
  <si>
    <t>Depósito mais próximo</t>
  </si>
  <si>
    <r>
      <t xml:space="preserve">Transp. Fáb -&gt; Depósito </t>
    </r>
    <r>
      <rPr>
        <b/>
        <sz val="11"/>
        <color theme="0"/>
        <rFont val="Calibri"/>
        <family val="2"/>
        <scheme val="minor"/>
      </rPr>
      <t>(TD)</t>
    </r>
  </si>
  <si>
    <r>
      <t>Custo de Armazenagem</t>
    </r>
    <r>
      <rPr>
        <b/>
        <sz val="11"/>
        <color theme="0"/>
        <rFont val="Calibri"/>
        <family val="2"/>
        <scheme val="minor"/>
      </rPr>
      <t xml:space="preserve"> (CA)</t>
    </r>
  </si>
  <si>
    <t>Transp. Depósito -&gt; Cliente</t>
  </si>
  <si>
    <t>TRANSPORTE FRACIONADO</t>
  </si>
  <si>
    <t>Indústria -&gt; Cliente (Carga de 14.000 Kg)</t>
  </si>
  <si>
    <t>TRANSPORTE DIRETO</t>
  </si>
  <si>
    <t>CADASTRO</t>
  </si>
  <si>
    <t>CÓDIGO</t>
  </si>
  <si>
    <t>VENDAS ASSOCIADAS AO DEPÓSITO (Kg)</t>
  </si>
  <si>
    <t>ALUGUEL</t>
  </si>
  <si>
    <t>CUSTO MENSAL</t>
  </si>
  <si>
    <t>IPTU E IMPOSTOS (ANUAL)</t>
  </si>
  <si>
    <r>
      <rPr>
        <sz val="9"/>
        <color theme="0"/>
        <rFont val="Calibri"/>
        <family val="2"/>
        <scheme val="minor"/>
      </rPr>
      <t>CUSTO ARMAZENAGEM</t>
    </r>
    <r>
      <rPr>
        <b/>
        <sz val="9"/>
        <color theme="0"/>
        <rFont val="Calibri"/>
        <family val="2"/>
        <scheme val="minor"/>
      </rPr>
      <t xml:space="preserve">  </t>
    </r>
    <r>
      <rPr>
        <b/>
        <sz val="11"/>
        <color theme="0"/>
        <rFont val="Calibri"/>
        <family val="2"/>
        <scheme val="minor"/>
      </rPr>
      <t>CA</t>
    </r>
    <r>
      <rPr>
        <sz val="9"/>
        <color theme="0"/>
        <rFont val="Calibri"/>
        <family val="2"/>
        <scheme val="minor"/>
      </rPr>
      <t xml:space="preserve"> (R$/Kg)</t>
    </r>
  </si>
  <si>
    <t>TRANSPORTE PARA O DEPÓSITO (R$ em 14 ton)</t>
  </si>
  <si>
    <t>Valor do transporte TD (R$/Kg)</t>
  </si>
  <si>
    <t>BA04/Matriz</t>
  </si>
  <si>
    <t>Faixa K (0,31 a 0,36)</t>
  </si>
  <si>
    <t>BA01/Itabuna</t>
  </si>
  <si>
    <t>BA02/Juazeiro</t>
  </si>
  <si>
    <t>Faixa Q (0,61 a 0,73)</t>
  </si>
  <si>
    <t>BA03/SSA</t>
  </si>
  <si>
    <t>Faixa P (0,46 a 0,6)</t>
  </si>
  <si>
    <t>PE01/Recife</t>
  </si>
  <si>
    <t>Faixa C (0,12 a 0,16)</t>
  </si>
  <si>
    <t>Faixa A (0 a 0,05)</t>
  </si>
  <si>
    <t>SP01/SP</t>
  </si>
  <si>
    <t>MG01/BH</t>
  </si>
  <si>
    <t>Aparecida de goiânia</t>
  </si>
  <si>
    <t>GO01/ApGO</t>
  </si>
  <si>
    <t>Matriz</t>
  </si>
  <si>
    <t>Faixa S (0,81 a 0,9)</t>
  </si>
  <si>
    <t>3. PESO DA CAIXA</t>
  </si>
  <si>
    <t>Peso estimado da caixa</t>
  </si>
  <si>
    <t>4. TRANSPORTE (FAIXAS DE PREÇO POR QUILO)</t>
  </si>
  <si>
    <t>Faixa R (0,74 a 0,8)</t>
  </si>
  <si>
    <t>FAIXA</t>
  </si>
  <si>
    <t>MENOR</t>
  </si>
  <si>
    <t>MAIOR</t>
  </si>
  <si>
    <t>Valor a considerar</t>
  </si>
  <si>
    <t>Faixa E (0,19 a 0,2)</t>
  </si>
  <si>
    <t>Faixa J (0,22 a 0,3)</t>
  </si>
  <si>
    <t>INFORMAÇÕES DO SELETOR</t>
  </si>
  <si>
    <t>R$/ton 14K</t>
  </si>
  <si>
    <t>R$/ton 25K</t>
  </si>
  <si>
    <t>São Luiz</t>
  </si>
  <si>
    <t xml:space="preserve">Arapiraca - </t>
  </si>
  <si>
    <t>Paraupebas</t>
  </si>
  <si>
    <t>Bauru</t>
  </si>
  <si>
    <t>Foz do Iguaçú</t>
  </si>
  <si>
    <t>Aracajú</t>
  </si>
  <si>
    <t>São José</t>
  </si>
  <si>
    <t>Faixa F (0,21 a 0,21)</t>
  </si>
  <si>
    <t>São José dos Campos</t>
  </si>
  <si>
    <t>Faixa O (0,41 a 0,45)</t>
  </si>
  <si>
    <t>OPÇÕES DE PAGAMENTO</t>
  </si>
  <si>
    <t>Sim.Sim</t>
  </si>
  <si>
    <t>FAIXA SELECIONADA</t>
  </si>
  <si>
    <t>PREÇO PADRÃO</t>
  </si>
  <si>
    <t>PESO (Kg)</t>
  </si>
  <si>
    <t>PRATT ESPUMA LÍRIO DO CAMPO (caixa 6 x 0,8L)</t>
  </si>
  <si>
    <t>CUSTO</t>
  </si>
  <si>
    <t>M.B.P.</t>
  </si>
  <si>
    <t>Fundo Comercial</t>
  </si>
  <si>
    <t>Despesa Financeira</t>
  </si>
  <si>
    <t>Despesa Admin.</t>
  </si>
  <si>
    <t>Despesa Comercial</t>
  </si>
  <si>
    <t>35/63 dias</t>
  </si>
  <si>
    <t>Frete fracionado</t>
  </si>
  <si>
    <t>PREÇOS DE FRETE</t>
  </si>
  <si>
    <t>Cidade escolhida</t>
  </si>
  <si>
    <t>Carga fechada</t>
  </si>
  <si>
    <t>Frete escolhido</t>
  </si>
  <si>
    <t>Peso (Kg)</t>
  </si>
  <si>
    <t>MBS Escolhida</t>
  </si>
  <si>
    <t>Valor do frete</t>
  </si>
  <si>
    <t>CENARIO 1: Revenda</t>
  </si>
  <si>
    <t>CENÁRIO 2: Cliente final c/ IE</t>
  </si>
  <si>
    <t>CENÁRIO 3: Cliente final s/ IE</t>
  </si>
  <si>
    <t>BASE calculo ICMS</t>
  </si>
  <si>
    <t>ICMS Destacado</t>
  </si>
  <si>
    <t>IPI para REVENDA</t>
  </si>
  <si>
    <t>ICMS ST</t>
  </si>
  <si>
    <t>Substituição Tributária</t>
  </si>
  <si>
    <t>IPI para cliente</t>
  </si>
  <si>
    <t>BASE calculo ICMS s/ IE</t>
  </si>
  <si>
    <t>ICMS s/ IE</t>
  </si>
  <si>
    <t>IPI s/ IE</t>
  </si>
  <si>
    <t>ICMS SAÍDA (%)</t>
  </si>
  <si>
    <t>Produto sem IPI e ICMS</t>
  </si>
  <si>
    <t>Produto com ICMS de Saída</t>
  </si>
  <si>
    <t>Diferença ICMS</t>
  </si>
  <si>
    <t>Resultado</t>
  </si>
  <si>
    <t>TESTE DE PREENCHIMENTO</t>
  </si>
  <si>
    <t>CIF Pacific Log (Normal)</t>
  </si>
  <si>
    <t>Sub total (sem ST)</t>
  </si>
  <si>
    <t>IMPOSTOS</t>
  </si>
  <si>
    <t>Margem</t>
  </si>
  <si>
    <t xml:space="preserve">FORMULÁRIO DE PEDIDOS DE CLIENTE </t>
  </si>
  <si>
    <t>TIPO DE PEDIDO</t>
  </si>
  <si>
    <t xml:space="preserve">2. CLIENTE: </t>
  </si>
  <si>
    <t>VENDA</t>
  </si>
  <si>
    <t>BONIFICAÇÃO</t>
  </si>
  <si>
    <t>OUTRO</t>
  </si>
  <si>
    <t>2.3. INSC. ESTADUAL</t>
  </si>
  <si>
    <t>2.4. CÓD. CLIENTE</t>
  </si>
  <si>
    <t>2.5. VALOR DO FRETE</t>
  </si>
  <si>
    <t>EMBALAGEM</t>
  </si>
  <si>
    <t>BB 5L</t>
  </si>
  <si>
    <t>2.6. TIPO DE PEDIDO:</t>
  </si>
  <si>
    <t>2.7. DESTINO</t>
  </si>
  <si>
    <t xml:space="preserve">2.8. PRAZO DE PAG.: </t>
  </si>
  <si>
    <t xml:space="preserve">2.9. COD. REPRES.:  </t>
  </si>
  <si>
    <t>Bd 20L</t>
  </si>
  <si>
    <t>Cx 4x5L</t>
  </si>
  <si>
    <t>2.10. TIPO DE COBRANÇA:</t>
  </si>
  <si>
    <t>BOLETO BANCÁRIO</t>
  </si>
  <si>
    <t>TIPO DE CLIENTE</t>
  </si>
  <si>
    <t xml:space="preserve">2.12. MENSAGEM: </t>
  </si>
  <si>
    <t>PRIVADO</t>
  </si>
  <si>
    <t>PÚBLICO</t>
  </si>
  <si>
    <t>3. PEDIDO</t>
  </si>
  <si>
    <t>CÓDIGO DO PRODUTO</t>
  </si>
  <si>
    <t>Valor da Mercad.</t>
  </si>
  <si>
    <t>Base de ICMS</t>
  </si>
  <si>
    <t>Valor do ICMS</t>
  </si>
  <si>
    <t>Valor do IPI</t>
  </si>
  <si>
    <t>VALOR DA NOTA</t>
  </si>
  <si>
    <t>CÁLCULO DO IMPOSTO</t>
  </si>
  <si>
    <t>Valor da Mercadoria</t>
  </si>
  <si>
    <t>BASE DE CÁLCULO DO ICMS</t>
  </si>
  <si>
    <t>VALOR DO IPI</t>
  </si>
  <si>
    <t>VALOR DO ICMS</t>
  </si>
  <si>
    <t>Preço da Nota</t>
  </si>
  <si>
    <t>CELULA IMPORTADA</t>
  </si>
  <si>
    <t>FORMA PAG</t>
  </si>
  <si>
    <t>CLIENTE</t>
  </si>
  <si>
    <t>NÚM. PEDIDO</t>
  </si>
  <si>
    <t>CÓD. CLIENTE</t>
  </si>
  <si>
    <t>TIPO</t>
  </si>
  <si>
    <t>CÓD. REPRES.</t>
  </si>
  <si>
    <t>TRANSPORTE</t>
  </si>
  <si>
    <t>NOME DO PRODUTO</t>
  </si>
  <si>
    <t>V. UNIT</t>
  </si>
  <si>
    <t>SUB-TOTAL</t>
  </si>
  <si>
    <t>E1</t>
  </si>
  <si>
    <t>E2</t>
  </si>
  <si>
    <t>E3</t>
  </si>
  <si>
    <t>E4</t>
  </si>
  <si>
    <t>E5</t>
  </si>
  <si>
    <t>E6</t>
  </si>
  <si>
    <t>E7</t>
  </si>
  <si>
    <t>E8</t>
  </si>
  <si>
    <t>DATA 1º PAG</t>
  </si>
  <si>
    <t>DATA 2º PAG</t>
  </si>
  <si>
    <t>Qtde Emb. (unid)</t>
  </si>
  <si>
    <t>Preço 
(por unid)</t>
  </si>
  <si>
    <t>1.5. RELAÇÃO DOS VENDEDORES INDEBA</t>
  </si>
  <si>
    <t>REPRESENTANTE</t>
  </si>
  <si>
    <t>VENDEDOR PADRAO</t>
  </si>
  <si>
    <t>ALCINDO</t>
  </si>
  <si>
    <t>EURIPEDES</t>
  </si>
  <si>
    <t>JOAO CESAR</t>
  </si>
  <si>
    <t>ARMANDO</t>
  </si>
  <si>
    <t>MARCELO PIERRI</t>
  </si>
  <si>
    <t>RICARDO DIAS</t>
  </si>
  <si>
    <t>AMADEU</t>
  </si>
  <si>
    <t>CID</t>
  </si>
  <si>
    <t>DEMETRIO</t>
  </si>
  <si>
    <t>GILBERTO</t>
  </si>
  <si>
    <t>HUGO</t>
  </si>
  <si>
    <t>HENRIQUE</t>
  </si>
  <si>
    <t>ADRIANO LEAO</t>
  </si>
  <si>
    <t>JOUBERT</t>
  </si>
  <si>
    <t>MANOEL</t>
  </si>
  <si>
    <t>CRISTIANO</t>
  </si>
  <si>
    <t>ELMO CARVALHO</t>
  </si>
  <si>
    <t>MARCOS SALOMAO</t>
  </si>
  <si>
    <t>MARLI</t>
  </si>
  <si>
    <t>LUCIANO SANTANA</t>
  </si>
  <si>
    <t>WEVERTON</t>
  </si>
  <si>
    <t>IVANA SANDES</t>
  </si>
  <si>
    <t>DAIANE</t>
  </si>
  <si>
    <t>DARLAN</t>
  </si>
  <si>
    <t>FELIPE MOTA</t>
  </si>
  <si>
    <t>RICARDO PALMARES</t>
  </si>
  <si>
    <t>MARCO AURELIO</t>
  </si>
  <si>
    <t>MILTON COSTA</t>
  </si>
  <si>
    <t>LEIDE PATRICIA</t>
  </si>
  <si>
    <t>CLEBER BRANDAO</t>
  </si>
  <si>
    <t>TIAGO BRUNO</t>
  </si>
  <si>
    <t>GLADTON</t>
  </si>
  <si>
    <t>ASSIS SANTOS</t>
  </si>
  <si>
    <t>ESCRITORIO ALAGOAS</t>
  </si>
  <si>
    <t>ESCRITORIO FSA</t>
  </si>
  <si>
    <t>ESCRITORIO GOIAS</t>
  </si>
  <si>
    <t>ESCRITORIO ITABUNA</t>
  </si>
  <si>
    <t>ESCRITORIO JUAZEIRO</t>
  </si>
  <si>
    <t>ESCRITORIO MG</t>
  </si>
  <si>
    <t>ESCRITORIO CURITIBA</t>
  </si>
  <si>
    <t>ESCRITORIO RECIFE</t>
  </si>
  <si>
    <t>ESCRITORIO RJ</t>
  </si>
  <si>
    <t>ESCRITORIO SC</t>
  </si>
  <si>
    <t>ESCRITORIO SERGIPE</t>
  </si>
  <si>
    <t>ESCRITORIO SP</t>
  </si>
  <si>
    <t>ESCRITORIO SALVADOR</t>
  </si>
  <si>
    <t>MARCELO MARQUES</t>
  </si>
  <si>
    <t>FERNANDA CERRI</t>
  </si>
  <si>
    <t>ANTONIO MATOS</t>
  </si>
  <si>
    <t>LEONARDO</t>
  </si>
  <si>
    <t>ESCRITORIO SP INT</t>
  </si>
  <si>
    <t>VALDERI OLIVEIRA</t>
  </si>
  <si>
    <t>ESCRITORIO ES</t>
  </si>
  <si>
    <t>MAURO SIMON</t>
  </si>
  <si>
    <t>VILIANE SANTANA</t>
  </si>
  <si>
    <t>FLAVIO PEDRINHA</t>
  </si>
  <si>
    <t>EDSON BURQUE</t>
  </si>
  <si>
    <t>GIOVANNE</t>
  </si>
  <si>
    <t>DEYVIS OLIVEIRA</t>
  </si>
  <si>
    <t>FABIO CARDOSO</t>
  </si>
  <si>
    <t>CAROLINA MELO</t>
  </si>
  <si>
    <t>FABIO RIOS</t>
  </si>
  <si>
    <t>IVALDO JUNIOR</t>
  </si>
  <si>
    <t>FABIO ALMEIDA</t>
  </si>
  <si>
    <t>ANTONIO CARLOS</t>
  </si>
  <si>
    <t>GENEILSON</t>
  </si>
  <si>
    <t>LAZARO NOBRE</t>
  </si>
  <si>
    <t>LEANDRO OLIVEIRA</t>
  </si>
  <si>
    <t>CESAR LOUREIRO</t>
  </si>
  <si>
    <t>MARCELO FARIA</t>
  </si>
  <si>
    <t>ANALICE DAMASCENO</t>
  </si>
  <si>
    <t>PAULO ROCHA</t>
  </si>
  <si>
    <t>ICARO</t>
  </si>
  <si>
    <t>LUIZ GOIS</t>
  </si>
  <si>
    <t>BRUNO MENEZES</t>
  </si>
  <si>
    <t>REP. - P A CAMARGO</t>
  </si>
  <si>
    <t>REP. - AGRO GARCIA</t>
  </si>
  <si>
    <t>REP. - AZIMUTE</t>
  </si>
  <si>
    <t>REP.-MARCOS MARANGHETTI</t>
  </si>
  <si>
    <t>REP. - LINKED REPRESENTAÇÕES</t>
  </si>
  <si>
    <t>RAFAEL BEIRA</t>
  </si>
  <si>
    <t>KAYRO CHARLES</t>
  </si>
  <si>
    <t>JESSICA FERREIRA</t>
  </si>
  <si>
    <t>MARIO ANSELMO</t>
  </si>
  <si>
    <t>FILIPE AZEVEDO</t>
  </si>
  <si>
    <t>MILENA CERQUEIRA</t>
  </si>
  <si>
    <t>REP.-SILVERIO GOMES</t>
  </si>
  <si>
    <t>ILDEMAR FERNANDES</t>
  </si>
  <si>
    <t>ANDRE PIMENTEL</t>
  </si>
  <si>
    <t>ROGERIO VIANNA</t>
  </si>
  <si>
    <t>LEANDRA SAMPAIO</t>
  </si>
  <si>
    <t>MARCELO SALATA</t>
  </si>
  <si>
    <t>ALBERTO GUEDES</t>
  </si>
  <si>
    <t>GUSTAVO MENEZES</t>
  </si>
  <si>
    <t>MARCELO RAYCHE</t>
  </si>
  <si>
    <t>ROGERIO FRANCA</t>
  </si>
  <si>
    <t>JORGE BERTOLINI</t>
  </si>
  <si>
    <t>REP. - CB DE ARAUJO</t>
  </si>
  <si>
    <t>DEUSA</t>
  </si>
  <si>
    <t>NOME DO CLIENTE</t>
  </si>
  <si>
    <t>LINHA DE LAVANDERIA</t>
  </si>
  <si>
    <t>Atacado BA</t>
  </si>
  <si>
    <t/>
  </si>
  <si>
    <t>PRATT ULTRA (caixa 12 x 1L)</t>
  </si>
  <si>
    <t>LAVA ROUPAS PRATT MULTIAÇÃO (20 x 500 g)</t>
  </si>
  <si>
    <t>LAVA ROUPAS PRATT MULTIAÇÃO (20 x 1.000 g)</t>
  </si>
  <si>
    <t>DESCRIÇÃO</t>
  </si>
  <si>
    <t>DIV</t>
  </si>
  <si>
    <t>(%) corr</t>
  </si>
  <si>
    <t>Taxa de Crescimento</t>
  </si>
  <si>
    <t>Desepsas Administrativas</t>
  </si>
  <si>
    <t>Aniversário</t>
  </si>
  <si>
    <t>Não troca</t>
  </si>
  <si>
    <t>Repositores</t>
  </si>
  <si>
    <t>COMPOSIÇÃO PARA ATACADO</t>
  </si>
  <si>
    <t>RESENDE</t>
  </si>
  <si>
    <t>FÁBIO LORENZO</t>
  </si>
  <si>
    <t xml:space="preserve"> </t>
  </si>
  <si>
    <t>LOPES FERR</t>
  </si>
  <si>
    <t>VALOR DA MERCADORIA</t>
  </si>
  <si>
    <t>2.1. DATA DO PEDIDO</t>
  </si>
  <si>
    <t>2.11. MODALIDADE</t>
  </si>
  <si>
    <t>2.12. ESTADO</t>
  </si>
  <si>
    <t>2.13. CIDADE</t>
  </si>
  <si>
    <t>Versao 6.0</t>
  </si>
  <si>
    <t>12/18 a 01/19</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</si>
</sst>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 #,##0.00_-;_-* &quot;-&quot;??_-;_-@_-"/>
    <numFmt numFmtId="164" formatCode="_-&quot;R$&quot;* #,##0.00_-;\-&quot;R$&quot;* #,##0.00_-;_-&quot;R$&quot;* &quot;-&quot;??_-;_-@_-"/>
    <numFmt numFmtId="165" formatCode="0.0%"/>
    <numFmt numFmtId="166" formatCode="000000"/>
    <numFmt numFmtId="167" formatCode="00\ 000\ 000&quot; &quot;0000&quot;-&quot;00"/>
    <numFmt numFmtId="168" formatCode="00\ 00\ 00\ 00"/>
    <numFmt numFmtId="169" formatCode="#,##0&quot; Kg&quot;"/>
    <numFmt numFmtId="170" formatCode="\+\ _-* #,##0.00_-;\-* #,##0.00_-;_-* &quot;-&quot;??_-;_-@_-"/>
    <numFmt numFmtId="171" formatCode="#,##0&quot; Cx&quot;"/>
    <numFmt numFmtId="172" formatCode="0.0000%"/>
    <numFmt numFmtId="173" formatCode="_-* #,##0_-;\-* #,##0_-;_-* &quot;-&quot;??_-;_-@_-"/>
    <numFmt numFmtId="174" formatCode="#,##0.00&quot; Kg&quot;"/>
    <numFmt numFmtId="175" formatCode="#,##0.000&quot; Kg&quot;"/>
    <numFmt numFmtId="176" formatCode="0.00&quot; /bb&quot;;&quot;ERRO&quot;;&quot;&quot;"/>
    <numFmt numFmtId="177" formatCode="#,##0.00;&quot;ERRO&quot;;&quot;-&quot;"/>
    <numFmt numFmtId="178" formatCode="#,##0.00;[Red]\ \-\ #,###.00;&quot;-&quot;"/>
    <numFmt numFmtId="179" formatCode="0.000"/>
    <numFmt numFmtId="180" formatCode="_-* #,##0_-&quot; Kg&quot;;\-* #,##0_-;_-* &quot;-&quot;??_-;_-@_-"/>
    <numFmt numFmtId="181" formatCode="General;;&quot;&quot;"/>
    <numFmt numFmtId="182" formatCode="000,000,000,000;;&quot;-&quot;"/>
    <numFmt numFmtId="183" formatCode="000000;;&quot;-&quot;"/>
    <numFmt numFmtId="184" formatCode="General;;&quot;-&quot;"/>
  </numFmts>
  <fonts count="56"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b/>
      <sz val="11"/>
      <color theme="0"/>
      <name val="Calibri"/>
      <family val="2"/>
      <scheme val="minor"/>
    </font>
    <font>
      <sz val="10"/>
      <color theme="1"/>
      <name val="Calibri"/>
      <family val="2"/>
      <scheme val="minor"/>
    </font>
    <font>
      <b/>
      <sz val="12"/>
      <color theme="1"/>
      <name val="Calibri"/>
      <family val="2"/>
      <scheme val="minor"/>
    </font>
    <font>
      <b/>
      <sz val="14"/>
      <color theme="1"/>
      <name val="Calibri"/>
      <family val="2"/>
      <scheme val="minor"/>
    </font>
    <font>
      <b/>
      <sz val="16"/>
      <color theme="0"/>
      <name val="Calibri"/>
      <family val="2"/>
      <scheme val="minor"/>
    </font>
    <font>
      <b/>
      <sz val="11"/>
      <color rgb="FFFF0000"/>
      <name val="Calibri"/>
      <family val="2"/>
      <scheme val="minor"/>
    </font>
    <font>
      <sz val="7"/>
      <name val="Arial"/>
      <family val="2"/>
    </font>
    <font>
      <i/>
      <sz val="9"/>
      <color theme="1"/>
      <name val="Calibri"/>
      <family val="2"/>
      <scheme val="minor"/>
    </font>
    <font>
      <b/>
      <sz val="8"/>
      <color theme="0"/>
      <name val="Calibri"/>
      <family val="2"/>
      <scheme val="minor"/>
    </font>
    <font>
      <i/>
      <sz val="10"/>
      <color theme="1"/>
      <name val="Calibri"/>
      <family val="2"/>
      <scheme val="minor"/>
    </font>
    <font>
      <sz val="11"/>
      <color theme="0"/>
      <name val="Calibri"/>
      <family val="2"/>
      <scheme val="minor"/>
    </font>
    <font>
      <b/>
      <i/>
      <sz val="11"/>
      <color theme="1"/>
      <name val="Calibri"/>
      <family val="2"/>
      <scheme val="minor"/>
    </font>
    <font>
      <b/>
      <i/>
      <sz val="10"/>
      <color theme="1"/>
      <name val="Calibri"/>
      <family val="2"/>
      <scheme val="minor"/>
    </font>
    <font>
      <sz val="8"/>
      <color theme="1"/>
      <name val="Calibri"/>
      <family val="2"/>
      <scheme val="minor"/>
    </font>
    <font>
      <i/>
      <sz val="8"/>
      <color theme="1"/>
      <name val="Calibri"/>
      <family val="2"/>
      <scheme val="minor"/>
    </font>
    <font>
      <b/>
      <i/>
      <sz val="8"/>
      <color rgb="FF7030A0"/>
      <name val="Calibri"/>
      <family val="2"/>
      <scheme val="minor"/>
    </font>
    <font>
      <b/>
      <sz val="9"/>
      <color theme="1"/>
      <name val="Calibri"/>
      <family val="2"/>
      <scheme val="minor"/>
    </font>
    <font>
      <b/>
      <i/>
      <sz val="12"/>
      <color theme="1"/>
      <name val="Calibri"/>
      <family val="2"/>
      <scheme val="minor"/>
    </font>
    <font>
      <b/>
      <sz val="8"/>
      <color theme="1"/>
      <name val="Calibri"/>
      <family val="2"/>
      <scheme val="minor"/>
    </font>
    <font>
      <sz val="14"/>
      <color theme="1"/>
      <name val="Berlin Sans FB Demi"/>
      <family val="2"/>
    </font>
    <font>
      <i/>
      <sz val="11"/>
      <color theme="1"/>
      <name val="Calibri"/>
      <family val="2"/>
      <scheme val="minor"/>
    </font>
    <font>
      <b/>
      <sz val="10"/>
      <color rgb="FFC00000"/>
      <name val="Calibri"/>
      <family val="2"/>
      <scheme val="minor"/>
    </font>
    <font>
      <b/>
      <sz val="16"/>
      <color theme="1"/>
      <name val="Calibri"/>
      <family val="2"/>
      <scheme val="minor"/>
    </font>
    <font>
      <b/>
      <sz val="12"/>
      <color theme="0"/>
      <name val="Calibri"/>
      <family val="2"/>
      <scheme val="minor"/>
    </font>
    <font>
      <b/>
      <sz val="16"/>
      <color rgb="FF0070C0"/>
      <name val="Calibri"/>
      <family val="2"/>
      <scheme val="minor"/>
    </font>
    <font>
      <b/>
      <sz val="18"/>
      <color theme="0"/>
      <name val="Calibri"/>
      <family val="2"/>
      <scheme val="minor"/>
    </font>
    <font>
      <b/>
      <sz val="12"/>
      <color theme="8" tint="-0.499984740745262"/>
      <name val="Calibri"/>
      <family val="2"/>
      <scheme val="minor"/>
    </font>
    <font>
      <b/>
      <sz val="10"/>
      <name val="Calibri"/>
      <family val="2"/>
      <scheme val="minor"/>
    </font>
    <font>
      <sz val="10"/>
      <name val="Calibri"/>
      <family val="2"/>
      <scheme val="minor"/>
    </font>
    <font>
      <b/>
      <sz val="9"/>
      <color theme="0"/>
      <name val="Calibri"/>
      <family val="2"/>
      <scheme val="minor"/>
    </font>
    <font>
      <b/>
      <i/>
      <sz val="9"/>
      <color theme="1"/>
      <name val="Calibri"/>
      <family val="2"/>
      <scheme val="minor"/>
    </font>
    <font>
      <sz val="11"/>
      <name val="Calibri"/>
      <family val="2"/>
      <scheme val="minor"/>
    </font>
    <font>
      <i/>
      <sz val="9"/>
      <name val="Calibri"/>
      <family val="2"/>
      <scheme val="minor"/>
    </font>
    <font>
      <b/>
      <sz val="12"/>
      <name val="Calibri"/>
      <family val="2"/>
      <scheme val="minor"/>
    </font>
    <font>
      <sz val="10"/>
      <color theme="1"/>
      <name val="Symbol"/>
      <family val="1"/>
      <charset val="2"/>
    </font>
    <font>
      <sz val="9"/>
      <color theme="0"/>
      <name val="Calibri"/>
      <family val="2"/>
      <scheme val="minor"/>
    </font>
    <font>
      <b/>
      <sz val="8"/>
      <color theme="9" tint="-0.499984740745262"/>
      <name val="Calibri"/>
      <family val="2"/>
      <scheme val="minor"/>
    </font>
    <font>
      <i/>
      <sz val="9"/>
      <color rgb="FF000000"/>
      <name val="Calibri"/>
      <family val="2"/>
    </font>
    <font>
      <b/>
      <sz val="11"/>
      <color theme="1"/>
      <name val="Calibri"/>
      <family val="2"/>
    </font>
    <font>
      <b/>
      <sz val="11"/>
      <color rgb="FFFFFFFF"/>
      <name val="Calibri"/>
      <family val="2"/>
    </font>
    <font>
      <b/>
      <i/>
      <sz val="10"/>
      <name val="Calibri"/>
      <family val="2"/>
      <scheme val="minor"/>
    </font>
    <font>
      <sz val="8"/>
      <color rgb="FF000000"/>
      <name val="Segoe UI"/>
      <family val="2"/>
    </font>
    <font>
      <b/>
      <sz val="8"/>
      <color rgb="FF7030A0"/>
      <name val="Calibri"/>
      <family val="2"/>
      <scheme val="minor"/>
    </font>
    <font>
      <b/>
      <sz val="14"/>
      <color theme="0"/>
      <name val="Calibri"/>
      <family val="2"/>
      <scheme val="minor"/>
    </font>
    <font>
      <b/>
      <sz val="9"/>
      <color theme="0" tint="-4.9989318521683403E-2"/>
      <name val="Calibri"/>
      <family val="2"/>
      <scheme val="minor"/>
    </font>
    <font>
      <b/>
      <sz val="12"/>
      <color theme="1" tint="0.499984740745262"/>
      <name val="Calibri"/>
      <family val="2"/>
      <scheme val="minor"/>
    </font>
    <font>
      <b/>
      <sz val="18"/>
      <name val="Calibri"/>
      <family val="2"/>
      <scheme val="minor"/>
    </font>
    <font>
      <i/>
      <sz val="10"/>
      <name val="Calibri"/>
      <family val="2"/>
      <scheme val="minor"/>
    </font>
    <font>
      <b/>
      <sz val="10"/>
      <color theme="0"/>
      <name val="Calibri"/>
      <family val="2"/>
      <scheme val="minor"/>
    </font>
    <font>
      <sz val="14"/>
      <color theme="1"/>
      <name val="Calibri"/>
      <family val="2"/>
      <scheme val="minor"/>
    </font>
    <font>
      <sz val="10"/>
      <name val="Arial"/>
      <family val="2"/>
    </font>
  </fonts>
  <fills count="52">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3895BE"/>
        <bgColor indexed="64"/>
      </patternFill>
    </fill>
    <fill>
      <patternFill patternType="solid">
        <fgColor indexed="43"/>
        <bgColor indexed="64"/>
      </patternFill>
    </fill>
    <fill>
      <patternFill patternType="solid">
        <fgColor theme="0"/>
        <bgColor indexed="64"/>
      </patternFill>
    </fill>
    <fill>
      <patternFill patternType="solid">
        <fgColor indexed="9"/>
        <bgColor indexed="64"/>
      </patternFill>
    </fill>
    <fill>
      <patternFill patternType="solid">
        <fgColor rgb="FFFFFF99"/>
        <bgColor indexed="64"/>
      </patternFill>
    </fill>
    <fill>
      <patternFill patternType="solid">
        <fgColor theme="9" tint="-0.499984740745262"/>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7030A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D3BEFE"/>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FFFF66"/>
        <bgColor indexed="64"/>
      </patternFill>
    </fill>
    <fill>
      <patternFill patternType="solid">
        <fgColor rgb="FF96CAE0"/>
        <bgColor indexed="64"/>
      </patternFill>
    </fill>
    <fill>
      <patternFill patternType="solid">
        <fgColor theme="2"/>
        <bgColor indexed="64"/>
      </patternFill>
    </fill>
    <fill>
      <patternFill patternType="solid">
        <fgColor rgb="FF00B0F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rgb="FF0070C0"/>
        <bgColor indexed="64"/>
      </patternFill>
    </fill>
    <fill>
      <patternFill patternType="solid">
        <fgColor theme="2" tint="-0.749992370372631"/>
        <bgColor indexed="64"/>
      </patternFill>
    </fill>
    <fill>
      <patternFill patternType="solid">
        <fgColor rgb="FFCCECFF"/>
        <bgColor indexed="64"/>
      </patternFill>
    </fill>
    <fill>
      <patternFill patternType="solid">
        <fgColor rgb="FFE26B0A"/>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2060"/>
        <bgColor indexed="64"/>
      </patternFill>
    </fill>
    <fill>
      <patternFill patternType="solid">
        <fgColor theme="1" tint="4.9989318521683403E-2"/>
        <bgColor indexed="64"/>
      </patternFill>
    </fill>
    <fill>
      <patternFill patternType="solid">
        <fgColor rgb="FFFFC000"/>
        <bgColor indexed="64"/>
      </patternFill>
    </fill>
    <fill>
      <patternFill patternType="solid">
        <fgColor rgb="FF3894BF"/>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499984740745262"/>
        <bgColor indexed="64"/>
      </patternFill>
    </fill>
    <fill>
      <patternFill patternType="solid">
        <fgColor rgb="FFCC9900"/>
        <bgColor indexed="64"/>
      </patternFill>
    </fill>
  </fills>
  <borders count="8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tted">
        <color theme="2" tint="-0.749961851863155"/>
      </left>
      <right style="dotted">
        <color theme="2" tint="-0.749961851863155"/>
      </right>
      <top style="dotted">
        <color theme="2" tint="-0.749961851863155"/>
      </top>
      <bottom style="dotted">
        <color theme="2" tint="-0.749961851863155"/>
      </bottom>
      <diagonal/>
    </border>
    <border>
      <left style="medium">
        <color theme="9" tint="0.39994506668294322"/>
      </left>
      <right style="medium">
        <color theme="9" tint="0.39994506668294322"/>
      </right>
      <top/>
      <bottom/>
      <diagonal/>
    </border>
    <border>
      <left style="medium">
        <color theme="9" tint="0.39994506668294322"/>
      </left>
      <right style="medium">
        <color theme="9" tint="0.39994506668294322"/>
      </right>
      <top style="medium">
        <color theme="9" tint="0.39994506668294322"/>
      </top>
      <bottom style="medium">
        <color theme="9" tint="0.39994506668294322"/>
      </bottom>
      <diagonal/>
    </border>
    <border>
      <left style="medium">
        <color theme="9" tint="0.39994506668294322"/>
      </left>
      <right style="medium">
        <color theme="9" tint="0.39994506668294322"/>
      </right>
      <top/>
      <bottom style="thin">
        <color auto="1"/>
      </bottom>
      <diagonal/>
    </border>
    <border>
      <left style="double">
        <color theme="4" tint="-0.24994659260841701"/>
      </left>
      <right/>
      <top style="double">
        <color theme="4" tint="-0.24994659260841701"/>
      </top>
      <bottom/>
      <diagonal/>
    </border>
    <border>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top/>
      <bottom style="double">
        <color theme="4" tint="-0.24994659260841701"/>
      </bottom>
      <diagonal/>
    </border>
    <border>
      <left/>
      <right style="double">
        <color theme="4" tint="-0.24994659260841701"/>
      </right>
      <top/>
      <bottom style="double">
        <color theme="4" tint="-0.24994659260841701"/>
      </bottom>
      <diagonal/>
    </border>
    <border>
      <left style="hair">
        <color auto="1"/>
      </left>
      <right style="hair">
        <color auto="1"/>
      </right>
      <top style="hair">
        <color auto="1"/>
      </top>
      <bottom style="hair">
        <color auto="1"/>
      </bottom>
      <diagonal/>
    </border>
    <border>
      <left style="hair">
        <color rgb="FF7030A0"/>
      </left>
      <right style="hair">
        <color rgb="FF7030A0"/>
      </right>
      <top style="hair">
        <color rgb="FF7030A0"/>
      </top>
      <bottom style="hair">
        <color rgb="FF7030A0"/>
      </bottom>
      <diagonal/>
    </border>
    <border>
      <left/>
      <right style="medium">
        <color theme="9" tint="0.39994506668294322"/>
      </right>
      <top/>
      <bottom/>
      <diagonal/>
    </border>
    <border>
      <left/>
      <right/>
      <top style="hair">
        <color rgb="FF7030A0"/>
      </top>
      <bottom style="thin">
        <color indexed="64"/>
      </bottom>
      <diagonal/>
    </border>
    <border>
      <left style="thin">
        <color rgb="FF7030A0"/>
      </left>
      <right style="thin">
        <color rgb="FF7030A0"/>
      </right>
      <top style="thin">
        <color rgb="FF7030A0"/>
      </top>
      <bottom style="dotted">
        <color rgb="FF7030A0"/>
      </bottom>
      <diagonal/>
    </border>
    <border>
      <left style="thin">
        <color rgb="FF7030A0"/>
      </left>
      <right style="thin">
        <color rgb="FF7030A0"/>
      </right>
      <top style="dotted">
        <color rgb="FF7030A0"/>
      </top>
      <bottom style="dotted">
        <color rgb="FF7030A0"/>
      </bottom>
      <diagonal/>
    </border>
    <border>
      <left style="dashed">
        <color auto="1"/>
      </left>
      <right/>
      <top/>
      <bottom/>
      <diagonal/>
    </border>
    <border>
      <left/>
      <right/>
      <top style="dotted">
        <color auto="1"/>
      </top>
      <bottom style="dotted">
        <color auto="1"/>
      </bottom>
      <diagonal/>
    </border>
    <border>
      <left style="dotted">
        <color theme="1"/>
      </left>
      <right style="dotted">
        <color theme="1"/>
      </right>
      <top style="dotted">
        <color theme="1"/>
      </top>
      <bottom style="dotted">
        <color theme="1"/>
      </bottom>
      <diagonal/>
    </border>
    <border>
      <left style="dashed">
        <color theme="1"/>
      </left>
      <right style="dashed">
        <color theme="1"/>
      </right>
      <top style="dotted">
        <color theme="1"/>
      </top>
      <bottom style="dotted">
        <color theme="1"/>
      </bottom>
      <diagonal/>
    </border>
    <border>
      <left style="dashed">
        <color indexed="64"/>
      </left>
      <right style="dashed">
        <color indexed="64"/>
      </right>
      <top style="dotted">
        <color indexed="64"/>
      </top>
      <bottom style="dotted">
        <color indexed="64"/>
      </bottom>
      <diagonal/>
    </border>
    <border>
      <left style="dashed">
        <color auto="1"/>
      </left>
      <right/>
      <top/>
      <bottom style="dotted">
        <color auto="1"/>
      </bottom>
      <diagonal/>
    </border>
    <border>
      <left/>
      <right/>
      <top/>
      <bottom style="dotted">
        <color auto="1"/>
      </bottom>
      <diagonal/>
    </border>
    <border>
      <left/>
      <right style="dashed">
        <color theme="1"/>
      </right>
      <top style="dotted">
        <color theme="1"/>
      </top>
      <bottom style="dotted">
        <color theme="1"/>
      </bottom>
      <diagonal/>
    </border>
    <border>
      <left style="hair">
        <color rgb="FFC00000"/>
      </left>
      <right style="hair">
        <color rgb="FFC00000"/>
      </right>
      <top style="hair">
        <color rgb="FFC00000"/>
      </top>
      <bottom style="hair">
        <color rgb="FFC00000"/>
      </bottom>
      <diagonal/>
    </border>
    <border>
      <left style="thin">
        <color auto="1"/>
      </left>
      <right style="thin">
        <color auto="1"/>
      </right>
      <top/>
      <bottom/>
      <diagonal/>
    </border>
    <border>
      <left style="hair">
        <color theme="8" tint="-0.24994659260841701"/>
      </left>
      <right style="hair">
        <color theme="8" tint="-0.24994659260841701"/>
      </right>
      <top style="hair">
        <color theme="8" tint="-0.24994659260841701"/>
      </top>
      <bottom style="hair">
        <color theme="8" tint="-0.2499465926084170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theme="3" tint="-0.24994659260841701"/>
      </left>
      <right style="dotted">
        <color theme="3" tint="-0.24994659260841701"/>
      </right>
      <top style="dotted">
        <color theme="3" tint="-0.24994659260841701"/>
      </top>
      <bottom style="dotted">
        <color theme="3" tint="-0.24994659260841701"/>
      </bottom>
      <diagonal/>
    </border>
    <border>
      <left style="dotted">
        <color theme="3" tint="-0.24994659260841701"/>
      </left>
      <right style="dotted">
        <color theme="3" tint="-0.24994659260841701"/>
      </right>
      <top style="dotted">
        <color theme="3" tint="-0.24994659260841701"/>
      </top>
      <bottom style="dotted">
        <color theme="3" tint="-0.2499465926084170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theme="2" tint="-0.749961851863155"/>
      </left>
      <right style="dotted">
        <color theme="2" tint="-0.499984740745262"/>
      </right>
      <top style="thin">
        <color theme="2" tint="-0.749961851863155"/>
      </top>
      <bottom style="dotted">
        <color theme="2" tint="-0.499984740745262"/>
      </bottom>
      <diagonal/>
    </border>
    <border>
      <left style="dotted">
        <color theme="2" tint="-0.499984740745262"/>
      </left>
      <right style="dotted">
        <color theme="2" tint="-0.499984740745262"/>
      </right>
      <top style="thin">
        <color theme="2" tint="-0.749961851863155"/>
      </top>
      <bottom style="dotted">
        <color theme="2" tint="-0.499984740745262"/>
      </bottom>
      <diagonal/>
    </border>
    <border>
      <left style="dotted">
        <color theme="2" tint="-0.499984740745262"/>
      </left>
      <right style="thin">
        <color theme="2" tint="-0.749961851863155"/>
      </right>
      <top style="thin">
        <color theme="2" tint="-0.749961851863155"/>
      </top>
      <bottom style="dotted">
        <color theme="2" tint="-0.499984740745262"/>
      </bottom>
      <diagonal/>
    </border>
    <border>
      <left style="thin">
        <color theme="2" tint="-0.749961851863155"/>
      </left>
      <right style="dotted">
        <color theme="2" tint="-0.499984740745262"/>
      </right>
      <top style="dotted">
        <color theme="2" tint="-0.499984740745262"/>
      </top>
      <bottom style="dotted">
        <color theme="2" tint="-0.499984740745262"/>
      </bottom>
      <diagonal/>
    </border>
    <border>
      <left style="dotted">
        <color theme="2" tint="-0.499984740745262"/>
      </left>
      <right style="dotted">
        <color theme="2" tint="-0.499984740745262"/>
      </right>
      <top style="dotted">
        <color theme="2" tint="-0.499984740745262"/>
      </top>
      <bottom style="dotted">
        <color theme="2" tint="-0.499984740745262"/>
      </bottom>
      <diagonal/>
    </border>
    <border>
      <left style="dotted">
        <color theme="2" tint="-0.499984740745262"/>
      </left>
      <right style="thin">
        <color theme="2" tint="-0.749961851863155"/>
      </right>
      <top style="dotted">
        <color theme="2" tint="-0.499984740745262"/>
      </top>
      <bottom style="dotted">
        <color theme="2" tint="-0.499984740745262"/>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theme="2" tint="-0.749961851863155"/>
      </left>
      <right style="dotted">
        <color theme="2" tint="-0.499984740745262"/>
      </right>
      <top style="dotted">
        <color theme="2" tint="-0.499984740745262"/>
      </top>
      <bottom style="thin">
        <color theme="2" tint="-0.749961851863155"/>
      </bottom>
      <diagonal/>
    </border>
    <border>
      <left style="dotted">
        <color theme="2" tint="-0.499984740745262"/>
      </left>
      <right style="dotted">
        <color theme="2" tint="-0.499984740745262"/>
      </right>
      <top style="dotted">
        <color theme="2" tint="-0.499984740745262"/>
      </top>
      <bottom style="thin">
        <color theme="2" tint="-0.749961851863155"/>
      </bottom>
      <diagonal/>
    </border>
    <border>
      <left style="dotted">
        <color theme="2" tint="-0.499984740745262"/>
      </left>
      <right style="thin">
        <color theme="2" tint="-0.749961851863155"/>
      </right>
      <top style="dotted">
        <color theme="2" tint="-0.499984740745262"/>
      </top>
      <bottom style="thin">
        <color theme="2" tint="-0.749961851863155"/>
      </bottom>
      <diagonal/>
    </border>
    <border>
      <left style="dotted">
        <color rgb="FF494529"/>
      </left>
      <right style="dotted">
        <color rgb="FF494529"/>
      </right>
      <top style="dotted">
        <color rgb="FF494529"/>
      </top>
      <bottom style="dotted">
        <color rgb="FF494529"/>
      </bottom>
      <diagonal/>
    </border>
    <border>
      <left style="dotted">
        <color rgb="FF494529"/>
      </left>
      <right style="dotted">
        <color rgb="FF494529"/>
      </right>
      <top/>
      <bottom style="dotted">
        <color rgb="FF494529"/>
      </bottom>
      <diagonal/>
    </border>
    <border>
      <left style="medium">
        <color theme="2" tint="-0.499984740745262"/>
      </left>
      <right style="hair">
        <color theme="0" tint="-0.24994659260841701"/>
      </right>
      <top style="hair">
        <color theme="0" tint="-0.24994659260841701"/>
      </top>
      <bottom style="hair">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6" tint="-0.499984740745262"/>
      </top>
      <bottom style="hair">
        <color theme="6" tint="-0.499984740745262"/>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55" fillId="0" borderId="0"/>
    <xf numFmtId="0" fontId="55" fillId="0" borderId="0"/>
    <xf numFmtId="0" fontId="55" fillId="0" borderId="0"/>
  </cellStyleXfs>
  <cellXfs count="402">
    <xf numFmtId="0" fontId="0" fillId="0" borderId="0" xfId="0"/>
    <xf numFmtId="43" fontId="0" fillId="0" borderId="0" xfId="1" applyFont="1"/>
    <xf numFmtId="43" fontId="0" fillId="0" borderId="0" xfId="0" applyNumberFormat="1"/>
    <xf numFmtId="0" fontId="4" fillId="0" borderId="0" xfId="0" applyFont="1" applyBorder="1" applyProtection="1">
      <protection hidden="1"/>
    </xf>
    <xf numFmtId="0" fontId="4" fillId="0" borderId="0" xfId="0" applyFont="1" applyBorder="1" applyAlignment="1">
      <alignment horizontal="right"/>
    </xf>
    <xf numFmtId="0" fontId="4" fillId="0" borderId="0" xfId="0" applyFont="1" applyBorder="1" applyAlignment="1">
      <alignment horizontal="left"/>
    </xf>
    <xf numFmtId="0" fontId="9" fillId="4" borderId="0" xfId="0" applyFont="1" applyFill="1"/>
    <xf numFmtId="0" fontId="2" fillId="3" borderId="0" xfId="0" applyFont="1" applyFill="1" applyAlignment="1" applyProtection="1">
      <alignment horizontal="center" vertical="center"/>
      <protection hidden="1"/>
    </xf>
    <xf numFmtId="0" fontId="6" fillId="0" borderId="2" xfId="0" applyFont="1" applyBorder="1" applyAlignment="1" applyProtection="1">
      <alignment horizontal="center" vertical="center"/>
      <protection hidden="1"/>
    </xf>
    <xf numFmtId="0" fontId="10" fillId="0" borderId="0" xfId="0" applyFont="1" applyProtection="1">
      <protection hidden="1"/>
    </xf>
    <xf numFmtId="0" fontId="4" fillId="3" borderId="1" xfId="0" applyFont="1" applyFill="1" applyBorder="1" applyProtection="1">
      <protection hidden="1"/>
    </xf>
    <xf numFmtId="0" fontId="11" fillId="5" borderId="9" xfId="0" applyNumberFormat="1" applyFont="1" applyFill="1" applyBorder="1" applyAlignment="1" applyProtection="1">
      <alignment horizontal="center" vertical="center" textRotation="90" wrapText="1"/>
      <protection hidden="1"/>
    </xf>
    <xf numFmtId="2" fontId="11" fillId="5" borderId="9" xfId="0" applyNumberFormat="1" applyFont="1" applyFill="1" applyBorder="1" applyAlignment="1" applyProtection="1">
      <alignment horizontal="center" vertical="center" textRotation="90" wrapText="1"/>
      <protection hidden="1"/>
    </xf>
    <xf numFmtId="0" fontId="11" fillId="0" borderId="15" xfId="0" applyFont="1" applyBorder="1" applyAlignment="1" applyProtection="1">
      <alignment horizontal="center"/>
      <protection hidden="1"/>
    </xf>
    <xf numFmtId="168" fontId="11" fillId="0" borderId="16" xfId="0" applyNumberFormat="1" applyFont="1" applyBorder="1" applyAlignment="1" applyProtection="1">
      <alignment horizontal="center"/>
      <protection hidden="1"/>
    </xf>
    <xf numFmtId="0" fontId="11" fillId="0" borderId="16" xfId="0" applyNumberFormat="1" applyFont="1" applyFill="1" applyBorder="1" applyAlignment="1" applyProtection="1">
      <alignment horizontal="left"/>
      <protection hidden="1"/>
    </xf>
    <xf numFmtId="0" fontId="11" fillId="0" borderId="16" xfId="0" applyNumberFormat="1" applyFont="1" applyFill="1" applyBorder="1" applyAlignment="1" applyProtection="1">
      <alignment horizontal="center"/>
      <protection hidden="1"/>
    </xf>
    <xf numFmtId="9" fontId="11" fillId="0" borderId="17" xfId="0" applyNumberFormat="1" applyFont="1" applyFill="1" applyBorder="1" applyAlignment="1" applyProtection="1">
      <alignment horizontal="center"/>
      <protection hidden="1"/>
    </xf>
    <xf numFmtId="0" fontId="11" fillId="0" borderId="18" xfId="0" applyFont="1" applyBorder="1" applyAlignment="1" applyProtection="1">
      <alignment horizontal="center"/>
      <protection hidden="1"/>
    </xf>
    <xf numFmtId="168" fontId="11" fillId="6" borderId="2" xfId="0" applyNumberFormat="1" applyFont="1" applyFill="1" applyBorder="1" applyAlignment="1" applyProtection="1">
      <alignment horizontal="center"/>
      <protection hidden="1"/>
    </xf>
    <xf numFmtId="0" fontId="11" fillId="0" borderId="2" xfId="0" applyNumberFormat="1" applyFont="1" applyFill="1" applyBorder="1" applyAlignment="1" applyProtection="1">
      <alignment horizontal="left"/>
      <protection hidden="1"/>
    </xf>
    <xf numFmtId="0" fontId="11" fillId="0" borderId="19" xfId="0" applyNumberFormat="1" applyFont="1" applyFill="1" applyBorder="1" applyAlignment="1" applyProtection="1">
      <alignment horizontal="center"/>
      <protection hidden="1"/>
    </xf>
    <xf numFmtId="9" fontId="11" fillId="0" borderId="20" xfId="0" applyNumberFormat="1" applyFont="1" applyFill="1" applyBorder="1" applyAlignment="1" applyProtection="1">
      <alignment horizontal="center"/>
      <protection hidden="1"/>
    </xf>
    <xf numFmtId="10" fontId="0" fillId="0" borderId="0" xfId="2" applyNumberFormat="1" applyFont="1"/>
    <xf numFmtId="10" fontId="0" fillId="0" borderId="0" xfId="0" applyNumberFormat="1"/>
    <xf numFmtId="0" fontId="11" fillId="0" borderId="2" xfId="0" applyNumberFormat="1" applyFont="1" applyFill="1" applyBorder="1" applyAlignment="1" applyProtection="1">
      <alignment horizontal="center"/>
      <protection hidden="1"/>
    </xf>
    <xf numFmtId="168" fontId="11" fillId="7" borderId="2" xfId="0" applyNumberFormat="1" applyFont="1" applyFill="1" applyBorder="1" applyAlignment="1" applyProtection="1">
      <alignment horizontal="center"/>
      <protection hidden="1"/>
    </xf>
    <xf numFmtId="168" fontId="11" fillId="0" borderId="2" xfId="0" applyNumberFormat="1" applyFont="1" applyBorder="1" applyAlignment="1" applyProtection="1">
      <alignment horizontal="center"/>
      <protection hidden="1"/>
    </xf>
    <xf numFmtId="168" fontId="11" fillId="0" borderId="2" xfId="0" applyNumberFormat="1" applyFont="1" applyFill="1" applyBorder="1" applyAlignment="1" applyProtection="1">
      <alignment horizontal="center"/>
      <protection hidden="1"/>
    </xf>
    <xf numFmtId="0" fontId="11" fillId="0" borderId="18" xfId="0" applyFont="1" applyFill="1" applyBorder="1" applyAlignment="1" applyProtection="1">
      <alignment horizontal="center"/>
      <protection hidden="1"/>
    </xf>
    <xf numFmtId="0" fontId="11" fillId="6" borderId="19" xfId="0" applyNumberFormat="1" applyFont="1" applyFill="1" applyBorder="1" applyAlignment="1" applyProtection="1">
      <alignment horizontal="center"/>
      <protection hidden="1"/>
    </xf>
    <xf numFmtId="0" fontId="11" fillId="8" borderId="18" xfId="0" applyFont="1" applyFill="1" applyBorder="1" applyAlignment="1" applyProtection="1">
      <alignment horizontal="center"/>
      <protection hidden="1"/>
    </xf>
    <xf numFmtId="168" fontId="11" fillId="8" borderId="2" xfId="0" applyNumberFormat="1" applyFont="1" applyFill="1" applyBorder="1" applyAlignment="1" applyProtection="1">
      <alignment horizontal="center"/>
      <protection hidden="1"/>
    </xf>
    <xf numFmtId="0" fontId="11" fillId="8" borderId="2" xfId="0" applyNumberFormat="1" applyFont="1" applyFill="1" applyBorder="1" applyAlignment="1" applyProtection="1">
      <alignment horizontal="left"/>
      <protection hidden="1"/>
    </xf>
    <xf numFmtId="9" fontId="11" fillId="8" borderId="20" xfId="0" applyNumberFormat="1" applyFont="1" applyFill="1" applyBorder="1" applyAlignment="1" applyProtection="1">
      <alignment horizontal="center"/>
      <protection hidden="1"/>
    </xf>
    <xf numFmtId="0" fontId="11" fillId="0" borderId="21" xfId="0" applyFont="1" applyBorder="1" applyAlignment="1" applyProtection="1">
      <alignment horizontal="center"/>
      <protection hidden="1"/>
    </xf>
    <xf numFmtId="168" fontId="11" fillId="0" borderId="22" xfId="0" applyNumberFormat="1" applyFont="1" applyFill="1" applyBorder="1" applyAlignment="1" applyProtection="1">
      <alignment horizontal="center"/>
      <protection hidden="1"/>
    </xf>
    <xf numFmtId="0" fontId="11" fillId="0" borderId="22" xfId="0" applyNumberFormat="1" applyFont="1" applyFill="1" applyBorder="1" applyAlignment="1" applyProtection="1">
      <alignment horizontal="center"/>
      <protection hidden="1"/>
    </xf>
    <xf numFmtId="0" fontId="11" fillId="0" borderId="11" xfId="0" applyNumberFormat="1" applyFont="1" applyFill="1" applyBorder="1" applyAlignment="1" applyProtection="1">
      <alignment horizontal="center"/>
      <protection hidden="1"/>
    </xf>
    <xf numFmtId="9" fontId="11" fillId="0" borderId="12" xfId="0" applyNumberFormat="1" applyFont="1" applyFill="1" applyBorder="1" applyAlignment="1" applyProtection="1">
      <alignment horizontal="center"/>
      <protection hidden="1"/>
    </xf>
    <xf numFmtId="0" fontId="5" fillId="9" borderId="0" xfId="0" applyFont="1" applyFill="1" applyBorder="1" applyAlignment="1">
      <alignment horizontal="center" vertical="center"/>
    </xf>
    <xf numFmtId="0" fontId="12" fillId="8" borderId="23" xfId="0" applyFont="1" applyFill="1" applyBorder="1" applyAlignment="1" applyProtection="1">
      <alignment horizontal="left" indent="1"/>
      <protection locked="0"/>
    </xf>
    <xf numFmtId="0" fontId="13" fillId="10" borderId="0" xfId="0" applyFont="1" applyFill="1" applyAlignment="1">
      <alignment horizontal="center" vertical="center" wrapText="1"/>
    </xf>
    <xf numFmtId="0" fontId="3" fillId="0" borderId="2" xfId="0" applyFont="1" applyBorder="1" applyAlignment="1">
      <alignment horizontal="center" vertical="center"/>
    </xf>
    <xf numFmtId="10" fontId="3" fillId="0" borderId="2" xfId="2" applyNumberFormat="1" applyFont="1" applyBorder="1" applyAlignment="1">
      <alignment horizontal="center" vertical="center"/>
    </xf>
    <xf numFmtId="0" fontId="0" fillId="11" borderId="24" xfId="0" applyFill="1" applyBorder="1"/>
    <xf numFmtId="169" fontId="16" fillId="12" borderId="25" xfId="0" applyNumberFormat="1" applyFont="1" applyFill="1" applyBorder="1" applyAlignment="1">
      <alignment horizontal="center" vertical="center"/>
    </xf>
    <xf numFmtId="0" fontId="17" fillId="11" borderId="26" xfId="0" applyFont="1" applyFill="1" applyBorder="1" applyAlignment="1">
      <alignment horizontal="center" vertical="center" wrapText="1"/>
    </xf>
    <xf numFmtId="0" fontId="6" fillId="0" borderId="0" xfId="0" applyFont="1"/>
    <xf numFmtId="0" fontId="19" fillId="0" borderId="0" xfId="0" applyFont="1"/>
    <xf numFmtId="0" fontId="20" fillId="0" borderId="0" xfId="0" applyFont="1"/>
    <xf numFmtId="0" fontId="5" fillId="14" borderId="0" xfId="0" applyFont="1" applyFill="1"/>
    <xf numFmtId="0" fontId="0" fillId="0" borderId="27" xfId="0" applyBorder="1"/>
    <xf numFmtId="0" fontId="0" fillId="0" borderId="28" xfId="0" applyBorder="1"/>
    <xf numFmtId="0" fontId="0" fillId="0" borderId="29" xfId="0" applyBorder="1"/>
    <xf numFmtId="0" fontId="0" fillId="0" borderId="30" xfId="0" applyBorder="1"/>
    <xf numFmtId="0" fontId="0" fillId="0" borderId="0" xfId="0" applyBorder="1"/>
    <xf numFmtId="0" fontId="0" fillId="0" borderId="31" xfId="0" applyBorder="1"/>
    <xf numFmtId="0" fontId="4"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0" borderId="32" xfId="0" applyBorder="1"/>
    <xf numFmtId="0" fontId="0" fillId="0" borderId="33" xfId="0" applyBorder="1"/>
    <xf numFmtId="0" fontId="0" fillId="0" borderId="34" xfId="0" applyBorder="1"/>
    <xf numFmtId="0" fontId="4" fillId="20" borderId="0" xfId="0" applyFont="1" applyFill="1" applyBorder="1" applyAlignment="1">
      <alignment horizontal="center" vertical="center" wrapText="1"/>
    </xf>
    <xf numFmtId="0" fontId="4" fillId="21" borderId="0" xfId="0" applyFont="1" applyFill="1" applyBorder="1" applyAlignment="1">
      <alignment horizontal="center" vertical="center" wrapText="1"/>
    </xf>
    <xf numFmtId="166" fontId="23" fillId="26" borderId="1" xfId="0" applyNumberFormat="1" applyFont="1" applyFill="1" applyBorder="1" applyAlignment="1" applyProtection="1">
      <alignment horizontal="left" vertical="center"/>
      <protection locked="0" hidden="1"/>
    </xf>
    <xf numFmtId="0" fontId="7" fillId="27" borderId="0" xfId="0" applyFont="1" applyFill="1" applyBorder="1"/>
    <xf numFmtId="0" fontId="4" fillId="27" borderId="0" xfId="0" applyFont="1" applyFill="1" applyBorder="1" applyAlignment="1">
      <alignment horizontal="center" vertical="center" wrapText="1"/>
    </xf>
    <xf numFmtId="0" fontId="21" fillId="27" borderId="0" xfId="0" applyFont="1" applyFill="1" applyBorder="1" applyAlignment="1">
      <alignment horizontal="center" vertical="center" wrapText="1"/>
    </xf>
    <xf numFmtId="0" fontId="24" fillId="0" borderId="0" xfId="0" applyFont="1" applyBorder="1" applyAlignment="1">
      <alignment horizontal="left" vertical="center" indent="18"/>
    </xf>
    <xf numFmtId="0" fontId="24" fillId="0" borderId="0" xfId="0" applyFont="1" applyBorder="1" applyAlignment="1">
      <alignment horizontal="left" vertical="center" indent="16"/>
    </xf>
    <xf numFmtId="0" fontId="0" fillId="0" borderId="35" xfId="0" applyBorder="1" applyAlignment="1">
      <alignment vertical="center"/>
    </xf>
    <xf numFmtId="43" fontId="0" fillId="0" borderId="35" xfId="0" applyNumberFormat="1" applyBorder="1" applyAlignment="1">
      <alignment vertical="center"/>
    </xf>
    <xf numFmtId="165" fontId="26" fillId="13" borderId="35" xfId="2" applyNumberFormat="1" applyFont="1" applyFill="1" applyBorder="1" applyAlignment="1">
      <alignment horizontal="center" vertical="center"/>
    </xf>
    <xf numFmtId="2" fontId="14" fillId="12" borderId="35" xfId="0" applyNumberFormat="1" applyFont="1" applyFill="1" applyBorder="1" applyAlignment="1">
      <alignment vertical="center"/>
    </xf>
    <xf numFmtId="0" fontId="4" fillId="11" borderId="0" xfId="0" applyFont="1" applyFill="1" applyBorder="1" applyAlignment="1">
      <alignment horizontal="center" vertical="center" wrapText="1"/>
    </xf>
    <xf numFmtId="0" fontId="0" fillId="11" borderId="0" xfId="0" applyFill="1" applyBorder="1"/>
    <xf numFmtId="0" fontId="25" fillId="0" borderId="35" xfId="0" applyFont="1" applyBorder="1" applyAlignment="1">
      <alignment vertical="center"/>
    </xf>
    <xf numFmtId="0" fontId="0" fillId="3" borderId="36" xfId="0" applyFill="1" applyBorder="1" applyAlignment="1" applyProtection="1">
      <alignment horizontal="center" vertical="center"/>
      <protection locked="0"/>
    </xf>
    <xf numFmtId="0" fontId="8" fillId="11" borderId="24" xfId="0" applyFont="1" applyFill="1" applyBorder="1" applyAlignment="1">
      <alignment vertical="center"/>
    </xf>
    <xf numFmtId="0" fontId="27" fillId="11" borderId="37" xfId="0" applyFont="1" applyFill="1" applyBorder="1" applyAlignment="1">
      <alignment vertical="center"/>
    </xf>
    <xf numFmtId="0" fontId="27" fillId="11" borderId="0" xfId="0" applyFont="1" applyFill="1" applyBorder="1" applyAlignment="1">
      <alignment vertical="center"/>
    </xf>
    <xf numFmtId="0" fontId="9" fillId="4" borderId="0" xfId="0" applyFont="1" applyFill="1" applyBorder="1"/>
    <xf numFmtId="0" fontId="0" fillId="0" borderId="38" xfId="0" applyBorder="1"/>
    <xf numFmtId="171" fontId="7" fillId="0" borderId="0" xfId="0" applyNumberFormat="1" applyFont="1" applyBorder="1" applyAlignment="1">
      <alignment horizontal="center" vertical="center"/>
    </xf>
    <xf numFmtId="4" fontId="12" fillId="0" borderId="0" xfId="0" applyNumberFormat="1" applyFont="1" applyBorder="1"/>
    <xf numFmtId="10" fontId="28" fillId="4" borderId="0" xfId="2" applyNumberFormat="1" applyFont="1" applyFill="1" applyBorder="1"/>
    <xf numFmtId="0" fontId="28" fillId="4" borderId="0" xfId="0" applyFont="1" applyFill="1" applyBorder="1" applyAlignment="1">
      <alignment horizontal="right"/>
    </xf>
    <xf numFmtId="0" fontId="29" fillId="27" borderId="0" xfId="0" applyFont="1" applyFill="1" applyBorder="1"/>
    <xf numFmtId="10" fontId="31" fillId="27" borderId="0" xfId="2" applyNumberFormat="1" applyFont="1" applyFill="1" applyBorder="1"/>
    <xf numFmtId="10" fontId="31" fillId="27" borderId="0" xfId="2" applyNumberFormat="1" applyFont="1" applyFill="1" applyBorder="1" applyAlignment="1">
      <alignment horizontal="right"/>
    </xf>
    <xf numFmtId="10" fontId="31" fillId="27" borderId="0" xfId="2" applyNumberFormat="1" applyFont="1" applyFill="1" applyBorder="1" applyAlignment="1">
      <alignment horizontal="left"/>
    </xf>
    <xf numFmtId="43" fontId="3" fillId="0" borderId="35" xfId="1" applyFont="1" applyBorder="1" applyAlignment="1">
      <alignment horizontal="center" vertical="center" wrapText="1"/>
    </xf>
    <xf numFmtId="0" fontId="23" fillId="0" borderId="1" xfId="0" applyFont="1" applyBorder="1" applyAlignment="1">
      <alignment horizontal="center" vertical="center" wrapText="1"/>
    </xf>
    <xf numFmtId="0" fontId="23" fillId="30" borderId="1" xfId="0" applyFont="1" applyFill="1" applyBorder="1" applyAlignment="1">
      <alignment horizontal="center" vertical="center" wrapText="1"/>
    </xf>
    <xf numFmtId="0" fontId="23" fillId="15" borderId="1" xfId="0" applyFont="1" applyFill="1" applyBorder="1" applyAlignment="1">
      <alignment horizontal="center" vertical="center" wrapText="1"/>
    </xf>
    <xf numFmtId="0" fontId="23" fillId="16" borderId="1" xfId="0" applyFont="1" applyFill="1" applyBorder="1" applyAlignment="1">
      <alignment horizontal="center" vertical="center" wrapText="1"/>
    </xf>
    <xf numFmtId="0" fontId="13" fillId="25" borderId="1" xfId="0" applyFont="1" applyFill="1" applyBorder="1" applyAlignment="1">
      <alignment horizontal="center" vertical="center" wrapText="1"/>
    </xf>
    <xf numFmtId="0" fontId="14" fillId="0" borderId="0" xfId="0" applyFont="1" applyAlignment="1">
      <alignment horizontal="right"/>
    </xf>
    <xf numFmtId="0" fontId="2" fillId="16" borderId="39" xfId="0" applyFont="1" applyFill="1" applyBorder="1" applyAlignment="1" applyProtection="1">
      <alignment horizontal="center" vertical="center"/>
      <protection hidden="1"/>
    </xf>
    <xf numFmtId="0" fontId="2" fillId="16" borderId="39" xfId="0" applyNumberFormat="1" applyFont="1" applyFill="1" applyBorder="1" applyAlignment="1" applyProtection="1">
      <alignment horizontal="center" vertical="center"/>
      <protection hidden="1"/>
    </xf>
    <xf numFmtId="0" fontId="2" fillId="6" borderId="39" xfId="0" applyNumberFormat="1" applyFont="1" applyFill="1" applyBorder="1" applyAlignment="1" applyProtection="1">
      <alignment horizontal="center" vertical="center"/>
      <protection hidden="1"/>
    </xf>
    <xf numFmtId="172" fontId="14" fillId="0" borderId="1" xfId="2" applyNumberFormat="1" applyFont="1" applyFill="1" applyBorder="1"/>
    <xf numFmtId="0" fontId="14" fillId="0" borderId="0" xfId="0" applyFont="1"/>
    <xf numFmtId="0" fontId="18" fillId="0" borderId="40" xfId="0" applyFont="1" applyBorder="1" applyAlignment="1" applyProtection="1">
      <alignment horizontal="left" vertical="center"/>
      <protection hidden="1"/>
    </xf>
    <xf numFmtId="10" fontId="3" fillId="0" borderId="40" xfId="2" applyNumberFormat="1" applyFont="1" applyBorder="1" applyAlignment="1" applyProtection="1">
      <alignment horizontal="center" vertical="center"/>
      <protection hidden="1"/>
    </xf>
    <xf numFmtId="0" fontId="3" fillId="0" borderId="40" xfId="0" applyNumberFormat="1" applyFont="1" applyBorder="1" applyAlignment="1" applyProtection="1">
      <alignment horizontal="center" vertical="center"/>
      <protection hidden="1"/>
    </xf>
    <xf numFmtId="0" fontId="3" fillId="15" borderId="40" xfId="0" applyNumberFormat="1" applyFont="1" applyFill="1" applyBorder="1" applyAlignment="1" applyProtection="1">
      <alignment horizontal="center" vertical="center"/>
      <protection hidden="1"/>
    </xf>
    <xf numFmtId="172" fontId="0" fillId="0" borderId="0" xfId="0" applyNumberFormat="1"/>
    <xf numFmtId="10" fontId="6" fillId="8" borderId="1" xfId="0" applyNumberFormat="1" applyFont="1" applyFill="1" applyBorder="1"/>
    <xf numFmtId="172" fontId="14" fillId="0" borderId="0" xfId="2" applyNumberFormat="1" applyFont="1" applyFill="1" applyBorder="1"/>
    <xf numFmtId="10" fontId="32" fillId="0" borderId="0" xfId="0" applyNumberFormat="1" applyFont="1" applyFill="1" applyBorder="1" applyAlignment="1">
      <alignment horizontal="center" vertical="center"/>
    </xf>
    <xf numFmtId="10" fontId="33" fillId="3" borderId="0" xfId="0" applyNumberFormat="1" applyFont="1" applyFill="1" applyBorder="1" applyAlignment="1">
      <alignment horizontal="center" vertical="center"/>
    </xf>
    <xf numFmtId="10" fontId="33" fillId="6" borderId="0" xfId="0" applyNumberFormat="1" applyFont="1" applyFill="1" applyBorder="1" applyAlignment="1">
      <alignment horizontal="center" vertical="center"/>
    </xf>
    <xf numFmtId="10" fontId="14" fillId="6" borderId="0" xfId="0" applyNumberFormat="1" applyFont="1" applyFill="1" applyBorder="1" applyAlignment="1">
      <alignment horizontal="center"/>
    </xf>
    <xf numFmtId="10" fontId="14" fillId="3" borderId="0" xfId="0" applyNumberFormat="1" applyFont="1" applyFill="1" applyBorder="1" applyAlignment="1">
      <alignment horizontal="center"/>
    </xf>
    <xf numFmtId="0" fontId="7" fillId="22" borderId="0" xfId="0" applyFont="1" applyFill="1" applyBorder="1" applyAlignment="1">
      <alignment horizontal="center" vertical="center" wrapText="1"/>
    </xf>
    <xf numFmtId="0" fontId="23" fillId="22" borderId="0" xfId="0" applyFont="1" applyFill="1" applyBorder="1" applyAlignment="1">
      <alignment horizontal="center" vertical="center" wrapText="1"/>
    </xf>
    <xf numFmtId="0" fontId="23" fillId="22" borderId="41" xfId="0" applyFont="1" applyFill="1" applyBorder="1" applyAlignment="1">
      <alignment horizontal="center" vertical="center" wrapText="1"/>
    </xf>
    <xf numFmtId="43" fontId="34" fillId="9" borderId="0" xfId="1" applyFont="1" applyFill="1" applyAlignment="1">
      <alignment horizontal="center" vertical="center" wrapText="1"/>
    </xf>
    <xf numFmtId="0" fontId="35" fillId="22" borderId="0" xfId="0" applyFont="1" applyFill="1" applyBorder="1" applyAlignment="1">
      <alignment horizontal="center" vertical="center" wrapText="1"/>
    </xf>
    <xf numFmtId="0" fontId="36" fillId="0" borderId="0" xfId="0" applyFont="1" applyAlignment="1">
      <alignment vertical="center"/>
    </xf>
    <xf numFmtId="0" fontId="0" fillId="0" borderId="0" xfId="0" applyAlignment="1">
      <alignment vertical="center"/>
    </xf>
    <xf numFmtId="0" fontId="37" fillId="3" borderId="42" xfId="0" applyFont="1" applyFill="1" applyBorder="1" applyAlignment="1">
      <alignment horizontal="left" vertical="center" indent="1"/>
    </xf>
    <xf numFmtId="173" fontId="18" fillId="3" borderId="43" xfId="1" applyNumberFormat="1" applyFont="1" applyFill="1" applyBorder="1" applyAlignment="1" applyProtection="1">
      <alignment horizontal="center" vertical="center"/>
      <protection hidden="1"/>
    </xf>
    <xf numFmtId="40" fontId="36" fillId="3" borderId="44" xfId="1" applyNumberFormat="1" applyFont="1" applyFill="1" applyBorder="1" applyAlignment="1">
      <alignment horizontal="center" vertical="center"/>
    </xf>
    <xf numFmtId="174" fontId="33" fillId="3" borderId="44" xfId="1" applyNumberFormat="1" applyFont="1" applyFill="1" applyBorder="1" applyAlignment="1">
      <alignment horizontal="center" vertical="center"/>
    </xf>
    <xf numFmtId="10" fontId="36" fillId="3" borderId="44" xfId="2" applyNumberFormat="1" applyFont="1" applyFill="1" applyBorder="1" applyAlignment="1">
      <alignment horizontal="center" vertical="center"/>
    </xf>
    <xf numFmtId="40" fontId="36" fillId="0" borderId="44" xfId="1" applyNumberFormat="1" applyFont="1" applyBorder="1" applyAlignment="1">
      <alignment horizontal="center" vertical="center"/>
    </xf>
    <xf numFmtId="40" fontId="36" fillId="8" borderId="44" xfId="1" applyNumberFormat="1" applyFont="1" applyFill="1" applyBorder="1" applyAlignment="1">
      <alignment horizontal="center" vertical="center"/>
    </xf>
    <xf numFmtId="0" fontId="19" fillId="0" borderId="44" xfId="0" applyFont="1" applyBorder="1"/>
    <xf numFmtId="9" fontId="36" fillId="0" borderId="44" xfId="2" applyNumberFormat="1" applyFont="1" applyBorder="1" applyAlignment="1">
      <alignment horizontal="center" vertical="center"/>
    </xf>
    <xf numFmtId="40" fontId="38" fillId="0" borderId="44" xfId="1" applyNumberFormat="1" applyFont="1" applyBorder="1" applyAlignment="1">
      <alignment horizontal="center" vertical="center"/>
    </xf>
    <xf numFmtId="0" fontId="37" fillId="0" borderId="42" xfId="0" applyFont="1" applyBorder="1" applyAlignment="1">
      <alignment horizontal="left" vertical="center" indent="1"/>
    </xf>
    <xf numFmtId="165" fontId="32" fillId="8" borderId="45" xfId="0" applyNumberFormat="1" applyFont="1" applyFill="1" applyBorder="1" applyAlignment="1">
      <alignment horizontal="center" vertical="center"/>
    </xf>
    <xf numFmtId="10" fontId="14" fillId="0" borderId="45" xfId="2" applyNumberFormat="1" applyFont="1" applyBorder="1"/>
    <xf numFmtId="10" fontId="36" fillId="3" borderId="46" xfId="2" applyNumberFormat="1" applyFont="1" applyFill="1" applyBorder="1" applyAlignment="1">
      <alignment horizontal="center" vertical="center"/>
    </xf>
    <xf numFmtId="10" fontId="36" fillId="3" borderId="47" xfId="2" applyNumberFormat="1" applyFont="1" applyFill="1" applyBorder="1" applyAlignment="1">
      <alignment horizontal="center" vertical="center"/>
    </xf>
    <xf numFmtId="40" fontId="36" fillId="3" borderId="48" xfId="1" applyNumberFormat="1" applyFont="1" applyFill="1" applyBorder="1" applyAlignment="1">
      <alignment horizontal="center" vertical="center"/>
    </xf>
    <xf numFmtId="175" fontId="33" fillId="3" borderId="44" xfId="1" applyNumberFormat="1" applyFont="1" applyFill="1" applyBorder="1" applyAlignment="1">
      <alignment horizontal="center" vertical="center"/>
    </xf>
    <xf numFmtId="0" fontId="6" fillId="0" borderId="0" xfId="0" applyFont="1" applyAlignment="1">
      <alignment horizontal="center" vertical="center" wrapText="1"/>
    </xf>
    <xf numFmtId="0" fontId="39" fillId="0" borderId="0" xfId="0" applyFont="1" applyAlignment="1">
      <alignment horizontal="center" vertical="center" wrapText="1"/>
    </xf>
    <xf numFmtId="0" fontId="6" fillId="0" borderId="49" xfId="0" applyFont="1" applyBorder="1"/>
    <xf numFmtId="0" fontId="6" fillId="0" borderId="49" xfId="0" applyFont="1" applyBorder="1" applyAlignment="1">
      <alignment horizontal="center" vertical="center"/>
    </xf>
    <xf numFmtId="0" fontId="4" fillId="3" borderId="49" xfId="0" applyFont="1" applyFill="1" applyBorder="1" applyAlignment="1">
      <alignment horizontal="center" vertical="center"/>
    </xf>
    <xf numFmtId="43" fontId="3" fillId="0" borderId="0" xfId="1" applyFont="1"/>
    <xf numFmtId="0" fontId="0" fillId="0" borderId="50" xfId="0" applyBorder="1"/>
    <xf numFmtId="0" fontId="8" fillId="0" borderId="0" xfId="0" applyFont="1"/>
    <xf numFmtId="0" fontId="7" fillId="0" borderId="0" xfId="0" applyFont="1"/>
    <xf numFmtId="0" fontId="13" fillId="23" borderId="0" xfId="0" applyFont="1" applyFill="1" applyAlignment="1">
      <alignment horizontal="center" vertical="center" wrapText="1"/>
    </xf>
    <xf numFmtId="0" fontId="5" fillId="23" borderId="0" xfId="0" applyFont="1" applyFill="1"/>
    <xf numFmtId="0" fontId="34" fillId="33" borderId="0" xfId="0" applyFont="1" applyFill="1" applyAlignment="1">
      <alignment horizontal="center" vertical="center" wrapText="1"/>
    </xf>
    <xf numFmtId="0" fontId="13" fillId="19" borderId="0" xfId="0" applyFont="1" applyFill="1" applyAlignment="1">
      <alignment horizontal="center" vertical="center" wrapText="1"/>
    </xf>
    <xf numFmtId="0" fontId="34" fillId="32" borderId="0" xfId="0" applyFont="1" applyFill="1" applyAlignment="1">
      <alignment horizontal="center" vertical="center" wrapText="1"/>
    </xf>
    <xf numFmtId="0" fontId="13" fillId="34" borderId="0" xfId="0" applyFont="1" applyFill="1" applyAlignment="1">
      <alignment horizontal="center" vertical="center" wrapText="1"/>
    </xf>
    <xf numFmtId="0" fontId="21" fillId="20" borderId="0" xfId="0" applyFont="1" applyFill="1" applyAlignment="1">
      <alignment horizontal="center" vertical="center" wrapText="1"/>
    </xf>
    <xf numFmtId="0" fontId="21" fillId="20" borderId="0" xfId="0" applyFont="1" applyFill="1" applyAlignment="1">
      <alignment horizontal="center" vertical="center"/>
    </xf>
    <xf numFmtId="0" fontId="34" fillId="29" borderId="50" xfId="0" applyFont="1" applyFill="1" applyBorder="1" applyAlignment="1">
      <alignment horizontal="center" vertical="center" wrapText="1"/>
    </xf>
    <xf numFmtId="0" fontId="23" fillId="11" borderId="0" xfId="0" applyFont="1" applyFill="1" applyAlignment="1">
      <alignment horizontal="center" vertical="center" wrapText="1"/>
    </xf>
    <xf numFmtId="0" fontId="13" fillId="17" borderId="0" xfId="0" applyFont="1" applyFill="1" applyAlignment="1">
      <alignment horizontal="center" vertical="center" wrapText="1"/>
    </xf>
    <xf numFmtId="0" fontId="12" fillId="3" borderId="23" xfId="0" applyFont="1" applyFill="1" applyBorder="1" applyAlignment="1" applyProtection="1">
      <alignment horizontal="left" indent="1"/>
      <protection locked="0"/>
    </xf>
    <xf numFmtId="0" fontId="5" fillId="17" borderId="0" xfId="0" applyFont="1" applyFill="1" applyBorder="1" applyAlignment="1">
      <alignment horizontal="center" vertical="center"/>
    </xf>
    <xf numFmtId="0" fontId="41" fillId="11" borderId="0" xfId="0" applyFont="1" applyFill="1" applyBorder="1" applyAlignment="1">
      <alignment horizontal="left" vertical="center"/>
    </xf>
    <xf numFmtId="0" fontId="19" fillId="0" borderId="51" xfId="0" applyFont="1" applyBorder="1"/>
    <xf numFmtId="0" fontId="18" fillId="3" borderId="51" xfId="0" applyFont="1" applyFill="1" applyBorder="1"/>
    <xf numFmtId="2" fontId="0" fillId="0" borderId="51" xfId="0" applyNumberFormat="1" applyBorder="1" applyAlignment="1">
      <alignment horizontal="center" vertical="center"/>
    </xf>
    <xf numFmtId="2" fontId="19" fillId="3" borderId="51" xfId="0" applyNumberFormat="1" applyFont="1" applyFill="1" applyBorder="1" applyAlignment="1">
      <alignment horizontal="left" vertical="center" indent="1"/>
    </xf>
    <xf numFmtId="2" fontId="6" fillId="31" borderId="51" xfId="0" applyNumberFormat="1" applyFont="1" applyFill="1" applyBorder="1" applyAlignment="1">
      <alignment horizontal="center" vertical="center"/>
    </xf>
    <xf numFmtId="2" fontId="6" fillId="28" borderId="51" xfId="0" applyNumberFormat="1" applyFont="1" applyFill="1" applyBorder="1" applyAlignment="1">
      <alignment horizontal="center" vertical="center"/>
    </xf>
    <xf numFmtId="0" fontId="4" fillId="0" borderId="52" xfId="0" applyFont="1" applyBorder="1" applyAlignment="1">
      <alignment horizontal="center" vertical="center"/>
    </xf>
    <xf numFmtId="0" fontId="18" fillId="0" borderId="53" xfId="0" applyFont="1" applyBorder="1" applyAlignment="1">
      <alignment horizontal="center" vertical="center"/>
    </xf>
    <xf numFmtId="0" fontId="18" fillId="0" borderId="54" xfId="0" applyFont="1" applyBorder="1" applyAlignment="1">
      <alignment horizontal="center" vertical="center"/>
    </xf>
    <xf numFmtId="43" fontId="3" fillId="3" borderId="55" xfId="1" applyFont="1" applyFill="1" applyBorder="1" applyAlignment="1">
      <alignment horizontal="left"/>
    </xf>
    <xf numFmtId="43" fontId="3" fillId="3" borderId="56" xfId="1" applyFont="1" applyFill="1" applyBorder="1" applyAlignment="1">
      <alignment horizontal="center"/>
    </xf>
    <xf numFmtId="0" fontId="21" fillId="3" borderId="56" xfId="0" applyFont="1" applyFill="1" applyBorder="1" applyAlignment="1">
      <alignment horizontal="center" vertical="center"/>
    </xf>
    <xf numFmtId="169" fontId="12" fillId="3" borderId="56" xfId="1" applyNumberFormat="1" applyFont="1" applyFill="1" applyBorder="1" applyAlignment="1">
      <alignment horizontal="center" vertical="center"/>
    </xf>
    <xf numFmtId="4" fontId="12" fillId="3" borderId="56" xfId="1" applyNumberFormat="1" applyFont="1" applyFill="1" applyBorder="1" applyAlignment="1">
      <alignment horizontal="center" vertical="center"/>
    </xf>
    <xf numFmtId="2" fontId="2" fillId="35" borderId="56" xfId="0" applyNumberFormat="1" applyFont="1" applyFill="1" applyBorder="1" applyAlignment="1">
      <alignment horizontal="center" vertical="center"/>
    </xf>
    <xf numFmtId="4" fontId="12" fillId="12" borderId="56" xfId="1" applyNumberFormat="1" applyFont="1" applyFill="1" applyBorder="1" applyAlignment="1">
      <alignment horizontal="center" vertical="center"/>
    </xf>
    <xf numFmtId="0" fontId="18" fillId="3" borderId="0" xfId="0" applyFont="1" applyFill="1"/>
    <xf numFmtId="0" fontId="4" fillId="0" borderId="57" xfId="0" applyFont="1" applyBorder="1" applyAlignment="1">
      <alignment horizontal="center" vertical="center"/>
    </xf>
    <xf numFmtId="0" fontId="18" fillId="0" borderId="58" xfId="0" applyFont="1" applyBorder="1" applyAlignment="1">
      <alignment horizontal="center" vertical="center"/>
    </xf>
    <xf numFmtId="0" fontId="18" fillId="0" borderId="59" xfId="0" applyFont="1" applyBorder="1" applyAlignment="1">
      <alignment horizontal="center" vertical="center"/>
    </xf>
    <xf numFmtId="2" fontId="0" fillId="0" borderId="0" xfId="0" applyNumberFormat="1"/>
    <xf numFmtId="169" fontId="12" fillId="3" borderId="56" xfId="0" applyNumberFormat="1" applyFont="1" applyFill="1" applyBorder="1" applyAlignment="1">
      <alignment horizontal="center" vertical="center"/>
    </xf>
    <xf numFmtId="0" fontId="12" fillId="3" borderId="56" xfId="0" applyFont="1" applyFill="1" applyBorder="1" applyAlignment="1">
      <alignment horizontal="center" vertical="center"/>
    </xf>
    <xf numFmtId="169" fontId="0" fillId="8" borderId="0" xfId="0" applyNumberFormat="1" applyFill="1"/>
    <xf numFmtId="0" fontId="21" fillId="20" borderId="60" xfId="0" applyFont="1" applyFill="1" applyBorder="1" applyAlignment="1">
      <alignment horizontal="center" vertical="center" wrapText="1"/>
    </xf>
    <xf numFmtId="0" fontId="21" fillId="20" borderId="61" xfId="0" applyFont="1" applyFill="1" applyBorder="1" applyAlignment="1">
      <alignment horizontal="center" vertical="center" wrapText="1"/>
    </xf>
    <xf numFmtId="0" fontId="21" fillId="20" borderId="61" xfId="0" applyFont="1" applyFill="1" applyBorder="1" applyAlignment="1">
      <alignment horizontal="center" vertical="center"/>
    </xf>
    <xf numFmtId="0" fontId="21" fillId="20" borderId="62" xfId="0" applyFont="1" applyFill="1" applyBorder="1" applyAlignment="1">
      <alignment horizontal="center" vertical="center" wrapText="1"/>
    </xf>
    <xf numFmtId="0" fontId="14" fillId="0" borderId="63" xfId="0" applyFont="1" applyBorder="1"/>
    <xf numFmtId="0" fontId="6" fillId="0" borderId="64" xfId="0" applyFont="1" applyBorder="1" applyAlignment="1">
      <alignment horizontal="center" vertical="center"/>
    </xf>
    <xf numFmtId="0" fontId="6" fillId="3" borderId="64" xfId="0" applyFont="1" applyFill="1" applyBorder="1" applyAlignment="1">
      <alignment horizontal="center" vertical="center"/>
    </xf>
    <xf numFmtId="0" fontId="6" fillId="0" borderId="65" xfId="0" applyFont="1" applyBorder="1" applyAlignment="1">
      <alignment horizontal="center" vertical="center"/>
    </xf>
    <xf numFmtId="0" fontId="15" fillId="0" borderId="0" xfId="0" applyFont="1"/>
    <xf numFmtId="0" fontId="4" fillId="0" borderId="66" xfId="0" applyFont="1" applyBorder="1" applyAlignment="1">
      <alignment horizontal="center" vertical="center"/>
    </xf>
    <xf numFmtId="0" fontId="18" fillId="0" borderId="67" xfId="0" applyFont="1" applyBorder="1" applyAlignment="1">
      <alignment horizontal="center" vertical="center"/>
    </xf>
    <xf numFmtId="0" fontId="18" fillId="0" borderId="68" xfId="0" applyFont="1" applyBorder="1" applyAlignment="1">
      <alignment horizontal="center" vertical="center"/>
    </xf>
    <xf numFmtId="40" fontId="0" fillId="0" borderId="0" xfId="0" applyNumberFormat="1"/>
    <xf numFmtId="0" fontId="14" fillId="0" borderId="69" xfId="0" applyFont="1" applyBorder="1"/>
    <xf numFmtId="0" fontId="6" fillId="0" borderId="70" xfId="0" applyFont="1" applyBorder="1" applyAlignment="1">
      <alignment horizontal="center" vertical="center"/>
    </xf>
    <xf numFmtId="0" fontId="6" fillId="3" borderId="70" xfId="0" applyFont="1" applyFill="1" applyBorder="1" applyAlignment="1">
      <alignment horizontal="center" vertical="center"/>
    </xf>
    <xf numFmtId="0" fontId="6" fillId="0" borderId="71" xfId="0" applyFont="1" applyBorder="1" applyAlignment="1">
      <alignment horizontal="center" vertical="center"/>
    </xf>
    <xf numFmtId="0" fontId="42" fillId="3" borderId="72" xfId="0" applyFont="1" applyFill="1" applyBorder="1" applyAlignment="1">
      <alignment vertical="center"/>
    </xf>
    <xf numFmtId="0" fontId="43" fillId="0" borderId="0" xfId="0" applyFont="1" applyAlignment="1">
      <alignment vertical="center" wrapText="1"/>
    </xf>
    <xf numFmtId="0" fontId="44" fillId="36" borderId="0" xfId="0" applyFont="1" applyFill="1" applyAlignment="1">
      <alignment horizontal="center" vertical="center"/>
    </xf>
    <xf numFmtId="0" fontId="42" fillId="3" borderId="73" xfId="0" applyFont="1" applyFill="1" applyBorder="1" applyAlignment="1">
      <alignment vertical="center"/>
    </xf>
    <xf numFmtId="0" fontId="43" fillId="0" borderId="0" xfId="0" applyFont="1" applyAlignment="1">
      <alignment horizontal="center" vertical="center" wrapText="1"/>
    </xf>
    <xf numFmtId="0" fontId="3" fillId="3" borderId="0" xfId="0" applyFont="1" applyFill="1"/>
    <xf numFmtId="0" fontId="13" fillId="14" borderId="0" xfId="0" applyFont="1" applyFill="1"/>
    <xf numFmtId="176" fontId="12" fillId="20" borderId="35" xfId="0" applyNumberFormat="1" applyFont="1" applyFill="1" applyBorder="1" applyAlignment="1">
      <alignment vertical="center"/>
    </xf>
    <xf numFmtId="177" fontId="7" fillId="0" borderId="35" xfId="0" applyNumberFormat="1" applyFont="1" applyBorder="1" applyAlignment="1">
      <alignment vertical="center"/>
    </xf>
    <xf numFmtId="2" fontId="3" fillId="0" borderId="35" xfId="0" applyNumberFormat="1" applyFont="1" applyFill="1" applyBorder="1" applyAlignment="1">
      <alignment horizontal="center" vertical="center" wrapText="1"/>
    </xf>
    <xf numFmtId="0" fontId="21" fillId="37" borderId="1" xfId="0" applyFont="1" applyFill="1" applyBorder="1" applyAlignment="1">
      <alignment horizontal="center"/>
    </xf>
    <xf numFmtId="0" fontId="45" fillId="37" borderId="0" xfId="0" applyFont="1" applyFill="1" applyBorder="1" applyAlignment="1"/>
    <xf numFmtId="0" fontId="0" fillId="2" borderId="36" xfId="0" applyFill="1" applyBorder="1" applyAlignment="1" applyProtection="1">
      <alignment horizontal="center" vertical="center"/>
      <protection locked="0"/>
    </xf>
    <xf numFmtId="0" fontId="0" fillId="22" borderId="0" xfId="0" applyFill="1"/>
    <xf numFmtId="10" fontId="3" fillId="0" borderId="35" xfId="2" applyNumberFormat="1" applyFont="1" applyBorder="1" applyAlignment="1">
      <alignment horizontal="center" vertical="center" wrapText="1"/>
    </xf>
    <xf numFmtId="10" fontId="0" fillId="22" borderId="0" xfId="2" applyNumberFormat="1" applyFont="1" applyFill="1"/>
    <xf numFmtId="0" fontId="21" fillId="37" borderId="1" xfId="0" applyFont="1" applyFill="1" applyBorder="1" applyAlignment="1">
      <alignment horizontal="center" wrapText="1"/>
    </xf>
    <xf numFmtId="178" fontId="23" fillId="0" borderId="1" xfId="0" applyNumberFormat="1" applyFont="1" applyBorder="1" applyAlignment="1">
      <alignment horizontal="center" vertical="center" wrapText="1"/>
    </xf>
    <xf numFmtId="178" fontId="23" fillId="30" borderId="1" xfId="0" applyNumberFormat="1" applyFont="1" applyFill="1" applyBorder="1" applyAlignment="1">
      <alignment horizontal="center" vertical="center" wrapText="1"/>
    </xf>
    <xf numFmtId="178" fontId="23" fillId="15"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178" fontId="13" fillId="25" borderId="1" xfId="0" applyNumberFormat="1" applyFont="1" applyFill="1" applyBorder="1" applyAlignment="1">
      <alignment horizontal="center" vertical="center" wrapText="1"/>
    </xf>
    <xf numFmtId="0" fontId="18" fillId="0" borderId="0" xfId="0" applyFont="1"/>
    <xf numFmtId="0" fontId="47" fillId="0" borderId="0" xfId="0" applyFont="1"/>
    <xf numFmtId="0" fontId="34" fillId="39" borderId="0" xfId="0" applyFont="1" applyFill="1" applyAlignment="1">
      <alignment horizontal="center" vertical="center" wrapText="1"/>
    </xf>
    <xf numFmtId="0" fontId="23" fillId="11" borderId="1" xfId="0" applyFont="1" applyFill="1" applyBorder="1" applyAlignment="1">
      <alignment horizontal="center" wrapText="1"/>
    </xf>
    <xf numFmtId="0" fontId="48" fillId="40" borderId="0" xfId="0" applyFont="1" applyFill="1"/>
    <xf numFmtId="10" fontId="48" fillId="40" borderId="0" xfId="2" applyNumberFormat="1" applyFont="1" applyFill="1"/>
    <xf numFmtId="0" fontId="49" fillId="32" borderId="74" xfId="0" applyFont="1" applyFill="1" applyBorder="1" applyAlignment="1" applyProtection="1">
      <alignment horizontal="center" vertical="center" wrapText="1"/>
      <protection hidden="1"/>
    </xf>
    <xf numFmtId="10" fontId="49" fillId="32" borderId="74" xfId="2" applyNumberFormat="1" applyFont="1" applyFill="1" applyBorder="1" applyAlignment="1" applyProtection="1">
      <alignment horizontal="center" vertical="center" wrapText="1"/>
      <protection hidden="1"/>
    </xf>
    <xf numFmtId="0" fontId="18" fillId="0" borderId="2" xfId="0" applyFont="1" applyBorder="1" applyAlignment="1" applyProtection="1">
      <alignment horizontal="center" vertical="center"/>
      <protection hidden="1"/>
    </xf>
    <xf numFmtId="0" fontId="2" fillId="31" borderId="0" xfId="0" applyFont="1" applyFill="1" applyAlignment="1" applyProtection="1">
      <alignment horizontal="center" vertical="center"/>
      <protection hidden="1"/>
    </xf>
    <xf numFmtId="43" fontId="0" fillId="22" borderId="0" xfId="1" applyFont="1" applyFill="1"/>
    <xf numFmtId="43" fontId="3" fillId="0" borderId="35" xfId="1" applyFont="1" applyBorder="1" applyAlignment="1">
      <alignment horizontal="center" wrapText="1"/>
    </xf>
    <xf numFmtId="180" fontId="3" fillId="0" borderId="35" xfId="0" applyNumberFormat="1" applyFont="1" applyBorder="1" applyAlignment="1"/>
    <xf numFmtId="0" fontId="0" fillId="38" borderId="0" xfId="0" applyFill="1" applyAlignment="1"/>
    <xf numFmtId="43" fontId="14" fillId="12" borderId="35" xfId="1" applyFont="1" applyFill="1" applyBorder="1" applyAlignment="1">
      <alignment vertical="center"/>
    </xf>
    <xf numFmtId="43" fontId="14" fillId="11" borderId="0" xfId="1" applyFont="1" applyFill="1" applyBorder="1"/>
    <xf numFmtId="2" fontId="50" fillId="0" borderId="35" xfId="0" applyNumberFormat="1" applyFont="1" applyBorder="1" applyAlignment="1">
      <alignment vertical="center"/>
    </xf>
    <xf numFmtId="165" fontId="3" fillId="0" borderId="35" xfId="2" applyNumberFormat="1" applyFont="1" applyBorder="1" applyAlignment="1">
      <alignment horizontal="center" vertical="center" wrapText="1"/>
    </xf>
    <xf numFmtId="0" fontId="3" fillId="41" borderId="0" xfId="0" applyFont="1" applyFill="1" applyAlignment="1">
      <alignment horizontal="center" vertical="center" wrapText="1"/>
    </xf>
    <xf numFmtId="0" fontId="0" fillId="25" borderId="0" xfId="0" applyFill="1"/>
    <xf numFmtId="43" fontId="3" fillId="30" borderId="35" xfId="1" applyFont="1" applyFill="1" applyBorder="1" applyAlignment="1">
      <alignment horizontal="center" vertical="center" wrapText="1"/>
    </xf>
    <xf numFmtId="0" fontId="0" fillId="0" borderId="0" xfId="0" applyProtection="1">
      <protection hidden="1"/>
    </xf>
    <xf numFmtId="0" fontId="0" fillId="0" borderId="75" xfId="0" applyBorder="1" applyProtection="1">
      <protection hidden="1"/>
    </xf>
    <xf numFmtId="0" fontId="0" fillId="0" borderId="76" xfId="0" applyBorder="1" applyProtection="1">
      <protection hidden="1"/>
    </xf>
    <xf numFmtId="0" fontId="0" fillId="0" borderId="77" xfId="0" applyBorder="1" applyProtection="1">
      <protection hidden="1"/>
    </xf>
    <xf numFmtId="0" fontId="0" fillId="0" borderId="78" xfId="0" applyBorder="1" applyProtection="1">
      <protection hidden="1"/>
    </xf>
    <xf numFmtId="0" fontId="9" fillId="0" borderId="0" xfId="0" applyFont="1" applyFill="1" applyBorder="1" applyAlignment="1" applyProtection="1">
      <alignment vertical="center" wrapText="1"/>
      <protection hidden="1"/>
    </xf>
    <xf numFmtId="0" fontId="52" fillId="0" borderId="0" xfId="0" applyFont="1" applyFill="1" applyBorder="1" applyAlignment="1" applyProtection="1">
      <alignment horizontal="right" vertical="center" wrapText="1"/>
      <protection hidden="1"/>
    </xf>
    <xf numFmtId="0" fontId="0" fillId="0" borderId="79" xfId="0" applyBorder="1" applyProtection="1">
      <protection hidden="1"/>
    </xf>
    <xf numFmtId="0" fontId="18" fillId="0" borderId="0" xfId="0" applyFont="1" applyProtection="1">
      <protection hidden="1"/>
    </xf>
    <xf numFmtId="0" fontId="0" fillId="0" borderId="0" xfId="0" applyBorder="1" applyProtection="1">
      <protection hidden="1"/>
    </xf>
    <xf numFmtId="164" fontId="0" fillId="0" borderId="0" xfId="3" applyFont="1" applyBorder="1" applyProtection="1">
      <protection hidden="1"/>
    </xf>
    <xf numFmtId="0" fontId="23" fillId="44" borderId="0" xfId="0" applyFont="1" applyFill="1" applyProtection="1">
      <protection hidden="1"/>
    </xf>
    <xf numFmtId="0" fontId="48" fillId="42" borderId="0" xfId="0" applyFont="1" applyFill="1" applyBorder="1" applyProtection="1">
      <protection hidden="1"/>
    </xf>
    <xf numFmtId="0" fontId="5" fillId="42" borderId="0" xfId="0" applyFont="1" applyFill="1" applyBorder="1" applyProtection="1">
      <protection hidden="1"/>
    </xf>
    <xf numFmtId="0" fontId="18" fillId="0" borderId="1" xfId="0" applyFont="1" applyBorder="1" applyAlignment="1" applyProtection="1">
      <alignment horizontal="left" vertical="center"/>
      <protection hidden="1"/>
    </xf>
    <xf numFmtId="14" fontId="6" fillId="0" borderId="1" xfId="0" applyNumberFormat="1" applyFont="1" applyFill="1" applyBorder="1" applyAlignment="1" applyProtection="1">
      <alignment horizontal="center"/>
      <protection hidden="1"/>
    </xf>
    <xf numFmtId="0" fontId="0" fillId="0" borderId="0" xfId="0" applyBorder="1" applyAlignment="1" applyProtection="1">
      <alignment horizontal="left"/>
      <protection hidden="1"/>
    </xf>
    <xf numFmtId="0" fontId="53" fillId="42" borderId="0" xfId="0" applyFont="1" applyFill="1" applyBorder="1" applyProtection="1">
      <protection hidden="1"/>
    </xf>
    <xf numFmtId="0" fontId="28" fillId="42" borderId="0" xfId="0" applyFont="1" applyFill="1" applyBorder="1" applyProtection="1">
      <protection hidden="1"/>
    </xf>
    <xf numFmtId="0" fontId="0" fillId="0" borderId="1" xfId="0" applyNumberFormat="1" applyBorder="1" applyProtection="1">
      <protection hidden="1"/>
    </xf>
    <xf numFmtId="0" fontId="4" fillId="0" borderId="0" xfId="0" applyFont="1" applyFill="1" applyBorder="1" applyAlignment="1" applyProtection="1">
      <protection hidden="1"/>
    </xf>
    <xf numFmtId="43" fontId="6" fillId="45" borderId="1" xfId="1" applyFont="1" applyFill="1" applyBorder="1" applyAlignment="1" applyProtection="1">
      <alignment horizontal="center" vertical="center"/>
      <protection hidden="1"/>
    </xf>
    <xf numFmtId="0" fontId="18" fillId="0" borderId="1" xfId="0" applyFont="1" applyBorder="1" applyAlignment="1" applyProtection="1">
      <alignment horizontal="center" vertical="center"/>
      <protection hidden="1"/>
    </xf>
    <xf numFmtId="0" fontId="4" fillId="46" borderId="0" xfId="0" applyFont="1" applyFill="1" applyBorder="1" applyProtection="1">
      <protection hidden="1"/>
    </xf>
    <xf numFmtId="0" fontId="14" fillId="3" borderId="1" xfId="0" applyFont="1" applyFill="1" applyBorder="1" applyProtection="1">
      <protection locked="0" hidden="1"/>
    </xf>
    <xf numFmtId="0" fontId="6" fillId="0" borderId="1" xfId="0" applyFont="1" applyBorder="1" applyProtection="1">
      <protection hidden="1"/>
    </xf>
    <xf numFmtId="0" fontId="0" fillId="0" borderId="1" xfId="0" applyBorder="1" applyProtection="1">
      <protection hidden="1"/>
    </xf>
    <xf numFmtId="0" fontId="2" fillId="0" borderId="1" xfId="0" applyFont="1" applyFill="1" applyBorder="1" applyAlignment="1" applyProtection="1">
      <alignment horizontal="center" vertical="center"/>
      <protection hidden="1"/>
    </xf>
    <xf numFmtId="0" fontId="6" fillId="3" borderId="1" xfId="0" applyFont="1" applyFill="1" applyBorder="1" applyProtection="1">
      <protection locked="0" hidden="1"/>
    </xf>
    <xf numFmtId="0" fontId="25" fillId="0" borderId="0" xfId="0" applyFont="1" applyBorder="1" applyProtection="1">
      <protection hidden="1"/>
    </xf>
    <xf numFmtId="0" fontId="25" fillId="0" borderId="1" xfId="0" applyFont="1" applyBorder="1" applyProtection="1">
      <protection hidden="1"/>
    </xf>
    <xf numFmtId="2" fontId="0" fillId="0" borderId="0" xfId="0" applyNumberFormat="1" applyProtection="1">
      <protection hidden="1"/>
    </xf>
    <xf numFmtId="0" fontId="19" fillId="3" borderId="1" xfId="0" applyFont="1" applyFill="1" applyBorder="1" applyAlignment="1" applyProtection="1">
      <alignment horizontal="left"/>
      <protection locked="0" hidden="1"/>
    </xf>
    <xf numFmtId="0" fontId="0" fillId="0" borderId="0" xfId="0" applyAlignment="1" applyProtection="1">
      <alignment horizontal="center" vertical="center"/>
      <protection hidden="1"/>
    </xf>
    <xf numFmtId="0" fontId="48" fillId="47" borderId="0" xfId="0" applyFont="1" applyFill="1" applyBorder="1" applyProtection="1">
      <protection hidden="1"/>
    </xf>
    <xf numFmtId="0" fontId="0" fillId="0" borderId="78" xfId="0" applyFill="1" applyBorder="1" applyProtection="1">
      <protection hidden="1"/>
    </xf>
    <xf numFmtId="0" fontId="48" fillId="0" borderId="0" xfId="0" applyFont="1" applyFill="1" applyBorder="1" applyProtection="1">
      <protection hidden="1"/>
    </xf>
    <xf numFmtId="0" fontId="0" fillId="0" borderId="79" xfId="0" applyFill="1" applyBorder="1" applyProtection="1">
      <protection hidden="1"/>
    </xf>
    <xf numFmtId="0" fontId="0" fillId="0" borderId="0" xfId="0" applyFill="1" applyProtection="1">
      <protection hidden="1"/>
    </xf>
    <xf numFmtId="0" fontId="4" fillId="48" borderId="0" xfId="0" applyFont="1" applyFill="1"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21" fillId="48" borderId="0" xfId="0" applyFont="1" applyFill="1" applyBorder="1" applyAlignment="1" applyProtection="1">
      <alignment horizontal="center" vertical="center" wrapText="1"/>
      <protection hidden="1"/>
    </xf>
    <xf numFmtId="0" fontId="4" fillId="48" borderId="0" xfId="0" applyFont="1" applyFill="1" applyBorder="1" applyAlignment="1" applyProtection="1">
      <alignment horizontal="center" vertical="center" wrapText="1"/>
      <protection hidden="1"/>
    </xf>
    <xf numFmtId="0" fontId="3" fillId="0" borderId="78" xfId="0" applyFont="1" applyBorder="1" applyProtection="1">
      <protection hidden="1"/>
    </xf>
    <xf numFmtId="0" fontId="24" fillId="0" borderId="0" xfId="0" applyFont="1" applyBorder="1" applyAlignment="1" applyProtection="1">
      <alignment vertical="center"/>
      <protection hidden="1"/>
    </xf>
    <xf numFmtId="0" fontId="3" fillId="0" borderId="0" xfId="0" applyFont="1" applyBorder="1" applyAlignment="1" applyProtection="1">
      <alignment horizontal="center" vertical="center"/>
      <protection hidden="1"/>
    </xf>
    <xf numFmtId="173" fontId="18" fillId="0" borderId="1" xfId="1" applyNumberFormat="1" applyFont="1" applyBorder="1" applyAlignment="1" applyProtection="1">
      <alignment horizontal="center" vertical="center"/>
      <protection hidden="1"/>
    </xf>
    <xf numFmtId="184" fontId="21" fillId="46" borderId="1" xfId="0" applyNumberFormat="1" applyFont="1" applyFill="1" applyBorder="1" applyAlignment="1" applyProtection="1">
      <alignment horizontal="center" vertical="center"/>
      <protection hidden="1"/>
    </xf>
    <xf numFmtId="43" fontId="3" fillId="0" borderId="1" xfId="0" applyNumberFormat="1" applyFont="1" applyBorder="1" applyAlignment="1" applyProtection="1">
      <alignment horizontal="center" vertical="center"/>
      <protection hidden="1"/>
    </xf>
    <xf numFmtId="43" fontId="4" fillId="46" borderId="1" xfId="0" applyNumberFormat="1" applyFont="1" applyFill="1" applyBorder="1" applyAlignment="1" applyProtection="1">
      <alignment horizontal="center" vertical="center"/>
      <protection hidden="1"/>
    </xf>
    <xf numFmtId="170" fontId="14" fillId="46" borderId="82" xfId="1" applyNumberFormat="1" applyFont="1" applyFill="1" applyBorder="1" applyProtection="1">
      <protection hidden="1"/>
    </xf>
    <xf numFmtId="0" fontId="3" fillId="0" borderId="79" xfId="0" applyFont="1" applyBorder="1" applyProtection="1">
      <protection hidden="1"/>
    </xf>
    <xf numFmtId="0" fontId="3" fillId="0" borderId="0" xfId="0" applyFont="1" applyProtection="1">
      <protection hidden="1"/>
    </xf>
    <xf numFmtId="0" fontId="3" fillId="0" borderId="83" xfId="0" applyFont="1" applyFill="1" applyBorder="1" applyAlignment="1" applyProtection="1">
      <alignment horizontal="left" vertical="center"/>
      <protection hidden="1"/>
    </xf>
    <xf numFmtId="0" fontId="21" fillId="0" borderId="0" xfId="0" applyFont="1" applyBorder="1" applyProtection="1">
      <protection hidden="1"/>
    </xf>
    <xf numFmtId="0" fontId="16" fillId="0" borderId="0" xfId="0" applyFont="1" applyAlignment="1" applyProtection="1">
      <alignment horizontal="right"/>
      <protection hidden="1"/>
    </xf>
    <xf numFmtId="43" fontId="2" fillId="49" borderId="84" xfId="0" applyNumberFormat="1" applyFont="1" applyFill="1" applyBorder="1" applyProtection="1">
      <protection hidden="1"/>
    </xf>
    <xf numFmtId="43" fontId="3" fillId="0" borderId="0" xfId="0" applyNumberFormat="1" applyFont="1" applyProtection="1">
      <protection hidden="1"/>
    </xf>
    <xf numFmtId="0" fontId="12" fillId="0" borderId="1" xfId="0" applyFont="1" applyBorder="1" applyProtection="1">
      <protection hidden="1"/>
    </xf>
    <xf numFmtId="43" fontId="12" fillId="0" borderId="1" xfId="0" applyNumberFormat="1" applyFont="1" applyBorder="1" applyAlignment="1" applyProtection="1">
      <alignment horizontal="center" vertical="center"/>
      <protection hidden="1"/>
    </xf>
    <xf numFmtId="43" fontId="18" fillId="0" borderId="0" xfId="0" applyNumberFormat="1" applyFont="1" applyProtection="1">
      <protection hidden="1"/>
    </xf>
    <xf numFmtId="0" fontId="12" fillId="0" borderId="0" xfId="0" applyFont="1" applyBorder="1" applyProtection="1">
      <protection hidden="1"/>
    </xf>
    <xf numFmtId="0" fontId="25" fillId="0" borderId="0" xfId="0" applyFont="1" applyBorder="1" applyAlignment="1" applyProtection="1">
      <alignment horizontal="right"/>
      <protection hidden="1"/>
    </xf>
    <xf numFmtId="170" fontId="0" fillId="0" borderId="1" xfId="0" applyNumberFormat="1" applyBorder="1" applyProtection="1">
      <protection hidden="1"/>
    </xf>
    <xf numFmtId="43" fontId="0" fillId="0" borderId="0" xfId="0" applyNumberFormat="1" applyProtection="1">
      <protection hidden="1"/>
    </xf>
    <xf numFmtId="43" fontId="8" fillId="49" borderId="84" xfId="0" applyNumberFormat="1" applyFont="1" applyFill="1" applyBorder="1" applyProtection="1">
      <protection hidden="1"/>
    </xf>
    <xf numFmtId="0" fontId="25" fillId="0" borderId="0" xfId="0" applyFont="1" applyAlignment="1" applyProtection="1">
      <alignment horizontal="right"/>
      <protection hidden="1"/>
    </xf>
    <xf numFmtId="0" fontId="2" fillId="0" borderId="1" xfId="0" applyFont="1" applyBorder="1" applyProtection="1">
      <protection hidden="1"/>
    </xf>
    <xf numFmtId="0" fontId="5" fillId="0" borderId="1" xfId="0" applyFont="1" applyBorder="1" applyProtection="1">
      <protection hidden="1"/>
    </xf>
    <xf numFmtId="0" fontId="0" fillId="0" borderId="80" xfId="0" applyBorder="1" applyProtection="1">
      <protection hidden="1"/>
    </xf>
    <xf numFmtId="0" fontId="0" fillId="0" borderId="81" xfId="0" applyBorder="1" applyProtection="1">
      <protection hidden="1"/>
    </xf>
    <xf numFmtId="0" fontId="18" fillId="22" borderId="0" xfId="0" applyFont="1" applyFill="1" applyAlignment="1" applyProtection="1">
      <alignment vertical="center" wrapText="1"/>
      <protection hidden="1"/>
    </xf>
    <xf numFmtId="0" fontId="18" fillId="22" borderId="0" xfId="0" applyFont="1" applyFill="1" applyAlignment="1" applyProtection="1">
      <alignment horizontal="center" vertical="center" wrapText="1"/>
      <protection hidden="1"/>
    </xf>
    <xf numFmtId="0" fontId="18" fillId="22" borderId="0" xfId="0" applyFont="1" applyFill="1" applyAlignment="1" applyProtection="1">
      <alignment horizontal="center" vertical="center"/>
      <protection hidden="1"/>
    </xf>
    <xf numFmtId="14" fontId="18" fillId="46" borderId="85" xfId="0" applyNumberFormat="1" applyFont="1" applyFill="1" applyBorder="1" applyAlignment="1" applyProtection="1">
      <alignment horizontal="center" vertical="center"/>
      <protection hidden="1"/>
    </xf>
    <xf numFmtId="0" fontId="18" fillId="46" borderId="85" xfId="0" applyNumberFormat="1" applyFont="1" applyFill="1" applyBorder="1" applyAlignment="1" applyProtection="1">
      <alignment horizontal="center" vertical="center"/>
      <protection hidden="1"/>
    </xf>
    <xf numFmtId="0" fontId="18" fillId="46" borderId="86" xfId="0" applyNumberFormat="1" applyFont="1" applyFill="1" applyBorder="1" applyAlignment="1" applyProtection="1">
      <alignment horizontal="center" vertical="center"/>
      <protection hidden="1"/>
    </xf>
    <xf numFmtId="4" fontId="18" fillId="46" borderId="86" xfId="0" applyNumberFormat="1" applyFont="1" applyFill="1" applyBorder="1" applyAlignment="1" applyProtection="1">
      <alignment horizontal="center" vertical="center"/>
      <protection hidden="1"/>
    </xf>
    <xf numFmtId="3" fontId="18" fillId="46" borderId="86" xfId="0" applyNumberFormat="1" applyFont="1" applyFill="1" applyBorder="1" applyAlignment="1" applyProtection="1">
      <alignment horizontal="left" vertical="center"/>
      <protection hidden="1"/>
    </xf>
    <xf numFmtId="3" fontId="18" fillId="46" borderId="86" xfId="0" applyNumberFormat="1" applyFont="1" applyFill="1" applyBorder="1" applyAlignment="1" applyProtection="1">
      <alignment horizontal="center" vertical="center"/>
      <protection hidden="1"/>
    </xf>
    <xf numFmtId="4" fontId="18" fillId="46" borderId="87" xfId="0" applyNumberFormat="1" applyFont="1" applyFill="1" applyBorder="1" applyAlignment="1" applyProtection="1">
      <alignment horizontal="center" vertical="center"/>
      <protection hidden="1"/>
    </xf>
    <xf numFmtId="4" fontId="18" fillId="31" borderId="87" xfId="0" applyNumberFormat="1" applyFont="1" applyFill="1" applyBorder="1" applyAlignment="1" applyProtection="1">
      <alignment horizontal="center" vertical="center"/>
      <protection hidden="1"/>
    </xf>
    <xf numFmtId="14" fontId="18" fillId="30" borderId="0" xfId="0" applyNumberFormat="1" applyFont="1" applyFill="1" applyProtection="1">
      <protection hidden="1"/>
    </xf>
    <xf numFmtId="0" fontId="4" fillId="22" borderId="0" xfId="0" applyFont="1" applyFill="1" applyBorder="1" applyAlignment="1" applyProtection="1">
      <alignment horizontal="center" vertical="center" wrapText="1"/>
      <protection hidden="1"/>
    </xf>
    <xf numFmtId="43" fontId="25" fillId="0" borderId="35" xfId="1" applyFont="1" applyBorder="1" applyAlignment="1">
      <alignment vertical="center"/>
    </xf>
    <xf numFmtId="0" fontId="23" fillId="48" borderId="0" xfId="0" applyFont="1" applyFill="1" applyBorder="1" applyAlignment="1" applyProtection="1">
      <alignment horizontal="center" vertical="center" wrapText="1"/>
      <protection hidden="1"/>
    </xf>
    <xf numFmtId="0" fontId="14" fillId="2" borderId="1" xfId="0" applyFont="1" applyFill="1" applyBorder="1" applyAlignment="1" applyProtection="1">
      <alignment horizontal="left"/>
      <protection locked="0"/>
    </xf>
    <xf numFmtId="0" fontId="2" fillId="18" borderId="1" xfId="0" applyFont="1" applyFill="1" applyBorder="1" applyAlignment="1" applyProtection="1">
      <alignment horizontal="center" vertical="center"/>
      <protection locked="0"/>
    </xf>
    <xf numFmtId="0" fontId="23" fillId="18" borderId="1" xfId="0" applyFont="1" applyFill="1" applyBorder="1" applyAlignment="1" applyProtection="1">
      <alignment horizontal="right"/>
      <protection locked="0"/>
    </xf>
    <xf numFmtId="179" fontId="23" fillId="18" borderId="1" xfId="0" applyNumberFormat="1" applyFont="1" applyFill="1" applyBorder="1" applyAlignment="1" applyProtection="1">
      <alignment horizontal="center" vertical="center"/>
      <protection locked="0"/>
    </xf>
    <xf numFmtId="0" fontId="21" fillId="18" borderId="1" xfId="0" applyFont="1" applyFill="1" applyBorder="1" applyAlignment="1" applyProtection="1">
      <alignment horizontal="center" vertical="center"/>
      <protection locked="0"/>
    </xf>
    <xf numFmtId="0" fontId="4" fillId="3" borderId="0" xfId="0" applyFont="1" applyFill="1" applyProtection="1">
      <protection locked="0" hidden="1"/>
    </xf>
    <xf numFmtId="0" fontId="5" fillId="50" borderId="0" xfId="0" applyFont="1" applyFill="1" applyAlignment="1">
      <alignment horizontal="center" vertical="center" wrapText="1"/>
    </xf>
    <xf numFmtId="178" fontId="18" fillId="0" borderId="35" xfId="0" applyNumberFormat="1" applyFont="1" applyBorder="1" applyAlignment="1">
      <alignment horizontal="center" vertical="center"/>
    </xf>
    <xf numFmtId="0" fontId="2" fillId="0" borderId="0" xfId="0" applyFont="1"/>
    <xf numFmtId="0" fontId="12" fillId="0" borderId="0" xfId="0" applyFont="1"/>
    <xf numFmtId="2" fontId="3" fillId="0" borderId="0" xfId="0" applyNumberFormat="1" applyFont="1" applyFill="1" applyBorder="1" applyAlignment="1">
      <alignment horizontal="center" vertical="center" wrapText="1"/>
    </xf>
    <xf numFmtId="9" fontId="0" fillId="0" borderId="0" xfId="0" applyNumberFormat="1"/>
    <xf numFmtId="2" fontId="8" fillId="0" borderId="35" xfId="0" applyNumberFormat="1" applyFont="1" applyBorder="1" applyAlignment="1">
      <alignment vertical="center"/>
    </xf>
    <xf numFmtId="0" fontId="54" fillId="0" borderId="0" xfId="0" applyFont="1" applyBorder="1"/>
    <xf numFmtId="0" fontId="23" fillId="38" borderId="0" xfId="0" applyFont="1" applyFill="1" applyAlignment="1">
      <alignment horizontal="center" vertical="center"/>
    </xf>
    <xf numFmtId="0" fontId="14" fillId="0" borderId="88" xfId="0" applyFont="1" applyBorder="1" applyAlignment="1">
      <alignment horizontal="left" indent="1"/>
    </xf>
    <xf numFmtId="10" fontId="6" fillId="0" borderId="88" xfId="0" applyNumberFormat="1" applyFont="1" applyBorder="1" applyAlignment="1">
      <alignment horizontal="center" vertical="center"/>
    </xf>
    <xf numFmtId="0" fontId="0" fillId="0" borderId="88" xfId="0" applyBorder="1" applyAlignment="1">
      <alignment horizontal="center" vertical="center"/>
    </xf>
    <xf numFmtId="10" fontId="2" fillId="38" borderId="0" xfId="0" applyNumberFormat="1" applyFont="1" applyFill="1" applyAlignment="1">
      <alignment horizontal="center" vertical="center"/>
    </xf>
    <xf numFmtId="0" fontId="18" fillId="0" borderId="0" xfId="0" applyFont="1" applyBorder="1" applyAlignment="1">
      <alignment horizontal="center"/>
    </xf>
    <xf numFmtId="2" fontId="3" fillId="51" borderId="35" xfId="0" applyNumberFormat="1" applyFont="1" applyFill="1" applyBorder="1" applyAlignment="1">
      <alignment horizontal="center" vertical="center" wrapText="1"/>
    </xf>
    <xf numFmtId="166" fontId="0" fillId="2" borderId="84" xfId="0" applyNumberFormat="1" applyFill="1" applyBorder="1" applyAlignment="1" applyProtection="1">
      <alignment horizontal="center" vertical="center"/>
      <protection locked="0" hidden="1"/>
    </xf>
    <xf numFmtId="0" fontId="7" fillId="2" borderId="84" xfId="0" applyFont="1" applyFill="1" applyBorder="1" applyAlignment="1" applyProtection="1">
      <alignment horizontal="center" vertical="center"/>
      <protection locked="0"/>
    </xf>
    <xf numFmtId="0" fontId="7" fillId="2" borderId="84" xfId="0" applyFont="1" applyFill="1" applyBorder="1" applyProtection="1">
      <protection locked="0"/>
    </xf>
    <xf numFmtId="14" fontId="2" fillId="2" borderId="84" xfId="0" applyNumberFormat="1" applyFont="1" applyFill="1" applyBorder="1" applyProtection="1">
      <protection locked="0"/>
    </xf>
    <xf numFmtId="4" fontId="30" fillId="4" borderId="0" xfId="0" applyNumberFormat="1" applyFont="1" applyFill="1" applyBorder="1" applyAlignment="1">
      <alignment horizontal="right" vertical="center"/>
    </xf>
    <xf numFmtId="0" fontId="22" fillId="2" borderId="6" xfId="0" applyFont="1" applyFill="1" applyBorder="1" applyAlignment="1" applyProtection="1">
      <alignment horizontal="left"/>
      <protection locked="0" hidden="1"/>
    </xf>
    <xf numFmtId="0" fontId="22" fillId="2" borderId="7" xfId="0" applyFont="1" applyFill="1" applyBorder="1" applyAlignment="1" applyProtection="1">
      <alignment horizontal="left"/>
      <protection locked="0" hidden="1"/>
    </xf>
    <xf numFmtId="0" fontId="22" fillId="2" borderId="8" xfId="0" applyFont="1" applyFill="1" applyBorder="1" applyAlignment="1" applyProtection="1">
      <alignment horizontal="left"/>
      <protection locked="0" hidden="1"/>
    </xf>
    <xf numFmtId="0" fontId="27" fillId="11" borderId="0" xfId="0" applyFont="1" applyFill="1" applyBorder="1" applyAlignment="1">
      <alignment horizontal="center" vertical="center"/>
    </xf>
    <xf numFmtId="0" fontId="5" fillId="24" borderId="0" xfId="0" applyFont="1" applyFill="1" applyBorder="1" applyAlignment="1">
      <alignment horizontal="center"/>
    </xf>
    <xf numFmtId="167" fontId="21" fillId="2" borderId="6" xfId="0" applyNumberFormat="1" applyFont="1" applyFill="1" applyBorder="1" applyAlignment="1" applyProtection="1">
      <alignment horizontal="center"/>
      <protection locked="0" hidden="1"/>
    </xf>
    <xf numFmtId="167" fontId="21" fillId="2" borderId="8" xfId="0" applyNumberFormat="1" applyFont="1" applyFill="1" applyBorder="1" applyAlignment="1" applyProtection="1">
      <alignment horizontal="center"/>
      <protection locked="0" hidden="1"/>
    </xf>
    <xf numFmtId="3" fontId="3" fillId="2" borderId="6" xfId="0" applyNumberFormat="1" applyFont="1" applyFill="1" applyBorder="1" applyAlignment="1" applyProtection="1">
      <alignment horizontal="center"/>
      <protection locked="0" hidden="1"/>
    </xf>
    <xf numFmtId="3" fontId="3" fillId="2" borderId="8" xfId="0" applyNumberFormat="1" applyFont="1" applyFill="1" applyBorder="1" applyAlignment="1" applyProtection="1">
      <alignment horizontal="center"/>
      <protection locked="0" hidden="1"/>
    </xf>
    <xf numFmtId="14" fontId="14" fillId="0" borderId="1" xfId="0" applyNumberFormat="1" applyFont="1" applyFill="1" applyBorder="1" applyAlignment="1" applyProtection="1">
      <alignment horizontal="left"/>
      <protection hidden="1"/>
    </xf>
    <xf numFmtId="0" fontId="25" fillId="0" borderId="1" xfId="0" applyFont="1" applyBorder="1" applyAlignment="1" applyProtection="1">
      <alignment horizontal="center" vertical="center"/>
      <protection hidden="1"/>
    </xf>
    <xf numFmtId="43" fontId="12" fillId="0" borderId="0" xfId="0" applyNumberFormat="1" applyFont="1" applyBorder="1" applyAlignment="1" applyProtection="1">
      <alignment horizontal="center" vertical="center"/>
      <protection hidden="1"/>
    </xf>
    <xf numFmtId="182" fontId="4" fillId="0" borderId="1" xfId="0" applyNumberFormat="1" applyFont="1" applyBorder="1" applyAlignment="1" applyProtection="1">
      <alignment horizontal="center"/>
      <protection hidden="1"/>
    </xf>
    <xf numFmtId="183" fontId="4" fillId="0" borderId="1" xfId="0" applyNumberFormat="1" applyFont="1" applyFill="1" applyBorder="1" applyAlignment="1" applyProtection="1">
      <alignment horizontal="center"/>
      <protection hidden="1"/>
    </xf>
    <xf numFmtId="0" fontId="53" fillId="42" borderId="0" xfId="0" applyFont="1" applyFill="1" applyBorder="1" applyAlignment="1" applyProtection="1">
      <alignment horizontal="left"/>
      <protection hidden="1"/>
    </xf>
    <xf numFmtId="0" fontId="53" fillId="42" borderId="0" xfId="0" applyFont="1" applyFill="1" applyBorder="1" applyAlignment="1" applyProtection="1">
      <alignment horizontal="left" vertical="center"/>
      <protection hidden="1"/>
    </xf>
    <xf numFmtId="0" fontId="3" fillId="0" borderId="1" xfId="0" applyFont="1" applyFill="1" applyBorder="1" applyAlignment="1" applyProtection="1">
      <alignment horizontal="center" vertical="center"/>
      <protection hidden="1"/>
    </xf>
    <xf numFmtId="0" fontId="30" fillId="42" borderId="0" xfId="0" applyFont="1" applyFill="1" applyBorder="1" applyAlignment="1" applyProtection="1">
      <alignment horizontal="center" vertical="center" wrapText="1"/>
      <protection hidden="1"/>
    </xf>
    <xf numFmtId="49" fontId="51" fillId="43" borderId="75" xfId="0" applyNumberFormat="1" applyFont="1" applyFill="1" applyBorder="1" applyAlignment="1" applyProtection="1">
      <alignment horizontal="center" vertical="center" wrapText="1"/>
      <protection hidden="1"/>
    </xf>
    <xf numFmtId="49" fontId="51" fillId="43" borderId="77" xfId="0" applyNumberFormat="1" applyFont="1" applyFill="1" applyBorder="1" applyAlignment="1" applyProtection="1">
      <alignment horizontal="center" vertical="center" wrapText="1"/>
      <protection hidden="1"/>
    </xf>
    <xf numFmtId="49" fontId="51" fillId="43" borderId="78" xfId="0" applyNumberFormat="1" applyFont="1" applyFill="1" applyBorder="1" applyAlignment="1" applyProtection="1">
      <alignment horizontal="center" vertical="center" wrapText="1"/>
      <protection hidden="1"/>
    </xf>
    <xf numFmtId="49" fontId="51" fillId="43" borderId="79" xfId="0" applyNumberFormat="1" applyFont="1" applyFill="1" applyBorder="1" applyAlignment="1" applyProtection="1">
      <alignment horizontal="center" vertical="center" wrapText="1"/>
      <protection hidden="1"/>
    </xf>
    <xf numFmtId="49" fontId="51" fillId="43" borderId="80" xfId="0" applyNumberFormat="1" applyFont="1" applyFill="1" applyBorder="1" applyAlignment="1" applyProtection="1">
      <alignment horizontal="center" vertical="center" wrapText="1"/>
      <protection hidden="1"/>
    </xf>
    <xf numFmtId="49" fontId="51" fillId="43" borderId="81" xfId="0" applyNumberFormat="1" applyFont="1" applyFill="1" applyBorder="1" applyAlignment="1" applyProtection="1">
      <alignment horizontal="center" vertical="center" wrapText="1"/>
      <protection hidden="1"/>
    </xf>
    <xf numFmtId="0" fontId="5" fillId="42" borderId="0" xfId="0" applyFont="1" applyFill="1" applyBorder="1" applyAlignment="1" applyProtection="1">
      <alignment horizontal="center"/>
      <protection hidden="1"/>
    </xf>
    <xf numFmtId="181" fontId="2" fillId="0" borderId="1" xfId="0" applyNumberFormat="1" applyFont="1" applyFill="1" applyBorder="1" applyAlignment="1" applyProtection="1">
      <alignment horizontal="left"/>
      <protection hidden="1"/>
    </xf>
    <xf numFmtId="0" fontId="11" fillId="5" borderId="9" xfId="0" applyNumberFormat="1" applyFont="1" applyFill="1" applyBorder="1" applyAlignment="1" applyProtection="1">
      <alignment horizontal="center" vertical="center" textRotation="90" wrapText="1"/>
      <protection hidden="1"/>
    </xf>
    <xf numFmtId="0" fontId="0" fillId="0" borderId="14" xfId="0" applyBorder="1" applyProtection="1">
      <protection hidden="1"/>
    </xf>
    <xf numFmtId="0" fontId="11" fillId="5" borderId="3" xfId="0" applyFont="1" applyFill="1" applyBorder="1" applyAlignment="1" applyProtection="1">
      <alignment horizontal="center" vertical="center" wrapText="1"/>
      <protection hidden="1"/>
    </xf>
    <xf numFmtId="0" fontId="11" fillId="5" borderId="10" xfId="0" applyFont="1" applyFill="1" applyBorder="1" applyAlignment="1" applyProtection="1">
      <alignment horizontal="center" vertical="center" wrapText="1"/>
      <protection hidden="1"/>
    </xf>
    <xf numFmtId="168" fontId="11" fillId="5" borderId="4" xfId="0" applyNumberFormat="1" applyFont="1" applyFill="1" applyBorder="1" applyAlignment="1" applyProtection="1">
      <alignment horizontal="center" vertical="center" wrapText="1"/>
      <protection hidden="1"/>
    </xf>
    <xf numFmtId="168" fontId="11" fillId="5" borderId="11" xfId="0" applyNumberFormat="1" applyFont="1" applyFill="1" applyBorder="1" applyAlignment="1" applyProtection="1">
      <alignment horizontal="center" vertical="center" wrapText="1"/>
      <protection hidden="1"/>
    </xf>
    <xf numFmtId="0" fontId="11" fillId="5" borderId="5" xfId="0" applyNumberFormat="1" applyFont="1" applyFill="1" applyBorder="1" applyAlignment="1" applyProtection="1">
      <alignment horizontal="center" vertical="center" wrapText="1"/>
      <protection hidden="1"/>
    </xf>
    <xf numFmtId="0" fontId="11" fillId="5" borderId="12" xfId="0" applyNumberFormat="1" applyFont="1" applyFill="1" applyBorder="1" applyAlignment="1" applyProtection="1">
      <alignment horizontal="center" vertical="center" wrapText="1"/>
      <protection hidden="1"/>
    </xf>
    <xf numFmtId="0" fontId="11" fillId="5" borderId="6" xfId="0" applyNumberFormat="1" applyFont="1" applyFill="1" applyBorder="1" applyAlignment="1" applyProtection="1">
      <alignment horizontal="center" vertical="center" wrapText="1"/>
      <protection hidden="1"/>
    </xf>
    <xf numFmtId="0" fontId="11" fillId="5" borderId="7" xfId="0" applyNumberFormat="1" applyFont="1" applyFill="1" applyBorder="1" applyAlignment="1" applyProtection="1">
      <alignment horizontal="center" vertical="center" wrapText="1"/>
      <protection hidden="1"/>
    </xf>
    <xf numFmtId="0" fontId="11" fillId="5" borderId="8" xfId="0" applyNumberFormat="1" applyFont="1" applyFill="1" applyBorder="1" applyAlignment="1" applyProtection="1">
      <alignment horizontal="center" vertical="center" wrapText="1"/>
      <protection hidden="1"/>
    </xf>
    <xf numFmtId="0" fontId="11" fillId="5" borderId="9" xfId="0" applyNumberFormat="1" applyFont="1" applyFill="1" applyBorder="1" applyAlignment="1" applyProtection="1">
      <alignment horizontal="center" vertical="center" wrapText="1"/>
      <protection hidden="1"/>
    </xf>
    <xf numFmtId="0" fontId="11" fillId="5" borderId="13" xfId="0" applyNumberFormat="1" applyFont="1" applyFill="1" applyBorder="1" applyAlignment="1" applyProtection="1">
      <alignment horizontal="center" vertical="center" wrapText="1"/>
      <protection hidden="1"/>
    </xf>
    <xf numFmtId="0" fontId="11" fillId="0" borderId="19" xfId="4" applyNumberFormat="1" applyFont="1" applyFill="1" applyBorder="1" applyAlignment="1" applyProtection="1">
      <alignment horizontal="center"/>
      <protection hidden="1"/>
    </xf>
    <xf numFmtId="0" fontId="11" fillId="6" borderId="19" xfId="4" applyNumberFormat="1" applyFont="1" applyFill="1" applyBorder="1" applyAlignment="1" applyProtection="1">
      <alignment horizontal="center"/>
      <protection hidden="1"/>
    </xf>
    <xf numFmtId="0" fontId="11" fillId="6" borderId="2" xfId="4" applyNumberFormat="1" applyFont="1" applyFill="1" applyBorder="1" applyAlignment="1" applyProtection="1">
      <alignment horizontal="center"/>
      <protection hidden="1"/>
    </xf>
    <xf numFmtId="0" fontId="11" fillId="6" borderId="2" xfId="0" applyNumberFormat="1" applyFont="1" applyFill="1" applyBorder="1" applyAlignment="1" applyProtection="1">
      <alignment horizontal="center"/>
      <protection hidden="1"/>
    </xf>
  </cellXfs>
  <cellStyles count="7">
    <cellStyle name="Moeda" xfId="3" builtinId="4"/>
    <cellStyle name="Normal" xfId="0" builtinId="0"/>
    <cellStyle name="Normal 2" xfId="4"/>
    <cellStyle name="Normal 28" xfId="5"/>
    <cellStyle name="Normal 33" xfId="6"/>
    <cellStyle name="Porcentagem" xfId="2" builtinId="5"/>
    <cellStyle name="Vírgula" xfId="1" builtinId="3"/>
  </cellStyles>
  <dxfs count="9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numFmt numFmtId="185" formatCode="00\ 000\ 000&quot;/&quot;0000&quot;-&quot;00"/>
    </dxf>
    <dxf>
      <numFmt numFmtId="186" formatCode="00,000,000,0\-00"/>
    </dxf>
    <dxf>
      <border>
        <bottom style="thin">
          <color indexed="64"/>
        </bottom>
      </border>
    </dxf>
    <dxf>
      <numFmt numFmtId="185" formatCode="00\ 000\ 000&quot;/&quot;0000&quot;-&quot;00"/>
    </dxf>
    <dxf>
      <numFmt numFmtId="187" formatCode="000&quot;.&quot;000&quot;.&quot;000\-00"/>
    </dxf>
    <dxf>
      <numFmt numFmtId="185" formatCode="00\ 000\ 000&quot;/&quot;0000&quot;-&quot;00"/>
    </dxf>
    <dxf>
      <numFmt numFmtId="187" formatCode="000&quot;.&quot;000&quot;.&quot;000\-00"/>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ill>
        <patternFill>
          <bgColor theme="6" tint="0.59996337778862885"/>
        </patternFill>
      </fill>
    </dxf>
    <dxf>
      <font>
        <b/>
        <i val="0"/>
        <color theme="0"/>
      </font>
      <fill>
        <patternFill>
          <bgColor theme="3" tint="0.3999450666829432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ont>
        <b/>
        <i val="0"/>
        <color theme="0"/>
      </font>
      <fill>
        <patternFill>
          <bgColor theme="3" tint="0.39994506668294322"/>
        </patternFill>
      </fill>
    </dxf>
    <dxf>
      <fill>
        <patternFill>
          <bgColor theme="6" tint="0.59996337778862885"/>
        </patternFill>
      </fill>
    </dxf>
    <dxf>
      <fill>
        <patternFill>
          <bgColor theme="6" tint="0.59996337778862885"/>
        </patternFill>
      </fill>
    </dxf>
    <dxf>
      <font>
        <b/>
        <i val="0"/>
        <color theme="0"/>
      </font>
      <fill>
        <patternFill>
          <bgColor theme="3" tint="0.39994506668294322"/>
        </patternFill>
      </fill>
    </dxf>
    <dxf>
      <fill>
        <patternFill>
          <bgColor theme="6" tint="0.59996337778862885"/>
        </patternFill>
      </fill>
    </dxf>
    <dxf>
      <font>
        <b/>
        <i val="0"/>
        <color theme="0"/>
      </font>
      <fill>
        <patternFill>
          <bgColor theme="3" tint="0.39994506668294322"/>
        </patternFill>
      </fill>
    </dxf>
    <dxf>
      <fill>
        <patternFill>
          <bgColor theme="3" tint="0.79998168889431442"/>
        </patternFill>
      </fill>
    </dxf>
    <dxf>
      <fill>
        <patternFill>
          <bgColor theme="3" tint="0.79998168889431442"/>
        </patternFill>
      </fill>
    </dxf>
    <dxf>
      <font>
        <b/>
        <i val="0"/>
        <color theme="0"/>
      </font>
      <fill>
        <patternFill>
          <bgColor theme="3" tint="0.39994506668294322"/>
        </patternFill>
      </fill>
    </dxf>
    <dxf>
      <fill>
        <patternFill>
          <bgColor theme="3" tint="0.79998168889431442"/>
        </patternFill>
      </fill>
    </dxf>
    <dxf>
      <font>
        <b/>
        <i val="0"/>
        <color theme="0"/>
      </font>
      <fill>
        <patternFill>
          <bgColor theme="3" tint="0.3999450666829432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colors>
    <mruColors>
      <color rgb="FFCC9900"/>
      <color rgb="FFFFFF66"/>
      <color rgb="FF96CAE0"/>
      <color rgb="FF3895BE"/>
      <color rgb="FFFFFF99"/>
      <color rgb="FFFFFFCC"/>
      <color rgb="FFD3BE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Faixas</a:t>
            </a:r>
          </a:p>
        </c:rich>
      </c:tx>
      <c:layout/>
      <c:overlay val="1"/>
      <c:spPr>
        <a:noFill/>
        <a:ln>
          <a:noFill/>
        </a:ln>
        <a:effectLst/>
      </c:spPr>
    </c:title>
    <c:autoTitleDeleted val="0"/>
    <c:plotArea>
      <c:layout/>
      <c:barChart>
        <c:barDir val="col"/>
        <c:grouping val="clustered"/>
        <c:varyColors val="0"/>
        <c:ser>
          <c:idx val="0"/>
          <c:order val="0"/>
          <c:tx>
            <c:strRef>
              <c:f>'1. DADOS'!$A$53</c:f>
              <c:strCache>
                <c:ptCount val="1"/>
                <c:pt idx="0">
                  <c:v>NOME DA FAIXA</c:v>
                </c:pt>
              </c:strCache>
            </c:strRef>
          </c:tx>
          <c:spPr>
            <a:solidFill>
              <a:schemeClr val="accent3"/>
            </a:solidFill>
            <a:ln>
              <a:gradFill>
                <a:gsLst>
                  <a:gs pos="2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'1. DADOS'!$A$54:$A$58</c:f>
              <c:strCache>
                <c:ptCount val="5"/>
                <c:pt idx="0">
                  <c:v>De 10 a 34 caixas</c:v>
                </c:pt>
                <c:pt idx="1">
                  <c:v>De 35 a 142 caixas</c:v>
                </c:pt>
                <c:pt idx="2">
                  <c:v>De 143 a 258 caixas</c:v>
                </c:pt>
                <c:pt idx="3">
                  <c:v>De 259 a 435 caixas</c:v>
                </c:pt>
                <c:pt idx="4">
                  <c:v>De 436 a 650 caixas</c:v>
                </c:pt>
              </c:strCache>
            </c:strRef>
          </c:cat>
          <c:val>
            <c:numRef>
              <c:f>'1. DADOS'!$C$54:$C$58</c:f>
              <c:numCache>
                <c:formatCode>General</c:formatCode>
                <c:ptCount val="5"/>
                <c:pt idx="0">
                  <c:v>34</c:v>
                </c:pt>
                <c:pt idx="1">
                  <c:v>142</c:v>
                </c:pt>
                <c:pt idx="2">
                  <c:v>258</c:v>
                </c:pt>
                <c:pt idx="3">
                  <c:v>435</c:v>
                </c:pt>
                <c:pt idx="4">
                  <c:v>650</c:v>
                </c:pt>
              </c:numCache>
            </c:numRef>
          </c:val>
          <c:extLst xmlns:c16r2="http://schemas.microsoft.com/office/drawing/2015/06/chart">
            <c:ext xmlns:c16="http://schemas.microsoft.com/office/drawing/2014/chart" uri="{C3380CC4-5D6E-409C-BE32-E72D297353CC}">
              <c16:uniqueId val="{00000000-9BF9-4CF9-AE9F-00DCA40066F8}"/>
            </c:ext>
          </c:extLst>
        </c:ser>
        <c:dLbls>
          <c:showLegendKey val="0"/>
          <c:showVal val="0"/>
          <c:showCatName val="0"/>
          <c:showSerName val="0"/>
          <c:showPercent val="0"/>
          <c:showBubbleSize val="0"/>
        </c:dLbls>
        <c:gapWidth val="10"/>
        <c:axId val="197601920"/>
        <c:axId val="197872640"/>
      </c:barChart>
      <c:catAx>
        <c:axId val="1976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pt-BR"/>
          </a:p>
        </c:txPr>
        <c:crossAx val="197872640"/>
        <c:crosses val="autoZero"/>
        <c:auto val="1"/>
        <c:lblAlgn val="ctr"/>
        <c:lblOffset val="100"/>
        <c:noMultiLvlLbl val="0"/>
      </c:catAx>
      <c:valAx>
        <c:axId val="1978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7601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Faixas</a:t>
            </a:r>
            <a:r>
              <a:rPr lang="en-US" baseline="0"/>
              <a:t> de preço </a:t>
            </a:r>
            <a:endParaRPr lang="en-US"/>
          </a:p>
        </c:rich>
      </c:tx>
      <c:layout/>
      <c:overlay val="0"/>
    </c:title>
    <c:autoTitleDeleted val="0"/>
    <c:plotArea>
      <c:layout/>
      <c:lineChart>
        <c:grouping val="standard"/>
        <c:varyColors val="0"/>
        <c:ser>
          <c:idx val="0"/>
          <c:order val="0"/>
          <c:tx>
            <c:strRef>
              <c:f>'3.FRETE'!$T$23</c:f>
              <c:strCache>
                <c:ptCount val="1"/>
                <c:pt idx="0">
                  <c:v>MAIOR</c:v>
                </c:pt>
              </c:strCache>
            </c:strRef>
          </c:tx>
          <c:marker>
            <c:symbol val="none"/>
          </c:marker>
          <c:dLbls>
            <c:spPr>
              <a:noFill/>
              <a:ln>
                <a:noFill/>
              </a:ln>
              <a:effectLst/>
            </c:spPr>
            <c:txPr>
              <a:bodyPr/>
              <a:lstStyle/>
              <a:p>
                <a:pPr>
                  <a:defRPr b="1"/>
                </a:pPr>
                <a:endParaRPr lang="pt-BR"/>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'3.FRETE'!$V$24:$V$42</c:f>
              <c:strCache>
                <c:ptCount val="19"/>
                <c:pt idx="0">
                  <c:v>Faixa A</c:v>
                </c:pt>
                <c:pt idx="1">
                  <c:v>Faixa B</c:v>
                </c:pt>
                <c:pt idx="2">
                  <c:v>Faixa C</c:v>
                </c:pt>
                <c:pt idx="3">
                  <c:v>Faixa D</c:v>
                </c:pt>
                <c:pt idx="4">
                  <c:v>Faixa E</c:v>
                </c:pt>
                <c:pt idx="5">
                  <c:v>Faixa F</c:v>
                </c:pt>
                <c:pt idx="6">
                  <c:v>Faixa G</c:v>
                </c:pt>
                <c:pt idx="7">
                  <c:v>Faixa H</c:v>
                </c:pt>
                <c:pt idx="8">
                  <c:v>Faixa I</c:v>
                </c:pt>
                <c:pt idx="9">
                  <c:v>Faixa J</c:v>
                </c:pt>
                <c:pt idx="10">
                  <c:v>Faixa K</c:v>
                </c:pt>
                <c:pt idx="11">
                  <c:v>Faixa L</c:v>
                </c:pt>
                <c:pt idx="12">
                  <c:v>Faixa M</c:v>
                </c:pt>
                <c:pt idx="13">
                  <c:v>Faixa N</c:v>
                </c:pt>
                <c:pt idx="14">
                  <c:v>Faixa O</c:v>
                </c:pt>
                <c:pt idx="15">
                  <c:v>Faixa P</c:v>
                </c:pt>
                <c:pt idx="16">
                  <c:v>Faixa Q</c:v>
                </c:pt>
                <c:pt idx="17">
                  <c:v>Faixa R</c:v>
                </c:pt>
                <c:pt idx="18">
                  <c:v>Faixa S</c:v>
                </c:pt>
              </c:strCache>
            </c:strRef>
          </c:cat>
          <c:val>
            <c:numRef>
              <c:f>'3.FRETE'!$T$24:$T$42</c:f>
              <c:numCache>
                <c:formatCode>General</c:formatCode>
                <c:ptCount val="19"/>
                <c:pt idx="0">
                  <c:v>0.05</c:v>
                </c:pt>
                <c:pt idx="1">
                  <c:v>0.11</c:v>
                </c:pt>
                <c:pt idx="2">
                  <c:v>0.16</c:v>
                </c:pt>
                <c:pt idx="3">
                  <c:v>0.18</c:v>
                </c:pt>
                <c:pt idx="4">
                  <c:v>0.2</c:v>
                </c:pt>
                <c:pt idx="5">
                  <c:v>0.21</c:v>
                </c:pt>
                <c:pt idx="6">
                  <c:v>0.22</c:v>
                </c:pt>
                <c:pt idx="7">
                  <c:v>0.24</c:v>
                </c:pt>
                <c:pt idx="8">
                  <c:v>0.27</c:v>
                </c:pt>
                <c:pt idx="9">
                  <c:v>0.3</c:v>
                </c:pt>
                <c:pt idx="10">
                  <c:v>0.36</c:v>
                </c:pt>
                <c:pt idx="11">
                  <c:v>0.37</c:v>
                </c:pt>
                <c:pt idx="12">
                  <c:v>0.39</c:v>
                </c:pt>
                <c:pt idx="13">
                  <c:v>0.4</c:v>
                </c:pt>
                <c:pt idx="14">
                  <c:v>0.45</c:v>
                </c:pt>
                <c:pt idx="15">
                  <c:v>0.6</c:v>
                </c:pt>
                <c:pt idx="16">
                  <c:v>0.73</c:v>
                </c:pt>
                <c:pt idx="17">
                  <c:v>0.8</c:v>
                </c:pt>
                <c:pt idx="18">
                  <c:v>0.9</c:v>
                </c:pt>
              </c:numCache>
            </c:numRef>
          </c:val>
          <c:smooth val="0"/>
          <c:extLst xmlns:c16r2="http://schemas.microsoft.com/office/drawing/2015/06/chart">
            <c:ext xmlns:c16="http://schemas.microsoft.com/office/drawing/2014/chart" uri="{C3380CC4-5D6E-409C-BE32-E72D297353CC}">
              <c16:uniqueId val="{00000000-7DB6-418A-BA1E-07395751F069}"/>
            </c:ext>
          </c:extLst>
        </c:ser>
        <c:dLbls>
          <c:showLegendKey val="0"/>
          <c:showVal val="0"/>
          <c:showCatName val="0"/>
          <c:showSerName val="0"/>
          <c:showPercent val="0"/>
          <c:showBubbleSize val="0"/>
        </c:dLbls>
        <c:marker val="1"/>
        <c:smooth val="0"/>
        <c:axId val="274156544"/>
        <c:axId val="291205504"/>
      </c:lineChart>
      <c:catAx>
        <c:axId val="274156544"/>
        <c:scaling>
          <c:orientation val="minMax"/>
        </c:scaling>
        <c:delete val="0"/>
        <c:axPos val="b"/>
        <c:majorGridlines>
          <c:spPr>
            <a:ln>
              <a:solidFill>
                <a:schemeClr val="bg1">
                  <a:lumMod val="85000"/>
                </a:schemeClr>
              </a:solidFill>
            </a:ln>
          </c:spPr>
        </c:majorGridlines>
        <c:numFmt formatCode="General" sourceLinked="0"/>
        <c:majorTickMark val="out"/>
        <c:minorTickMark val="none"/>
        <c:tickLblPos val="nextTo"/>
        <c:txPr>
          <a:bodyPr/>
          <a:lstStyle/>
          <a:p>
            <a:pPr>
              <a:defRPr sz="900"/>
            </a:pPr>
            <a:endParaRPr lang="pt-BR"/>
          </a:p>
        </c:txPr>
        <c:crossAx val="291205504"/>
        <c:crosses val="autoZero"/>
        <c:auto val="1"/>
        <c:lblAlgn val="ctr"/>
        <c:lblOffset val="100"/>
        <c:noMultiLvlLbl val="0"/>
      </c:catAx>
      <c:valAx>
        <c:axId val="291205504"/>
        <c:scaling>
          <c:orientation val="minMax"/>
        </c:scaling>
        <c:delete val="0"/>
        <c:axPos val="l"/>
        <c:majorGridlines>
          <c:spPr>
            <a:ln>
              <a:solidFill>
                <a:schemeClr val="bg1">
                  <a:lumMod val="85000"/>
                </a:schemeClr>
              </a:solidFill>
            </a:ln>
          </c:spPr>
        </c:majorGridlines>
        <c:title>
          <c:tx>
            <c:rich>
              <a:bodyPr rot="-5400000" vert="horz"/>
              <a:lstStyle/>
              <a:p>
                <a:pPr>
                  <a:defRPr/>
                </a:pPr>
                <a:r>
                  <a:rPr lang="pt-BR"/>
                  <a:t>R$/Kg</a:t>
                </a:r>
              </a:p>
            </c:rich>
          </c:tx>
          <c:layout/>
          <c:overlay val="0"/>
        </c:title>
        <c:numFmt formatCode="General" sourceLinked="1"/>
        <c:majorTickMark val="out"/>
        <c:minorTickMark val="none"/>
        <c:tickLblPos val="nextTo"/>
        <c:crossAx val="274156544"/>
        <c:crosses val="autoZero"/>
        <c:crossBetween val="between"/>
      </c:valAx>
    </c:plotArea>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Spin" dx="22" fmlaLink="$U$21" max="100" page="10" val="50"/>
</file>

<file path=xl/ctrlProps/ctrlProp11.xml><?xml version="1.0" encoding="utf-8"?>
<formControlPr xmlns="http://schemas.microsoft.com/office/spreadsheetml/2009/9/main" objectType="Spin" dx="22" fmlaLink="$V$21" max="100" page="10" val="25"/>
</file>

<file path=xl/ctrlProps/ctrlProp2.xml><?xml version="1.0" encoding="utf-8"?>
<formControlPr xmlns="http://schemas.microsoft.com/office/spreadsheetml/2009/9/main" objectType="Radio" checked="Checked" firstButton="1" fmlaLink="$Y$4"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Drop" dropStyle="combo" dx="22" fmlaLink="$AB$7" fmlaRange="$AA$4:$AA$6" noThreeD="1" val="0"/>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Spin" dx="22" fmlaLink="$T$21" max="100" page="10" val="8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3.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4.png"/><Relationship Id="rId5" Type="http://schemas.openxmlformats.org/officeDocument/2006/relationships/chart" Target="../charts/chart2.xml"/><Relationship Id="rId4" Type="http://schemas.openxmlformats.org/officeDocument/2006/relationships/image" Target="../media/image17.jpg"/></Relationships>
</file>

<file path=xl/drawings/drawing1.xml><?xml version="1.0" encoding="utf-8"?>
<xdr:wsDr xmlns:xdr="http://schemas.openxmlformats.org/drawingml/2006/spreadsheetDrawing" xmlns:a="http://schemas.openxmlformats.org/drawingml/2006/main">
  <xdr:twoCellAnchor>
    <xdr:from>
      <xdr:col>13</xdr:col>
      <xdr:colOff>104775</xdr:colOff>
      <xdr:row>13</xdr:row>
      <xdr:rowOff>133350</xdr:rowOff>
    </xdr:from>
    <xdr:to>
      <xdr:col>13</xdr:col>
      <xdr:colOff>104775</xdr:colOff>
      <xdr:row>32</xdr:row>
      <xdr:rowOff>19050</xdr:rowOff>
    </xdr:to>
    <xdr:cxnSp macro="">
      <xdr:nvCxnSpPr>
        <xdr:cNvPr id="4" name="Conector reto 3">
          <a:extLst>
            <a:ext uri="{FF2B5EF4-FFF2-40B4-BE49-F238E27FC236}">
              <a16:creationId xmlns="" xmlns:a16="http://schemas.microsoft.com/office/drawing/2014/main" id="{00000000-0008-0000-0000-000004000000}"/>
            </a:ext>
          </a:extLst>
        </xdr:cNvPr>
        <xdr:cNvCxnSpPr/>
      </xdr:nvCxnSpPr>
      <xdr:spPr>
        <a:xfrm>
          <a:off x="6143625" y="895350"/>
          <a:ext cx="0" cy="3038475"/>
        </a:xfrm>
        <a:prstGeom prst="line">
          <a:avLst/>
        </a:prstGeom>
        <a:ln w="28575">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13</xdr:row>
      <xdr:rowOff>123825</xdr:rowOff>
    </xdr:from>
    <xdr:to>
      <xdr:col>19</xdr:col>
      <xdr:colOff>95250</xdr:colOff>
      <xdr:row>32</xdr:row>
      <xdr:rowOff>9525</xdr:rowOff>
    </xdr:to>
    <xdr:cxnSp macro="">
      <xdr:nvCxnSpPr>
        <xdr:cNvPr id="5" name="Conector reto 4">
          <a:extLst>
            <a:ext uri="{FF2B5EF4-FFF2-40B4-BE49-F238E27FC236}">
              <a16:creationId xmlns="" xmlns:a16="http://schemas.microsoft.com/office/drawing/2014/main" id="{00000000-0008-0000-0000-000005000000}"/>
            </a:ext>
          </a:extLst>
        </xdr:cNvPr>
        <xdr:cNvCxnSpPr/>
      </xdr:nvCxnSpPr>
      <xdr:spPr>
        <a:xfrm>
          <a:off x="9353550" y="885825"/>
          <a:ext cx="0" cy="3038475"/>
        </a:xfrm>
        <a:prstGeom prst="line">
          <a:avLst/>
        </a:prstGeom>
        <a:ln w="28575">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179733</xdr:colOff>
      <xdr:row>11</xdr:row>
      <xdr:rowOff>47625</xdr:rowOff>
    </xdr:from>
    <xdr:to>
      <xdr:col>16</xdr:col>
      <xdr:colOff>446433</xdr:colOff>
      <xdr:row>12</xdr:row>
      <xdr:rowOff>152400</xdr:rowOff>
    </xdr:to>
    <xdr:sp macro="" textlink="">
      <xdr:nvSpPr>
        <xdr:cNvPr id="8" name="Seta: para Baixo 7">
          <a:extLst>
            <a:ext uri="{FF2B5EF4-FFF2-40B4-BE49-F238E27FC236}">
              <a16:creationId xmlns="" xmlns:a16="http://schemas.microsoft.com/office/drawing/2014/main" id="{00000000-0008-0000-0000-000008000000}"/>
            </a:ext>
          </a:extLst>
        </xdr:cNvPr>
        <xdr:cNvSpPr/>
      </xdr:nvSpPr>
      <xdr:spPr>
        <a:xfrm>
          <a:off x="9779276" y="2524125"/>
          <a:ext cx="266700" cy="295275"/>
        </a:xfrm>
        <a:prstGeom prst="downArrow">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190500</xdr:colOff>
      <xdr:row>11</xdr:row>
      <xdr:rowOff>47624</xdr:rowOff>
    </xdr:from>
    <xdr:to>
      <xdr:col>6</xdr:col>
      <xdr:colOff>457200</xdr:colOff>
      <xdr:row>14</xdr:row>
      <xdr:rowOff>9525</xdr:rowOff>
    </xdr:to>
    <xdr:sp macro="" textlink="">
      <xdr:nvSpPr>
        <xdr:cNvPr id="9" name="Seta: para Baixo 8">
          <a:extLst>
            <a:ext uri="{FF2B5EF4-FFF2-40B4-BE49-F238E27FC236}">
              <a16:creationId xmlns="" xmlns:a16="http://schemas.microsoft.com/office/drawing/2014/main" id="{00000000-0008-0000-0000-000009000000}"/>
            </a:ext>
          </a:extLst>
        </xdr:cNvPr>
        <xdr:cNvSpPr/>
      </xdr:nvSpPr>
      <xdr:spPr>
        <a:xfrm>
          <a:off x="5048250" y="2200274"/>
          <a:ext cx="266700" cy="552451"/>
        </a:xfrm>
        <a:prstGeom prst="downArrow">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2</xdr:col>
      <xdr:colOff>66675</xdr:colOff>
      <xdr:row>1</xdr:row>
      <xdr:rowOff>104775</xdr:rowOff>
    </xdr:from>
    <xdr:to>
      <xdr:col>2</xdr:col>
      <xdr:colOff>2457450</xdr:colOff>
      <xdr:row>7</xdr:row>
      <xdr:rowOff>158452</xdr:rowOff>
    </xdr:to>
    <xdr:pic>
      <xdr:nvPicPr>
        <xdr:cNvPr id="11" name="Imagem 10">
          <a:extLst>
            <a:ext uri="{FF2B5EF4-FFF2-40B4-BE49-F238E27FC236}">
              <a16:creationId xmlns="" xmlns:a16="http://schemas.microsoft.com/office/drawing/2014/main" id="{00000000-0008-0000-0000-00000B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886" t="14639" r="9886" b="11969"/>
        <a:stretch/>
      </xdr:blipFill>
      <xdr:spPr>
        <a:xfrm>
          <a:off x="238125" y="219075"/>
          <a:ext cx="2390775" cy="1308760"/>
        </a:xfrm>
        <a:prstGeom prst="rect">
          <a:avLst/>
        </a:prstGeom>
      </xdr:spPr>
    </xdr:pic>
    <xdr:clientData/>
  </xdr:twoCellAnchor>
  <xdr:twoCellAnchor editAs="oneCell">
    <xdr:from>
      <xdr:col>2</xdr:col>
      <xdr:colOff>66676</xdr:colOff>
      <xdr:row>7</xdr:row>
      <xdr:rowOff>123826</xdr:rowOff>
    </xdr:from>
    <xdr:to>
      <xdr:col>2</xdr:col>
      <xdr:colOff>2619376</xdr:colOff>
      <xdr:row>9</xdr:row>
      <xdr:rowOff>72444</xdr:rowOff>
    </xdr:to>
    <xdr:pic>
      <xdr:nvPicPr>
        <xdr:cNvPr id="2" name="Imagem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238126" y="1495426"/>
          <a:ext cx="2552700" cy="329617"/>
        </a:xfrm>
        <a:prstGeom prst="rect">
          <a:avLst/>
        </a:prstGeom>
      </xdr:spPr>
    </xdr:pic>
    <xdr:clientData/>
  </xdr:twoCellAnchor>
  <xdr:twoCellAnchor>
    <xdr:from>
      <xdr:col>2</xdr:col>
      <xdr:colOff>600077</xdr:colOff>
      <xdr:row>9</xdr:row>
      <xdr:rowOff>76200</xdr:rowOff>
    </xdr:from>
    <xdr:to>
      <xdr:col>2</xdr:col>
      <xdr:colOff>2298248</xdr:colOff>
      <xdr:row>11</xdr:row>
      <xdr:rowOff>0</xdr:rowOff>
    </xdr:to>
    <xdr:sp macro="" textlink="">
      <xdr:nvSpPr>
        <xdr:cNvPr id="13" name="Fluxograma: Processo 12">
          <a:extLst>
            <a:ext uri="{FF2B5EF4-FFF2-40B4-BE49-F238E27FC236}">
              <a16:creationId xmlns="" xmlns:a16="http://schemas.microsoft.com/office/drawing/2014/main" id="{00000000-0008-0000-0000-00000D000000}"/>
            </a:ext>
          </a:extLst>
        </xdr:cNvPr>
        <xdr:cNvSpPr/>
      </xdr:nvSpPr>
      <xdr:spPr>
        <a:xfrm>
          <a:off x="750472" y="1790700"/>
          <a:ext cx="1698171" cy="354932"/>
        </a:xfrm>
        <a:prstGeom prst="flowChartProcess">
          <a:avLst/>
        </a:prstGeom>
        <a:solidFill>
          <a:srgbClr val="96CAE0"/>
        </a:solidFill>
        <a:ln>
          <a:solidFill>
            <a:srgbClr val="96CAE0"/>
          </a:solidFill>
        </a:ln>
        <a:effectLst>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600" b="1"/>
        </a:p>
      </xdr:txBody>
    </xdr:sp>
    <xdr:clientData/>
  </xdr:twoCellAnchor>
  <xdr:twoCellAnchor>
    <xdr:from>
      <xdr:col>2</xdr:col>
      <xdr:colOff>600077</xdr:colOff>
      <xdr:row>9</xdr:row>
      <xdr:rowOff>161924</xdr:rowOff>
    </xdr:from>
    <xdr:to>
      <xdr:col>2</xdr:col>
      <xdr:colOff>2169182</xdr:colOff>
      <xdr:row>11</xdr:row>
      <xdr:rowOff>9524</xdr:rowOff>
    </xdr:to>
    <xdr:sp macro="" textlink="">
      <xdr:nvSpPr>
        <xdr:cNvPr id="14" name="Fluxograma: Processo Alternativo 13">
          <a:extLst>
            <a:ext uri="{FF2B5EF4-FFF2-40B4-BE49-F238E27FC236}">
              <a16:creationId xmlns="" xmlns:a16="http://schemas.microsoft.com/office/drawing/2014/main" id="{00000000-0008-0000-0000-00000E000000}"/>
            </a:ext>
          </a:extLst>
        </xdr:cNvPr>
        <xdr:cNvSpPr/>
      </xdr:nvSpPr>
      <xdr:spPr>
        <a:xfrm>
          <a:off x="750472" y="1876424"/>
          <a:ext cx="1569105" cy="278732"/>
        </a:xfrm>
        <a:prstGeom prst="flowChartAlternateProcess">
          <a:avLst/>
        </a:prstGeom>
        <a:solidFill>
          <a:srgbClr val="3895B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i="0" u="none" strike="noStrike">
              <a:solidFill>
                <a:schemeClr val="bg1"/>
              </a:solidFill>
              <a:effectLst/>
              <a:latin typeface="Calibri"/>
              <a:ea typeface="+mn-ea"/>
              <a:cs typeface="Calibri"/>
            </a:rPr>
            <a:t>12/18 a 01/19</a:t>
          </a:r>
          <a:endParaRPr lang="pt-BR">
            <a:solidFill>
              <a:schemeClr val="bg1"/>
            </a:solidFill>
            <a:effectLst/>
          </a:endParaRPr>
        </a:p>
      </xdr:txBody>
    </xdr:sp>
    <xdr:clientData/>
  </xdr:twoCellAnchor>
  <mc:AlternateContent xmlns:mc="http://schemas.openxmlformats.org/markup-compatibility/2006">
    <mc:Choice xmlns:a14="http://schemas.microsoft.com/office/drawing/2010/main" Requires="a14">
      <xdr:twoCellAnchor editAs="absolute">
        <xdr:from>
          <xdr:col>11</xdr:col>
          <xdr:colOff>47625</xdr:colOff>
          <xdr:row>5</xdr:row>
          <xdr:rowOff>104775</xdr:rowOff>
        </xdr:from>
        <xdr:to>
          <xdr:col>14</xdr:col>
          <xdr:colOff>381000</xdr:colOff>
          <xdr:row>10</xdr:row>
          <xdr:rowOff>28575</xdr:rowOff>
        </xdr:to>
        <xdr:sp macro="" textlink="">
          <xdr:nvSpPr>
            <xdr:cNvPr id="1027" name="Caixa de grupo 3" hidden="1">
              <a:extLst>
                <a:ext uri="{63B3BB69-23CF-44E3-9099-C40C66FF867C}">
                  <a14:compatExt spid="_x0000_s1027"/>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pt-BR" sz="800" b="0" i="0" u="none" strike="noStrike" baseline="0">
                  <a:solidFill>
                    <a:srgbClr val="000000"/>
                  </a:solidFill>
                  <a:latin typeface="Segoe UI"/>
                  <a:cs typeface="Segoe UI"/>
                </a:rPr>
                <a:t>PRAZOS DE PAGAMENTO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6</xdr:row>
          <xdr:rowOff>142875</xdr:rowOff>
        </xdr:from>
        <xdr:to>
          <xdr:col>12</xdr:col>
          <xdr:colOff>104775</xdr:colOff>
          <xdr:row>7</xdr:row>
          <xdr:rowOff>152400</xdr:rowOff>
        </xdr:to>
        <xdr:sp macro="" textlink="">
          <xdr:nvSpPr>
            <xdr:cNvPr id="1036" name="Botão de opção 12" hidden="1">
              <a:extLst>
                <a:ext uri="{63B3BB69-23CF-44E3-9099-C40C66FF867C}">
                  <a14:compatExt spid="_x0000_s10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Antecipado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7</xdr:row>
          <xdr:rowOff>171450</xdr:rowOff>
        </xdr:from>
        <xdr:to>
          <xdr:col>12</xdr:col>
          <xdr:colOff>104775</xdr:colOff>
          <xdr:row>8</xdr:row>
          <xdr:rowOff>180975</xdr:rowOff>
        </xdr:to>
        <xdr:sp macro="" textlink="">
          <xdr:nvSpPr>
            <xdr:cNvPr id="1039" name="Botão de opção 15" hidden="1">
              <a:extLst>
                <a:ext uri="{63B3BB69-23CF-44E3-9099-C40C66FF867C}">
                  <a14:compatExt spid="_x0000_s10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28 dias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219075</xdr:colOff>
          <xdr:row>9</xdr:row>
          <xdr:rowOff>19050</xdr:rowOff>
        </xdr:from>
        <xdr:to>
          <xdr:col>12</xdr:col>
          <xdr:colOff>104775</xdr:colOff>
          <xdr:row>9</xdr:row>
          <xdr:rowOff>219075</xdr:rowOff>
        </xdr:to>
        <xdr:sp macro="" textlink="">
          <xdr:nvSpPr>
            <xdr:cNvPr id="1040" name="Botão de opção 16" hidden="1">
              <a:extLst>
                <a:ext uri="{63B3BB69-23CF-44E3-9099-C40C66FF867C}">
                  <a14:compatExt spid="_x0000_s10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 dias</a:t>
              </a:r>
            </a:p>
          </xdr:txBody>
        </xdr:sp>
        <xdr:clientData/>
      </xdr:twoCellAnchor>
    </mc:Choice>
    <mc:Fallback/>
  </mc:AlternateContent>
  <xdr:twoCellAnchor editAs="oneCell">
    <xdr:from>
      <xdr:col>4</xdr:col>
      <xdr:colOff>381000</xdr:colOff>
      <xdr:row>6</xdr:row>
      <xdr:rowOff>171449</xdr:rowOff>
    </xdr:from>
    <xdr:to>
      <xdr:col>5</xdr:col>
      <xdr:colOff>496128</xdr:colOff>
      <xdr:row>11</xdr:row>
      <xdr:rowOff>44133</xdr:rowOff>
    </xdr:to>
    <xdr:pic>
      <xdr:nvPicPr>
        <xdr:cNvPr id="23" name="Imagem 22">
          <a:extLst>
            <a:ext uri="{FF2B5EF4-FFF2-40B4-BE49-F238E27FC236}">
              <a16:creationId xmlns="" xmlns:a16="http://schemas.microsoft.com/office/drawing/2014/main" id="{00000000-0008-0000-00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019550" y="1323974"/>
          <a:ext cx="872807" cy="872808"/>
        </a:xfrm>
        <a:prstGeom prst="rect">
          <a:avLst/>
        </a:prstGeom>
      </xdr:spPr>
    </xdr:pic>
    <xdr:clientData/>
  </xdr:twoCellAnchor>
  <xdr:twoCellAnchor editAs="oneCell">
    <xdr:from>
      <xdr:col>2</xdr:col>
      <xdr:colOff>0</xdr:colOff>
      <xdr:row>15</xdr:row>
      <xdr:rowOff>16627</xdr:rowOff>
    </xdr:from>
    <xdr:to>
      <xdr:col>2</xdr:col>
      <xdr:colOff>1428750</xdr:colOff>
      <xdr:row>15</xdr:row>
      <xdr:rowOff>523875</xdr:rowOff>
    </xdr:to>
    <xdr:pic>
      <xdr:nvPicPr>
        <xdr:cNvPr id="26" name="Imagem 25">
          <a:extLst>
            <a:ext uri="{FF2B5EF4-FFF2-40B4-BE49-F238E27FC236}">
              <a16:creationId xmlns=""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5750" y="2931277"/>
          <a:ext cx="1428750" cy="5072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9526</xdr:colOff>
      <xdr:row>17</xdr:row>
      <xdr:rowOff>38100</xdr:rowOff>
    </xdr:from>
    <xdr:to>
      <xdr:col>2</xdr:col>
      <xdr:colOff>1389157</xdr:colOff>
      <xdr:row>17</xdr:row>
      <xdr:rowOff>545700</xdr:rowOff>
    </xdr:to>
    <xdr:pic>
      <xdr:nvPicPr>
        <xdr:cNvPr id="28" name="Imagem 27">
          <a:extLst>
            <a:ext uri="{FF2B5EF4-FFF2-40B4-BE49-F238E27FC236}">
              <a16:creationId xmlns=""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95276" y="3781425"/>
          <a:ext cx="1379631"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25</xdr:row>
      <xdr:rowOff>19050</xdr:rowOff>
    </xdr:from>
    <xdr:to>
      <xdr:col>2</xdr:col>
      <xdr:colOff>1311972</xdr:colOff>
      <xdr:row>25</xdr:row>
      <xdr:rowOff>526650</xdr:rowOff>
    </xdr:to>
    <xdr:pic>
      <xdr:nvPicPr>
        <xdr:cNvPr id="29" name="Imagem 28">
          <a:extLst>
            <a:ext uri="{FF2B5EF4-FFF2-40B4-BE49-F238E27FC236}">
              <a16:creationId xmlns=""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95275" y="5972175"/>
          <a:ext cx="1302447"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133350</xdr:colOff>
          <xdr:row>8</xdr:row>
          <xdr:rowOff>114300</xdr:rowOff>
        </xdr:from>
        <xdr:to>
          <xdr:col>9</xdr:col>
          <xdr:colOff>457200</xdr:colOff>
          <xdr:row>9</xdr:row>
          <xdr:rowOff>114300</xdr:rowOff>
        </xdr:to>
        <xdr:sp macro="" textlink="">
          <xdr:nvSpPr>
            <xdr:cNvPr id="1046" name="Drop-down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xdr:twoCellAnchor>
    <xdr:from>
      <xdr:col>6</xdr:col>
      <xdr:colOff>257174</xdr:colOff>
      <xdr:row>11</xdr:row>
      <xdr:rowOff>47625</xdr:rowOff>
    </xdr:from>
    <xdr:to>
      <xdr:col>16</xdr:col>
      <xdr:colOff>374430</xdr:colOff>
      <xdr:row>11</xdr:row>
      <xdr:rowOff>161925</xdr:rowOff>
    </xdr:to>
    <xdr:sp macro="" textlink="">
      <xdr:nvSpPr>
        <xdr:cNvPr id="6" name="Retângulo 5">
          <a:extLst>
            <a:ext uri="{FF2B5EF4-FFF2-40B4-BE49-F238E27FC236}">
              <a16:creationId xmlns="" xmlns:a16="http://schemas.microsoft.com/office/drawing/2014/main" id="{00000000-0008-0000-0000-000006000000}"/>
            </a:ext>
          </a:extLst>
        </xdr:cNvPr>
        <xdr:cNvSpPr/>
      </xdr:nvSpPr>
      <xdr:spPr>
        <a:xfrm>
          <a:off x="5114924" y="2200275"/>
          <a:ext cx="5013106" cy="114300"/>
        </a:xfrm>
        <a:prstGeom prst="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mc:AlternateContent xmlns:mc="http://schemas.openxmlformats.org/markup-compatibility/2006">
    <mc:Choice xmlns:a14="http://schemas.microsoft.com/office/drawing/2010/main" Requires="a14">
      <xdr:twoCellAnchor editAs="oneCell">
        <xdr:from>
          <xdr:col>12</xdr:col>
          <xdr:colOff>314325</xdr:colOff>
          <xdr:row>6</xdr:row>
          <xdr:rowOff>161925</xdr:rowOff>
        </xdr:from>
        <xdr:to>
          <xdr:col>14</xdr:col>
          <xdr:colOff>142875</xdr:colOff>
          <xdr:row>7</xdr:row>
          <xdr:rowOff>171450</xdr:rowOff>
        </xdr:to>
        <xdr:sp macro="" textlink="">
          <xdr:nvSpPr>
            <xdr:cNvPr id="1049" name="Botão de opção 25" hidden="1">
              <a:extLst>
                <a:ext uri="{63B3BB69-23CF-44E3-9099-C40C66FF867C}">
                  <a14:compatExt spid="_x0000_s1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28/42 dias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323850</xdr:colOff>
          <xdr:row>7</xdr:row>
          <xdr:rowOff>161925</xdr:rowOff>
        </xdr:from>
        <xdr:to>
          <xdr:col>14</xdr:col>
          <xdr:colOff>152400</xdr:colOff>
          <xdr:row>8</xdr:row>
          <xdr:rowOff>171450</xdr:rowOff>
        </xdr:to>
        <xdr:sp macro="" textlink="">
          <xdr:nvSpPr>
            <xdr:cNvPr id="1054" name="Botão de opção 30" hidden="1">
              <a:extLst>
                <a:ext uri="{63B3BB69-23CF-44E3-9099-C40C66FF867C}">
                  <a14:compatExt spid="_x0000_s10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35/42 dias</a:t>
              </a:r>
            </a:p>
          </xdr:txBody>
        </xdr:sp>
        <xdr:clientData/>
      </xdr:twoCellAnchor>
    </mc:Choice>
    <mc:Fallback/>
  </mc:AlternateContent>
  <xdr:twoCellAnchor>
    <xdr:from>
      <xdr:col>2</xdr:col>
      <xdr:colOff>0</xdr:colOff>
      <xdr:row>31</xdr:row>
      <xdr:rowOff>30078</xdr:rowOff>
    </xdr:from>
    <xdr:to>
      <xdr:col>2</xdr:col>
      <xdr:colOff>1315573</xdr:colOff>
      <xdr:row>31</xdr:row>
      <xdr:rowOff>537678</xdr:rowOff>
    </xdr:to>
    <xdr:pic>
      <xdr:nvPicPr>
        <xdr:cNvPr id="24" name="Imagem 23">
          <a:extLst>
            <a:ext uri="{FF2B5EF4-FFF2-40B4-BE49-F238E27FC236}">
              <a16:creationId xmlns=""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395" y="7630025"/>
          <a:ext cx="1315573" cy="50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12</xdr:col>
          <xdr:colOff>323850</xdr:colOff>
          <xdr:row>9</xdr:row>
          <xdr:rowOff>0</xdr:rowOff>
        </xdr:from>
        <xdr:to>
          <xdr:col>14</xdr:col>
          <xdr:colOff>152400</xdr:colOff>
          <xdr:row>9</xdr:row>
          <xdr:rowOff>200025</xdr:rowOff>
        </xdr:to>
        <xdr:sp macro="" textlink="">
          <xdr:nvSpPr>
            <xdr:cNvPr id="1056" name="Option Button 32" hidden="1">
              <a:extLst>
                <a:ext uri="{63B3BB69-23CF-44E3-9099-C40C66FF867C}">
                  <a14:compatExt spid="_x0000_s1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35/63 dias</a:t>
              </a:r>
            </a:p>
          </xdr:txBody>
        </xdr:sp>
        <xdr:clientData/>
      </xdr:twoCellAnchor>
    </mc:Choice>
    <mc:Fallback/>
  </mc:AlternateContent>
  <xdr:twoCellAnchor editAs="oneCell">
    <xdr:from>
      <xdr:col>14</xdr:col>
      <xdr:colOff>531394</xdr:colOff>
      <xdr:row>4</xdr:row>
      <xdr:rowOff>194032</xdr:rowOff>
    </xdr:from>
    <xdr:to>
      <xdr:col>16</xdr:col>
      <xdr:colOff>483268</xdr:colOff>
      <xdr:row>11</xdr:row>
      <xdr:rowOff>19049</xdr:rowOff>
    </xdr:to>
    <xdr:pic>
      <xdr:nvPicPr>
        <xdr:cNvPr id="25" name="Imagem 24" descr="http://www.indeba.com.br/site/wp-content/themes/indeba/imagens/mapa.png"/>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344526" y="956032"/>
          <a:ext cx="1275347" cy="1238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171451</xdr:colOff>
      <xdr:row>1</xdr:row>
      <xdr:rowOff>59676</xdr:rowOff>
    </xdr:from>
    <xdr:to>
      <xdr:col>17</xdr:col>
      <xdr:colOff>733426</xdr:colOff>
      <xdr:row>5</xdr:row>
      <xdr:rowOff>85723</xdr:rowOff>
    </xdr:to>
    <xdr:pic>
      <xdr:nvPicPr>
        <xdr:cNvPr id="2" name="Imagem 1">
          <a:extLst>
            <a:ext uri="{FF2B5EF4-FFF2-40B4-BE49-F238E27FC236}">
              <a16:creationId xmlns=""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068" t="15595" r="12690" b="17998"/>
        <a:stretch/>
      </xdr:blipFill>
      <xdr:spPr>
        <a:xfrm>
          <a:off x="6600826" y="202551"/>
          <a:ext cx="1371600" cy="692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76201</xdr:colOff>
      <xdr:row>30</xdr:row>
      <xdr:rowOff>28575</xdr:rowOff>
    </xdr:from>
    <xdr:to>
      <xdr:col>0</xdr:col>
      <xdr:colOff>1229352</xdr:colOff>
      <xdr:row>30</xdr:row>
      <xdr:rowOff>532575</xdr:rowOff>
    </xdr:to>
    <xdr:pic>
      <xdr:nvPicPr>
        <xdr:cNvPr id="2" name="Picture 5">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201" y="5686425"/>
          <a:ext cx="1153151" cy="504000"/>
        </a:xfrm>
        <a:prstGeom prst="rect">
          <a:avLst/>
        </a:prstGeom>
        <a:noFill/>
      </xdr:spPr>
    </xdr:pic>
    <xdr:clientData/>
  </xdr:twoCellAnchor>
  <xdr:twoCellAnchor>
    <xdr:from>
      <xdr:col>0</xdr:col>
      <xdr:colOff>19050</xdr:colOff>
      <xdr:row>22</xdr:row>
      <xdr:rowOff>28575</xdr:rowOff>
    </xdr:from>
    <xdr:to>
      <xdr:col>0</xdr:col>
      <xdr:colOff>1135050</xdr:colOff>
      <xdr:row>22</xdr:row>
      <xdr:rowOff>532575</xdr:rowOff>
    </xdr:to>
    <xdr:pic>
      <xdr:nvPicPr>
        <xdr:cNvPr id="3" name="Picture 7">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50" y="3933825"/>
          <a:ext cx="1116000" cy="504000"/>
        </a:xfrm>
        <a:prstGeom prst="rect">
          <a:avLst/>
        </a:prstGeom>
        <a:noFill/>
      </xdr:spPr>
    </xdr:pic>
    <xdr:clientData/>
  </xdr:twoCellAnchor>
  <xdr:twoCellAnchor>
    <xdr:from>
      <xdr:col>0</xdr:col>
      <xdr:colOff>47625</xdr:colOff>
      <xdr:row>20</xdr:row>
      <xdr:rowOff>28575</xdr:rowOff>
    </xdr:from>
    <xdr:to>
      <xdr:col>0</xdr:col>
      <xdr:colOff>1195625</xdr:colOff>
      <xdr:row>20</xdr:row>
      <xdr:rowOff>532575</xdr:rowOff>
    </xdr:to>
    <xdr:pic>
      <xdr:nvPicPr>
        <xdr:cNvPr id="4" name="Picture 3">
          <a:extLst>
            <a:ext uri="{FF2B5EF4-FFF2-40B4-BE49-F238E27FC236}">
              <a16:creationId xmlns=""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3181350"/>
          <a:ext cx="1148000" cy="504000"/>
        </a:xfrm>
        <a:prstGeom prst="rect">
          <a:avLst/>
        </a:prstGeom>
        <a:noFill/>
      </xdr:spPr>
    </xdr:pic>
    <xdr:clientData/>
  </xdr:twoCellAnchor>
  <xdr:twoCellAnchor>
    <xdr:from>
      <xdr:col>17</xdr:col>
      <xdr:colOff>76201</xdr:colOff>
      <xdr:row>30</xdr:row>
      <xdr:rowOff>28575</xdr:rowOff>
    </xdr:from>
    <xdr:to>
      <xdr:col>17</xdr:col>
      <xdr:colOff>1229352</xdr:colOff>
      <xdr:row>30</xdr:row>
      <xdr:rowOff>532575</xdr:rowOff>
    </xdr:to>
    <xdr:pic>
      <xdr:nvPicPr>
        <xdr:cNvPr id="5" name="Picture 5">
          <a:extLst>
            <a:ext uri="{FF2B5EF4-FFF2-40B4-BE49-F238E27FC236}">
              <a16:creationId xmlns=""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982701" y="5686425"/>
          <a:ext cx="1153151" cy="504000"/>
        </a:xfrm>
        <a:prstGeom prst="rect">
          <a:avLst/>
        </a:prstGeom>
        <a:noFill/>
      </xdr:spPr>
    </xdr:pic>
    <xdr:clientData/>
  </xdr:twoCellAnchor>
  <xdr:twoCellAnchor>
    <xdr:from>
      <xdr:col>17</xdr:col>
      <xdr:colOff>19050</xdr:colOff>
      <xdr:row>22</xdr:row>
      <xdr:rowOff>28575</xdr:rowOff>
    </xdr:from>
    <xdr:to>
      <xdr:col>17</xdr:col>
      <xdr:colOff>1135050</xdr:colOff>
      <xdr:row>22</xdr:row>
      <xdr:rowOff>532575</xdr:rowOff>
    </xdr:to>
    <xdr:pic>
      <xdr:nvPicPr>
        <xdr:cNvPr id="6" name="Picture 7">
          <a:extLst>
            <a:ext uri="{FF2B5EF4-FFF2-40B4-BE49-F238E27FC236}">
              <a16:creationId xmlns=""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925550" y="3933825"/>
          <a:ext cx="1116000" cy="504000"/>
        </a:xfrm>
        <a:prstGeom prst="rect">
          <a:avLst/>
        </a:prstGeom>
        <a:noFill/>
      </xdr:spPr>
    </xdr:pic>
    <xdr:clientData/>
  </xdr:twoCellAnchor>
  <xdr:twoCellAnchor>
    <xdr:from>
      <xdr:col>17</xdr:col>
      <xdr:colOff>47625</xdr:colOff>
      <xdr:row>20</xdr:row>
      <xdr:rowOff>28575</xdr:rowOff>
    </xdr:from>
    <xdr:to>
      <xdr:col>17</xdr:col>
      <xdr:colOff>1195625</xdr:colOff>
      <xdr:row>20</xdr:row>
      <xdr:rowOff>532575</xdr:rowOff>
    </xdr:to>
    <xdr:pic>
      <xdr:nvPicPr>
        <xdr:cNvPr id="7" name="Picture 3">
          <a:extLst>
            <a:ext uri="{FF2B5EF4-FFF2-40B4-BE49-F238E27FC236}">
              <a16:creationId xmlns=""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3954125" y="3181350"/>
          <a:ext cx="1148000" cy="504000"/>
        </a:xfrm>
        <a:prstGeom prst="rect">
          <a:avLst/>
        </a:prstGeom>
        <a:noFill/>
      </xdr:spPr>
    </xdr:pic>
    <xdr:clientData/>
  </xdr:twoCellAnchor>
  <mc:AlternateContent xmlns:mc="http://schemas.openxmlformats.org/markup-compatibility/2006">
    <mc:Choice xmlns:a14="http://schemas.microsoft.com/office/drawing/2010/main" Requires="a14">
      <xdr:twoCellAnchor>
        <xdr:from>
          <xdr:col>19</xdr:col>
          <xdr:colOff>66675</xdr:colOff>
          <xdr:row>20</xdr:row>
          <xdr:rowOff>85725</xdr:rowOff>
        </xdr:from>
        <xdr:to>
          <xdr:col>19</xdr:col>
          <xdr:colOff>257175</xdr:colOff>
          <xdr:row>20</xdr:row>
          <xdr:rowOff>504825</xdr:rowOff>
        </xdr:to>
        <xdr:sp macro="" textlink="">
          <xdr:nvSpPr>
            <xdr:cNvPr id="3073" name="Spinner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66675</xdr:colOff>
          <xdr:row>20</xdr:row>
          <xdr:rowOff>85725</xdr:rowOff>
        </xdr:from>
        <xdr:to>
          <xdr:col>20</xdr:col>
          <xdr:colOff>257175</xdr:colOff>
          <xdr:row>20</xdr:row>
          <xdr:rowOff>504825</xdr:rowOff>
        </xdr:to>
        <xdr:sp macro="" textlink="">
          <xdr:nvSpPr>
            <xdr:cNvPr id="3074" name="Spinner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66675</xdr:colOff>
          <xdr:row>20</xdr:row>
          <xdr:rowOff>85725</xdr:rowOff>
        </xdr:from>
        <xdr:to>
          <xdr:col>21</xdr:col>
          <xdr:colOff>257175</xdr:colOff>
          <xdr:row>20</xdr:row>
          <xdr:rowOff>504825</xdr:rowOff>
        </xdr:to>
        <xdr:sp macro="" textlink="">
          <xdr:nvSpPr>
            <xdr:cNvPr id="3075" name="Spinner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4</xdr:col>
      <xdr:colOff>142875</xdr:colOff>
      <xdr:row>52</xdr:row>
      <xdr:rowOff>9525</xdr:rowOff>
    </xdr:from>
    <xdr:to>
      <xdr:col>10</xdr:col>
      <xdr:colOff>104775</xdr:colOff>
      <xdr:row>60</xdr:row>
      <xdr:rowOff>86677</xdr:rowOff>
    </xdr:to>
    <xdr:graphicFrame macro="">
      <xdr:nvGraphicFramePr>
        <xdr:cNvPr id="11" name="Gráfico 10">
          <a:extLst>
            <a:ext uri="{FF2B5EF4-FFF2-40B4-BE49-F238E27FC236}">
              <a16:creationId xmlns=""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36</xdr:row>
      <xdr:rowOff>28575</xdr:rowOff>
    </xdr:from>
    <xdr:to>
      <xdr:col>0</xdr:col>
      <xdr:colOff>905268</xdr:colOff>
      <xdr:row>37</xdr:row>
      <xdr:rowOff>180013</xdr:rowOff>
    </xdr:to>
    <xdr:pic>
      <xdr:nvPicPr>
        <xdr:cNvPr id="12" name="Imagem 11">
          <a:extLst>
            <a:ext uri="{FF2B5EF4-FFF2-40B4-BE49-F238E27FC236}">
              <a16:creationId xmlns=""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050" y="7239000"/>
          <a:ext cx="886218" cy="341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697706</xdr:colOff>
      <xdr:row>0</xdr:row>
      <xdr:rowOff>17860</xdr:rowOff>
    </xdr:from>
    <xdr:to>
      <xdr:col>7</xdr:col>
      <xdr:colOff>1056028</xdr:colOff>
      <xdr:row>1</xdr:row>
      <xdr:rowOff>187360</xdr:rowOff>
    </xdr:to>
    <xdr:pic>
      <xdr:nvPicPr>
        <xdr:cNvPr id="2" name="Imagem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03281" y="17860"/>
          <a:ext cx="358322" cy="360000"/>
        </a:xfrm>
        <a:prstGeom prst="rect">
          <a:avLst/>
        </a:prstGeom>
      </xdr:spPr>
    </xdr:pic>
    <xdr:clientData/>
  </xdr:twoCellAnchor>
  <xdr:twoCellAnchor editAs="oneCell">
    <xdr:from>
      <xdr:col>5</xdr:col>
      <xdr:colOff>535782</xdr:colOff>
      <xdr:row>0</xdr:row>
      <xdr:rowOff>24975</xdr:rowOff>
    </xdr:from>
    <xdr:to>
      <xdr:col>5</xdr:col>
      <xdr:colOff>891629</xdr:colOff>
      <xdr:row>1</xdr:row>
      <xdr:rowOff>190322</xdr:rowOff>
    </xdr:to>
    <xdr:pic>
      <xdr:nvPicPr>
        <xdr:cNvPr id="3" name="Imagem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12557" y="24975"/>
          <a:ext cx="355847" cy="355847"/>
        </a:xfrm>
        <a:prstGeom prst="rect">
          <a:avLst/>
        </a:prstGeom>
      </xdr:spPr>
    </xdr:pic>
    <xdr:clientData/>
  </xdr:twoCellAnchor>
  <xdr:twoCellAnchor editAs="oneCell">
    <xdr:from>
      <xdr:col>5</xdr:col>
      <xdr:colOff>27347</xdr:colOff>
      <xdr:row>0</xdr:row>
      <xdr:rowOff>58898</xdr:rowOff>
    </xdr:from>
    <xdr:to>
      <xdr:col>5</xdr:col>
      <xdr:colOff>315347</xdr:colOff>
      <xdr:row>1</xdr:row>
      <xdr:rowOff>156398</xdr:rowOff>
    </xdr:to>
    <xdr:pic>
      <xdr:nvPicPr>
        <xdr:cNvPr id="4" name="Imagem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04122" y="58898"/>
          <a:ext cx="288000" cy="288000"/>
        </a:xfrm>
        <a:prstGeom prst="rect">
          <a:avLst/>
        </a:prstGeom>
      </xdr:spPr>
    </xdr:pic>
    <xdr:clientData/>
  </xdr:twoCellAnchor>
  <xdr:twoCellAnchor>
    <xdr:from>
      <xdr:col>5</xdr:col>
      <xdr:colOff>363141</xdr:colOff>
      <xdr:row>0</xdr:row>
      <xdr:rowOff>116578</xdr:rowOff>
    </xdr:from>
    <xdr:to>
      <xdr:col>5</xdr:col>
      <xdr:colOff>541735</xdr:colOff>
      <xdr:row>1</xdr:row>
      <xdr:rowOff>98719</xdr:rowOff>
    </xdr:to>
    <xdr:sp macro="" textlink="">
      <xdr:nvSpPr>
        <xdr:cNvPr id="5" name="Seta para a direita 5">
          <a:extLst>
            <a:ext uri="{FF2B5EF4-FFF2-40B4-BE49-F238E27FC236}">
              <a16:creationId xmlns="" xmlns:a16="http://schemas.microsoft.com/office/drawing/2014/main" id="{00000000-0008-0000-0400-000005000000}"/>
            </a:ext>
          </a:extLst>
        </xdr:cNvPr>
        <xdr:cNvSpPr/>
      </xdr:nvSpPr>
      <xdr:spPr>
        <a:xfrm>
          <a:off x="5039916" y="116578"/>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7</xdr:col>
      <xdr:colOff>117872</xdr:colOff>
      <xdr:row>0</xdr:row>
      <xdr:rowOff>10688</xdr:rowOff>
    </xdr:from>
    <xdr:to>
      <xdr:col>7</xdr:col>
      <xdr:colOff>473719</xdr:colOff>
      <xdr:row>1</xdr:row>
      <xdr:rowOff>176035</xdr:rowOff>
    </xdr:to>
    <xdr:pic>
      <xdr:nvPicPr>
        <xdr:cNvPr id="6" name="Imagem 5">
          <a:extLst>
            <a:ext uri="{FF2B5EF4-FFF2-40B4-BE49-F238E27FC236}">
              <a16:creationId xmlns=""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3447" y="10688"/>
          <a:ext cx="355847" cy="355847"/>
        </a:xfrm>
        <a:prstGeom prst="rect">
          <a:avLst/>
        </a:prstGeom>
      </xdr:spPr>
    </xdr:pic>
    <xdr:clientData/>
  </xdr:twoCellAnchor>
  <xdr:twoCellAnchor>
    <xdr:from>
      <xdr:col>7</xdr:col>
      <xdr:colOff>516731</xdr:colOff>
      <xdr:row>0</xdr:row>
      <xdr:rowOff>149915</xdr:rowOff>
    </xdr:from>
    <xdr:to>
      <xdr:col>7</xdr:col>
      <xdr:colOff>695325</xdr:colOff>
      <xdr:row>1</xdr:row>
      <xdr:rowOff>132056</xdr:rowOff>
    </xdr:to>
    <xdr:sp macro="" textlink="">
      <xdr:nvSpPr>
        <xdr:cNvPr id="7" name="Seta para a direita 7">
          <a:extLst>
            <a:ext uri="{FF2B5EF4-FFF2-40B4-BE49-F238E27FC236}">
              <a16:creationId xmlns="" xmlns:a16="http://schemas.microsoft.com/office/drawing/2014/main" id="{00000000-0008-0000-0400-000007000000}"/>
            </a:ext>
          </a:extLst>
        </xdr:cNvPr>
        <xdr:cNvSpPr/>
      </xdr:nvSpPr>
      <xdr:spPr>
        <a:xfrm>
          <a:off x="7022306" y="149915"/>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6</xdr:col>
      <xdr:colOff>133350</xdr:colOff>
      <xdr:row>0</xdr:row>
      <xdr:rowOff>0</xdr:rowOff>
    </xdr:from>
    <xdr:to>
      <xdr:col>6</xdr:col>
      <xdr:colOff>723750</xdr:colOff>
      <xdr:row>1</xdr:row>
      <xdr:rowOff>169500</xdr:rowOff>
    </xdr:to>
    <xdr:pic>
      <xdr:nvPicPr>
        <xdr:cNvPr id="8" name="Imagem 7">
          <a:extLst>
            <a:ext uri="{FF2B5EF4-FFF2-40B4-BE49-F238E27FC236}">
              <a16:creationId xmlns="" xmlns:a16="http://schemas.microsoft.com/office/drawing/2014/main" id="{00000000-0008-0000-04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724525" y="0"/>
          <a:ext cx="590400" cy="360000"/>
        </a:xfrm>
        <a:prstGeom prst="rect">
          <a:avLst/>
        </a:prstGeom>
      </xdr:spPr>
    </xdr:pic>
    <xdr:clientData/>
  </xdr:twoCellAnchor>
  <xdr:twoCellAnchor>
    <xdr:from>
      <xdr:col>21</xdr:col>
      <xdr:colOff>38100</xdr:colOff>
      <xdr:row>22</xdr:row>
      <xdr:rowOff>47625</xdr:rowOff>
    </xdr:from>
    <xdr:to>
      <xdr:col>28</xdr:col>
      <xdr:colOff>352425</xdr:colOff>
      <xdr:row>35</xdr:row>
      <xdr:rowOff>123825</xdr:rowOff>
    </xdr:to>
    <xdr:graphicFrame macro="">
      <xdr:nvGraphicFramePr>
        <xdr:cNvPr id="9" name="Gráfico 8">
          <a:extLst>
            <a:ext uri="{FF2B5EF4-FFF2-40B4-BE49-F238E27FC236}">
              <a16:creationId xmlns=""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103547</xdr:colOff>
      <xdr:row>0</xdr:row>
      <xdr:rowOff>69613</xdr:rowOff>
    </xdr:from>
    <xdr:to>
      <xdr:col>9</xdr:col>
      <xdr:colOff>391547</xdr:colOff>
      <xdr:row>1</xdr:row>
      <xdr:rowOff>167113</xdr:rowOff>
    </xdr:to>
    <xdr:pic>
      <xdr:nvPicPr>
        <xdr:cNvPr id="10" name="Imagem 9">
          <a:extLst>
            <a:ext uri="{FF2B5EF4-FFF2-40B4-BE49-F238E27FC236}">
              <a16:creationId xmlns="" xmlns:a16="http://schemas.microsoft.com/office/drawing/2014/main" id="{00000000-0008-0000-0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456972" y="69613"/>
          <a:ext cx="288000" cy="288000"/>
        </a:xfrm>
        <a:prstGeom prst="rect">
          <a:avLst/>
        </a:prstGeom>
      </xdr:spPr>
    </xdr:pic>
    <xdr:clientData/>
  </xdr:twoCellAnchor>
  <xdr:twoCellAnchor editAs="oneCell">
    <xdr:from>
      <xdr:col>9</xdr:col>
      <xdr:colOff>592931</xdr:colOff>
      <xdr:row>0</xdr:row>
      <xdr:rowOff>0</xdr:rowOff>
    </xdr:from>
    <xdr:to>
      <xdr:col>9</xdr:col>
      <xdr:colOff>951253</xdr:colOff>
      <xdr:row>1</xdr:row>
      <xdr:rowOff>169500</xdr:rowOff>
    </xdr:to>
    <xdr:pic>
      <xdr:nvPicPr>
        <xdr:cNvPr id="11" name="Imagem 10">
          <a:extLst>
            <a:ext uri="{FF2B5EF4-FFF2-40B4-BE49-F238E27FC236}">
              <a16:creationId xmlns="" xmlns:a16="http://schemas.microsoft.com/office/drawing/2014/main" id="{00000000-0008-0000-04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46356" y="0"/>
          <a:ext cx="358322" cy="360000"/>
        </a:xfrm>
        <a:prstGeom prst="rect">
          <a:avLst/>
        </a:prstGeom>
      </xdr:spPr>
    </xdr:pic>
    <xdr:clientData/>
  </xdr:twoCellAnchor>
  <xdr:twoCellAnchor>
    <xdr:from>
      <xdr:col>9</xdr:col>
      <xdr:colOff>411956</xdr:colOff>
      <xdr:row>0</xdr:row>
      <xdr:rowOff>132055</xdr:rowOff>
    </xdr:from>
    <xdr:to>
      <xdr:col>9</xdr:col>
      <xdr:colOff>590550</xdr:colOff>
      <xdr:row>1</xdr:row>
      <xdr:rowOff>114196</xdr:rowOff>
    </xdr:to>
    <xdr:sp macro="" textlink="">
      <xdr:nvSpPr>
        <xdr:cNvPr id="12" name="Seta para a direita 12">
          <a:extLst>
            <a:ext uri="{FF2B5EF4-FFF2-40B4-BE49-F238E27FC236}">
              <a16:creationId xmlns="" xmlns:a16="http://schemas.microsoft.com/office/drawing/2014/main" id="{00000000-0008-0000-0400-00000C000000}"/>
            </a:ext>
          </a:extLst>
        </xdr:cNvPr>
        <xdr:cNvSpPr/>
      </xdr:nvSpPr>
      <xdr:spPr>
        <a:xfrm>
          <a:off x="8765381" y="132055"/>
          <a:ext cx="178594" cy="172641"/>
        </a:xfrm>
        <a:prstGeom prst="righ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pageSetUpPr fitToPage="1"/>
  </sheetPr>
  <dimension ref="B1:CE45"/>
  <sheetViews>
    <sheetView showGridLines="0" tabSelected="1" topLeftCell="B1" zoomScale="95" zoomScaleNormal="95" workbookViewId="0">
      <selection activeCell="D17" sqref="D17"/>
    </sheetView>
  </sheetViews>
  <sheetFormatPr defaultRowHeight="15" x14ac:dyDescent="0.25"/>
  <cols>
    <col min="1" max="1" width="0.85546875" customWidth="1"/>
    <col min="2" max="2" width="1.28515625" customWidth="1"/>
    <col min="3" max="3" width="42.85546875" bestFit="1" customWidth="1"/>
    <col min="5" max="5" width="11.28515625" customWidth="1"/>
    <col min="7" max="7" width="10.42578125" customWidth="1"/>
    <col min="8" max="8" width="10.5703125" customWidth="1"/>
    <col min="9" max="9" width="0.7109375" customWidth="1"/>
    <col min="10" max="10" width="9.5703125" bestFit="1" customWidth="1"/>
    <col min="11" max="11" width="0.7109375" customWidth="1"/>
    <col min="12" max="12" width="12.28515625" customWidth="1"/>
    <col min="13" max="13" width="10.5703125" customWidth="1"/>
    <col min="14" max="14" width="2.5703125" customWidth="1"/>
    <col min="16" max="16" width="10.7109375" customWidth="1"/>
    <col min="17" max="17" width="9.85546875" customWidth="1"/>
    <col min="18" max="18" width="10" customWidth="1"/>
    <col min="19" max="19" width="12.140625" customWidth="1"/>
    <col min="20" max="21" width="1.85546875" customWidth="1"/>
    <col min="22" max="22" width="2" customWidth="1"/>
    <col min="23" max="23" width="7.28515625" hidden="1" customWidth="1"/>
    <col min="24" max="33" width="9.140625" hidden="1" customWidth="1"/>
    <col min="34" max="34" width="2.28515625" hidden="1" customWidth="1"/>
    <col min="35" max="36" width="10.140625" hidden="1" customWidth="1"/>
    <col min="37" max="37" width="10.5703125" hidden="1" customWidth="1"/>
    <col min="38" max="38" width="10.7109375" hidden="1" customWidth="1"/>
    <col min="39" max="39" width="10.140625" hidden="1" customWidth="1"/>
    <col min="40" max="40" width="1.85546875" hidden="1" customWidth="1"/>
    <col min="41" max="41" width="7.5703125" hidden="1" customWidth="1"/>
    <col min="42" max="42" width="1.85546875" hidden="1" customWidth="1"/>
    <col min="43" max="43" width="9.140625" hidden="1" customWidth="1"/>
    <col min="44" max="44" width="10.5703125" hidden="1" customWidth="1"/>
    <col min="45" max="45" width="9.140625" hidden="1" customWidth="1"/>
    <col min="46" max="46" width="1.28515625" hidden="1" customWidth="1"/>
    <col min="47" max="47" width="9.140625" hidden="1" customWidth="1"/>
    <col min="48" max="48" width="2" hidden="1" customWidth="1"/>
    <col min="49" max="53" width="9.140625" hidden="1" customWidth="1"/>
    <col min="54" max="54" width="10.5703125" hidden="1" customWidth="1"/>
    <col min="55" max="55" width="1.5703125" hidden="1" customWidth="1"/>
    <col min="56" max="58" width="11.42578125" hidden="1" customWidth="1"/>
    <col min="59" max="59" width="1.85546875" hidden="1" customWidth="1"/>
    <col min="60" max="66" width="9.140625" hidden="1" customWidth="1"/>
    <col min="67" max="67" width="1.28515625" hidden="1" customWidth="1"/>
    <col min="68" max="83" width="9.140625" hidden="1" customWidth="1"/>
  </cols>
  <sheetData>
    <row r="1" spans="2:82" ht="9" customHeight="1" thickBot="1" x14ac:dyDescent="0.3"/>
    <row r="2" spans="2:82" ht="16.5" thickTop="1" thickBot="1" x14ac:dyDescent="0.3">
      <c r="B2" s="52"/>
      <c r="C2" s="53"/>
      <c r="D2" s="53"/>
      <c r="E2" s="53"/>
      <c r="F2" s="53"/>
      <c r="G2" s="53"/>
      <c r="H2" s="53"/>
      <c r="I2" s="53"/>
      <c r="J2" s="53"/>
      <c r="K2" s="53"/>
      <c r="L2" s="53"/>
      <c r="M2" s="53"/>
      <c r="N2" s="53"/>
      <c r="O2" s="53"/>
      <c r="P2" s="53"/>
      <c r="Q2" s="53"/>
      <c r="R2" s="53"/>
      <c r="S2" s="53"/>
      <c r="T2" s="53"/>
      <c r="U2" s="54"/>
    </row>
    <row r="3" spans="2:82" ht="15.75" thickBot="1" x14ac:dyDescent="0.3">
      <c r="B3" s="55"/>
      <c r="C3" s="56"/>
      <c r="D3" s="3" t="s">
        <v>613</v>
      </c>
      <c r="E3" s="56"/>
      <c r="F3" s="56"/>
      <c r="G3" s="56"/>
      <c r="H3" s="56"/>
      <c r="I3" s="56"/>
      <c r="J3" s="4"/>
      <c r="K3" s="56"/>
      <c r="L3" s="5" t="s">
        <v>22</v>
      </c>
      <c r="M3" s="5" t="s">
        <v>23</v>
      </c>
      <c r="R3" s="4" t="s">
        <v>18</v>
      </c>
      <c r="S3" s="357">
        <v>43435</v>
      </c>
      <c r="T3" s="56"/>
      <c r="U3" s="57"/>
      <c r="X3" s="210" t="s">
        <v>409</v>
      </c>
      <c r="Y3" s="51"/>
      <c r="AA3" s="51" t="s">
        <v>283</v>
      </c>
      <c r="AB3" s="51"/>
      <c r="AD3" s="51" t="s">
        <v>423</v>
      </c>
      <c r="AE3" s="51"/>
      <c r="AF3" s="51"/>
      <c r="AI3" s="51" t="s">
        <v>447</v>
      </c>
      <c r="AJ3" s="51"/>
      <c r="AK3" s="51"/>
      <c r="AL3" s="51"/>
    </row>
    <row r="4" spans="2:82" ht="19.5" customHeight="1" thickBot="1" x14ac:dyDescent="0.3">
      <c r="B4" s="55"/>
      <c r="C4" s="56"/>
      <c r="D4" s="359"/>
      <c r="E4" s="360"/>
      <c r="F4" s="360"/>
      <c r="G4" s="360"/>
      <c r="H4" s="361"/>
      <c r="I4" s="56"/>
      <c r="K4" s="56"/>
      <c r="L4" s="354"/>
      <c r="M4" s="354"/>
      <c r="N4" s="342" t="str">
        <f>IF(M4="","",VLOOKUP(M4,'1. DADOS'!$B$83:$C$182,2,FALSE))</f>
        <v/>
      </c>
      <c r="R4" s="56"/>
      <c r="T4" s="56"/>
      <c r="U4" s="57"/>
      <c r="W4" s="65" t="s">
        <v>20</v>
      </c>
      <c r="X4" s="227" t="s">
        <v>284</v>
      </c>
      <c r="Y4" s="334">
        <v>1</v>
      </c>
      <c r="AA4" s="226" t="s">
        <v>282</v>
      </c>
      <c r="AD4" s="226" t="s">
        <v>424</v>
      </c>
      <c r="AF4" s="335" t="str">
        <f>ESTADO&amp;CIDADE</f>
        <v>BASalvador</v>
      </c>
      <c r="AI4" s="235" t="s">
        <v>20</v>
      </c>
      <c r="AJ4" s="235" t="s">
        <v>26</v>
      </c>
      <c r="AK4" s="235" t="s">
        <v>27</v>
      </c>
      <c r="AL4" s="235" t="s">
        <v>446</v>
      </c>
    </row>
    <row r="5" spans="2:82" ht="16.5" thickBot="1" x14ac:dyDescent="0.3">
      <c r="B5" s="55"/>
      <c r="C5" s="56"/>
      <c r="I5" s="56"/>
      <c r="K5" s="56"/>
      <c r="R5" s="4" t="s">
        <v>19</v>
      </c>
      <c r="S5" s="356"/>
      <c r="T5" s="56"/>
      <c r="U5" s="57"/>
      <c r="AA5" s="226" t="s">
        <v>288</v>
      </c>
      <c r="AD5" s="226" t="s">
        <v>422</v>
      </c>
      <c r="AF5" s="336">
        <f>VLOOKUP(PEDIDO!$AF$4,tabela_frete,7,FALSE)</f>
        <v>0.2</v>
      </c>
      <c r="AI5" s="8" t="s">
        <v>29</v>
      </c>
      <c r="AJ5" s="8" t="s">
        <v>29</v>
      </c>
      <c r="AK5" s="234" t="str">
        <f>AI5&amp;"."&amp;AJ5</f>
        <v>Sim.Sim</v>
      </c>
      <c r="AL5" s="234" t="b">
        <v>1</v>
      </c>
    </row>
    <row r="6" spans="2:82" ht="15.75" thickBot="1" x14ac:dyDescent="0.3">
      <c r="B6" s="55"/>
      <c r="C6" s="56"/>
      <c r="D6" s="5" t="s">
        <v>21</v>
      </c>
      <c r="E6" s="56"/>
      <c r="F6" s="56"/>
      <c r="G6" s="5" t="s">
        <v>24</v>
      </c>
      <c r="H6" s="56"/>
      <c r="I6" s="56"/>
      <c r="J6" s="56"/>
      <c r="K6" s="56"/>
      <c r="L6" s="56"/>
      <c r="N6" s="56"/>
      <c r="P6" s="56"/>
      <c r="Q6" s="56"/>
      <c r="T6" s="56"/>
      <c r="U6" s="57"/>
      <c r="X6" s="210" t="s">
        <v>411</v>
      </c>
      <c r="Y6" s="51"/>
      <c r="AA6" s="226" t="s">
        <v>448</v>
      </c>
      <c r="AD6" s="226" t="s">
        <v>425</v>
      </c>
      <c r="AF6" s="336">
        <f>VLOOKUP(PEDIDO!$AF$4,tabela_frete,9,FALSE)</f>
        <v>0.05</v>
      </c>
      <c r="AI6" s="8" t="s">
        <v>29</v>
      </c>
      <c r="AJ6" s="8" t="s">
        <v>31</v>
      </c>
      <c r="AK6" s="234" t="str">
        <f>AI6&amp;"."&amp;AJ6</f>
        <v>Sim.Não</v>
      </c>
      <c r="AL6" s="8" t="b">
        <v>0</v>
      </c>
    </row>
    <row r="7" spans="2:82" ht="15" customHeight="1" thickBot="1" x14ac:dyDescent="0.3">
      <c r="B7" s="55"/>
      <c r="C7" s="56"/>
      <c r="D7" s="364">
        <v>1</v>
      </c>
      <c r="E7" s="365"/>
      <c r="F7" s="56"/>
      <c r="G7" s="366">
        <v>1</v>
      </c>
      <c r="H7" s="367"/>
      <c r="I7" s="56"/>
      <c r="K7" s="56"/>
      <c r="N7" s="56"/>
      <c r="P7" s="56"/>
      <c r="Q7" s="56"/>
      <c r="R7" s="56"/>
      <c r="T7" s="56"/>
      <c r="U7" s="57"/>
      <c r="X7" s="227" t="s">
        <v>284</v>
      </c>
      <c r="Y7" s="334" t="str">
        <f>IFERROR(VLOOKUP(C14,'1. DADOS'!$A$54:$E$58,5,FALSE),"")</f>
        <v/>
      </c>
      <c r="AA7" s="50" t="s">
        <v>284</v>
      </c>
      <c r="AB7" s="334">
        <v>1</v>
      </c>
      <c r="AI7" s="8" t="s">
        <v>31</v>
      </c>
      <c r="AJ7" s="8" t="s">
        <v>29</v>
      </c>
      <c r="AK7" s="234" t="str">
        <f>AI7&amp;"."&amp;AJ7</f>
        <v>Não.Sim</v>
      </c>
      <c r="AL7" s="234" t="b">
        <v>1</v>
      </c>
    </row>
    <row r="8" spans="2:82" ht="15" customHeight="1" thickBot="1" x14ac:dyDescent="0.3">
      <c r="B8" s="55"/>
      <c r="C8" s="56"/>
      <c r="D8" s="56"/>
      <c r="E8" s="56"/>
      <c r="F8" s="56"/>
      <c r="G8" s="56"/>
      <c r="K8" s="56"/>
      <c r="N8" s="56"/>
      <c r="O8" s="56"/>
      <c r="P8" s="56"/>
      <c r="Q8" s="56"/>
      <c r="R8" s="56" t="s">
        <v>184</v>
      </c>
      <c r="T8" s="56"/>
      <c r="U8" s="57"/>
      <c r="AI8" s="8" t="s">
        <v>31</v>
      </c>
      <c r="AJ8" s="8" t="s">
        <v>31</v>
      </c>
      <c r="AK8" s="234" t="str">
        <f>AI8&amp;"."&amp;AJ8</f>
        <v>Não.Não</v>
      </c>
      <c r="AL8" s="234" t="b">
        <v>1</v>
      </c>
    </row>
    <row r="9" spans="2:82" ht="15" customHeight="1" thickBot="1" x14ac:dyDescent="0.3">
      <c r="B9" s="55"/>
      <c r="C9" s="56"/>
      <c r="D9" s="362" t="s">
        <v>280</v>
      </c>
      <c r="E9" s="362"/>
      <c r="F9" s="81"/>
      <c r="G9" s="80"/>
      <c r="H9" s="79"/>
      <c r="I9" s="79"/>
      <c r="J9" s="45"/>
      <c r="K9" s="56"/>
      <c r="L9" s="56"/>
      <c r="M9" s="56"/>
      <c r="N9" s="56"/>
      <c r="O9" s="56"/>
      <c r="P9" s="56"/>
      <c r="Q9" s="56"/>
      <c r="R9" s="56"/>
      <c r="S9" s="355" t="s">
        <v>58</v>
      </c>
      <c r="T9" s="56"/>
      <c r="U9" s="57"/>
    </row>
    <row r="10" spans="2:82" ht="18.75" customHeight="1" x14ac:dyDescent="0.25">
      <c r="B10" s="55"/>
      <c r="C10" s="56"/>
      <c r="D10" s="362"/>
      <c r="E10" s="362"/>
      <c r="F10" s="81"/>
      <c r="G10" s="80"/>
      <c r="H10" s="79"/>
      <c r="I10" s="79"/>
      <c r="J10" s="45"/>
      <c r="K10" s="56"/>
      <c r="L10" s="56"/>
      <c r="M10" s="56"/>
      <c r="N10" s="56"/>
      <c r="O10" s="56"/>
      <c r="P10" s="56"/>
      <c r="Q10" s="56"/>
      <c r="R10" s="56" t="s">
        <v>279</v>
      </c>
      <c r="T10" s="56"/>
      <c r="U10" s="57"/>
      <c r="AJ10" s="227" t="s">
        <v>284</v>
      </c>
      <c r="AK10" s="337" t="b">
        <f>AND(VLOOKUP(AL10,AK5:AL8,2,FALSE),ESTADO&lt;&gt;"",CIDADE&lt;&gt;"",D7&lt;&gt;"")</f>
        <v>1</v>
      </c>
      <c r="AL10" s="338" t="str">
        <f>IF(DESTINO="Revenda","Sim","Não")&amp;"."&amp;IF(IE="","Não","Sim")</f>
        <v>Sim.Sim</v>
      </c>
    </row>
    <row r="11" spans="2:82" x14ac:dyDescent="0.25">
      <c r="B11" s="55"/>
      <c r="C11" s="56"/>
      <c r="D11" s="56"/>
      <c r="E11" s="56"/>
      <c r="F11" s="56"/>
      <c r="G11" s="56"/>
      <c r="H11" s="56"/>
      <c r="I11" s="56"/>
      <c r="J11" s="45"/>
      <c r="K11" s="56"/>
      <c r="L11" s="56"/>
      <c r="M11" s="56"/>
      <c r="N11" s="56"/>
      <c r="O11" s="56"/>
      <c r="P11" s="56"/>
      <c r="Q11" s="56"/>
      <c r="S11" s="333" t="s">
        <v>261</v>
      </c>
      <c r="T11" s="56"/>
      <c r="U11" s="57"/>
      <c r="AF11" t="e">
        <f>AF5*AR22*(1+AO22)</f>
        <v>#VALUE!</v>
      </c>
    </row>
    <row r="12" spans="2:82" x14ac:dyDescent="0.25">
      <c r="B12" s="55"/>
      <c r="C12" s="352" t="s">
        <v>638</v>
      </c>
      <c r="D12" s="56"/>
      <c r="E12" s="56"/>
      <c r="F12" s="56"/>
      <c r="G12" s="56"/>
      <c r="H12" s="56"/>
      <c r="I12" s="56"/>
      <c r="J12" s="45"/>
      <c r="K12" s="56"/>
      <c r="L12" s="56"/>
      <c r="M12" s="56"/>
      <c r="N12" s="56"/>
      <c r="O12" s="56"/>
      <c r="P12" s="56"/>
      <c r="Q12" s="56"/>
      <c r="R12" s="56"/>
      <c r="S12" s="56"/>
      <c r="T12" s="56"/>
      <c r="U12" s="57"/>
      <c r="AF12" t="e">
        <f>AF11/(1-SUM(Z22:AF22))</f>
        <v>#VALUE!</v>
      </c>
    </row>
    <row r="13" spans="2:82" ht="15.75" thickBot="1" x14ac:dyDescent="0.3">
      <c r="B13" s="55"/>
      <c r="C13" s="56"/>
      <c r="E13" s="56"/>
      <c r="F13" s="56"/>
      <c r="G13" s="56"/>
      <c r="H13" s="56"/>
      <c r="I13" s="56"/>
      <c r="J13" s="45"/>
      <c r="K13" s="56"/>
      <c r="L13" s="56"/>
      <c r="M13" s="56"/>
      <c r="N13" s="56"/>
      <c r="O13" s="56"/>
      <c r="P13" s="56"/>
      <c r="Q13" s="56"/>
      <c r="T13" s="56"/>
      <c r="U13" s="57"/>
      <c r="AF13" t="e">
        <f>(1+AG22)*AF12</f>
        <v>#VALUE!</v>
      </c>
    </row>
    <row r="14" spans="2:82" ht="15.75" thickBot="1" x14ac:dyDescent="0.3">
      <c r="B14" s="55"/>
      <c r="C14" s="215" t="str">
        <f>IFERROR(IF(D38&lt;10,"",VLOOKUP(D38,'1. DADOS'!B54:F58,5,TRUE)),"")</f>
        <v/>
      </c>
      <c r="D14" s="56"/>
      <c r="E14" s="56"/>
      <c r="F14" s="56"/>
      <c r="G14" s="56"/>
      <c r="H14" s="56"/>
      <c r="I14" s="56"/>
      <c r="J14" s="46">
        <f>SUM(AR17:AR30)</f>
        <v>0</v>
      </c>
      <c r="K14" s="56"/>
      <c r="L14" s="56"/>
      <c r="M14" s="56"/>
      <c r="N14" s="56"/>
      <c r="O14" s="363" t="s">
        <v>15</v>
      </c>
      <c r="P14" s="363"/>
      <c r="Q14" s="363"/>
      <c r="R14" s="363"/>
      <c r="S14" s="363"/>
      <c r="T14" s="56"/>
      <c r="U14" s="57"/>
    </row>
    <row r="15" spans="2:82" ht="25.5" x14ac:dyDescent="0.3">
      <c r="B15" s="55"/>
      <c r="C15" s="66" t="s">
        <v>285</v>
      </c>
      <c r="D15" s="67" t="s">
        <v>286</v>
      </c>
      <c r="E15" s="67" t="s">
        <v>412</v>
      </c>
      <c r="F15" s="68" t="s">
        <v>287</v>
      </c>
      <c r="G15" s="64" t="s">
        <v>289</v>
      </c>
      <c r="H15" s="67" t="str">
        <f>IF(DESTINO="Revenda","ST","Diferença de ICMS")</f>
        <v>ST</v>
      </c>
      <c r="I15" s="56"/>
      <c r="J15" s="47" t="s">
        <v>281</v>
      </c>
      <c r="K15" s="56"/>
      <c r="L15" s="67" t="s">
        <v>17</v>
      </c>
      <c r="M15" s="63" t="s">
        <v>16</v>
      </c>
      <c r="N15" s="56"/>
      <c r="O15" s="93" t="s">
        <v>10</v>
      </c>
      <c r="P15" s="94" t="s">
        <v>11</v>
      </c>
      <c r="Q15" s="95" t="s">
        <v>12</v>
      </c>
      <c r="R15" s="96" t="s">
        <v>13</v>
      </c>
      <c r="S15" s="97" t="s">
        <v>14</v>
      </c>
      <c r="T15" s="56"/>
      <c r="U15" s="57"/>
      <c r="AW15" s="230" t="s">
        <v>430</v>
      </c>
      <c r="AX15" s="230"/>
      <c r="AY15" s="230"/>
      <c r="AZ15" s="230"/>
      <c r="BA15" s="230"/>
      <c r="BB15" s="230"/>
      <c r="BD15" s="230" t="s">
        <v>431</v>
      </c>
      <c r="BE15" s="230"/>
      <c r="BF15" s="230"/>
      <c r="BH15" s="230" t="s">
        <v>432</v>
      </c>
      <c r="BI15" s="230"/>
      <c r="BJ15" s="230"/>
      <c r="BK15" s="231"/>
      <c r="BL15" s="230"/>
      <c r="BM15" s="230"/>
      <c r="BN15" s="230"/>
      <c r="BT15" s="2" t="e">
        <f t="shared" ref="BT15:BZ15" si="0">SUM(BT17:BT31)</f>
        <v>#VALUE!</v>
      </c>
      <c r="BU15" s="2">
        <f t="shared" si="0"/>
        <v>0</v>
      </c>
      <c r="BV15" s="2" t="e">
        <f t="shared" si="0"/>
        <v>#VALUE!</v>
      </c>
      <c r="BW15" s="2" t="e">
        <f t="shared" si="0"/>
        <v>#VALUE!</v>
      </c>
      <c r="BX15" s="2" t="e">
        <f t="shared" si="0"/>
        <v>#VALUE!</v>
      </c>
      <c r="BY15" s="2" t="e">
        <f t="shared" si="0"/>
        <v>#VALUE!</v>
      </c>
      <c r="BZ15" s="2">
        <f t="shared" si="0"/>
        <v>0</v>
      </c>
      <c r="CA15" s="2" t="e">
        <f>SUM(CA17:CA31)</f>
        <v>#VALUE!</v>
      </c>
      <c r="CB15" s="339" t="s">
        <v>17</v>
      </c>
      <c r="CD15" s="2"/>
    </row>
    <row r="16" spans="2:82" ht="43.5" customHeight="1" x14ac:dyDescent="0.25">
      <c r="B16" s="55"/>
      <c r="C16" s="69" t="s">
        <v>290</v>
      </c>
      <c r="D16" s="58"/>
      <c r="E16" s="58"/>
      <c r="F16" s="58"/>
      <c r="G16" s="58"/>
      <c r="H16" s="58"/>
      <c r="I16" s="56"/>
      <c r="J16" s="75"/>
      <c r="K16" s="56"/>
      <c r="L16" s="58"/>
      <c r="M16" s="58"/>
      <c r="N16" s="56"/>
      <c r="O16" s="59"/>
      <c r="P16" s="59"/>
      <c r="Q16" s="59"/>
      <c r="R16" s="59"/>
      <c r="S16" s="59"/>
      <c r="T16" s="56"/>
      <c r="U16" s="57"/>
      <c r="X16" s="214" t="s">
        <v>413</v>
      </c>
      <c r="Y16" s="214" t="s">
        <v>415</v>
      </c>
      <c r="Z16" s="214" t="s">
        <v>416</v>
      </c>
      <c r="AA16" s="220" t="s">
        <v>417</v>
      </c>
      <c r="AB16" s="220" t="s">
        <v>418</v>
      </c>
      <c r="AC16" s="220" t="s">
        <v>419</v>
      </c>
      <c r="AD16" s="220" t="s">
        <v>420</v>
      </c>
      <c r="AE16" s="220" t="s">
        <v>322</v>
      </c>
      <c r="AF16" s="220" t="s">
        <v>323</v>
      </c>
      <c r="AG16" s="220" t="s">
        <v>38</v>
      </c>
      <c r="AI16" s="221" t="str">
        <f>O15</f>
        <v>De 10 a 34 caixas</v>
      </c>
      <c r="AJ16" s="222" t="str">
        <f>P15</f>
        <v>De 35 a 142 caixas</v>
      </c>
      <c r="AK16" s="223" t="str">
        <f>Q15</f>
        <v>De 143 a 258 caixas</v>
      </c>
      <c r="AL16" s="224" t="str">
        <f>R15</f>
        <v>De 259 a 435 caixas</v>
      </c>
      <c r="AM16" s="225" t="str">
        <f>S15</f>
        <v>De 436 a 650 caixas</v>
      </c>
      <c r="AO16" s="228" t="s">
        <v>428</v>
      </c>
      <c r="AQ16" s="229" t="s">
        <v>426</v>
      </c>
      <c r="AR16" s="229" t="s">
        <v>427</v>
      </c>
      <c r="AS16" s="229" t="s">
        <v>429</v>
      </c>
      <c r="AU16" s="228" t="s">
        <v>449</v>
      </c>
      <c r="AW16" s="232" t="s">
        <v>36</v>
      </c>
      <c r="AX16" s="232" t="s">
        <v>433</v>
      </c>
      <c r="AY16" s="232" t="s">
        <v>434</v>
      </c>
      <c r="AZ16" s="232" t="s">
        <v>435</v>
      </c>
      <c r="BA16" s="232" t="s">
        <v>436</v>
      </c>
      <c r="BB16" s="232" t="s">
        <v>437</v>
      </c>
      <c r="BD16" s="232" t="s">
        <v>433</v>
      </c>
      <c r="BE16" s="232" t="s">
        <v>434</v>
      </c>
      <c r="BF16" s="232" t="s">
        <v>438</v>
      </c>
      <c r="BH16" s="232" t="s">
        <v>439</v>
      </c>
      <c r="BI16" s="232" t="s">
        <v>440</v>
      </c>
      <c r="BJ16" s="232" t="s">
        <v>441</v>
      </c>
      <c r="BK16" s="233" t="s">
        <v>442</v>
      </c>
      <c r="BL16" s="232" t="s">
        <v>443</v>
      </c>
      <c r="BM16" s="232" t="s">
        <v>444</v>
      </c>
      <c r="BN16" s="232" t="s">
        <v>445</v>
      </c>
      <c r="BP16" s="244" t="str">
        <f>H15</f>
        <v>ST</v>
      </c>
      <c r="BQ16" s="244" t="s">
        <v>38</v>
      </c>
      <c r="BR16" s="244" t="s">
        <v>323</v>
      </c>
      <c r="BS16" s="244" t="s">
        <v>322</v>
      </c>
      <c r="BT16" s="244" t="s">
        <v>450</v>
      </c>
      <c r="BU16" s="244" t="s">
        <v>280</v>
      </c>
      <c r="BV16" s="244" t="str">
        <f>AD16</f>
        <v>Despesa Comercial</v>
      </c>
      <c r="BW16" s="244" t="str">
        <f>AC16</f>
        <v>Despesa Admin.</v>
      </c>
      <c r="BX16" s="244" t="str">
        <f>AB16</f>
        <v>Despesa Financeira</v>
      </c>
      <c r="BY16" s="244" t="str">
        <f>AA16</f>
        <v>Fundo Comercial</v>
      </c>
      <c r="BZ16" s="244" t="str">
        <f>Y16</f>
        <v>CUSTO</v>
      </c>
      <c r="CA16" s="244" t="s">
        <v>451</v>
      </c>
      <c r="CB16" s="245"/>
    </row>
    <row r="17" spans="2:83" ht="18.95" customHeight="1" x14ac:dyDescent="0.25">
      <c r="B17" s="55"/>
      <c r="C17" s="71" t="str">
        <f>'1. DADOS'!A22</f>
        <v>PRATT HIPOCLORITO 1% (caixa 4 x 5L)</v>
      </c>
      <c r="D17" s="216"/>
      <c r="E17" s="242">
        <f>O17</f>
        <v>25.36</v>
      </c>
      <c r="F17" s="73" t="str">
        <f>IFERROR(IF(D17&lt;&gt;"",1-G17/E17,""),"")</f>
        <v/>
      </c>
      <c r="G17" s="345" t="str">
        <f>IFERROR(CHOOSE($Y$7,O17,P17,Q17,R17,S17),"")</f>
        <v/>
      </c>
      <c r="H17" s="331">
        <f>IF(DESTINO="Revenda",BB17,IF(IE="",0,BN17))</f>
        <v>0</v>
      </c>
      <c r="I17" s="56"/>
      <c r="J17" s="240">
        <f>IFERROR(AS17,"")</f>
        <v>0</v>
      </c>
      <c r="K17" s="56"/>
      <c r="L17" s="212" t="str">
        <f>IFERROR(G17*D17+J17+H17,"")</f>
        <v/>
      </c>
      <c r="M17" s="211" t="str">
        <f>IFERROR(ROUND(L17/(D17*4),2),"")</f>
        <v/>
      </c>
      <c r="N17" s="56"/>
      <c r="O17" s="213">
        <f>AI17</f>
        <v>25.36</v>
      </c>
      <c r="P17" s="213">
        <f>AJ17</f>
        <v>22.09</v>
      </c>
      <c r="Q17" s="213">
        <f>AK17</f>
        <v>21.66</v>
      </c>
      <c r="R17" s="213">
        <f>AL17</f>
        <v>21.45</v>
      </c>
      <c r="S17" s="213">
        <f>AM17</f>
        <v>21.14</v>
      </c>
      <c r="T17" s="56"/>
      <c r="U17" s="57"/>
      <c r="X17" s="92">
        <f>'1. DADOS'!D22</f>
        <v>20.8</v>
      </c>
      <c r="Y17" s="92">
        <f>'1. DADOS'!C22</f>
        <v>14.32</v>
      </c>
      <c r="Z17" s="218">
        <f>'1. DADOS'!E22</f>
        <v>3.5000000000000003E-2</v>
      </c>
      <c r="AA17" s="218">
        <f>'1. DADOS'!F22</f>
        <v>0</v>
      </c>
      <c r="AB17" s="218">
        <f>D.FIN</f>
        <v>0</v>
      </c>
      <c r="AC17" s="218">
        <f>D.ADM</f>
        <v>2.5000000000000001E-2</v>
      </c>
      <c r="AD17" s="218">
        <f>D.COM</f>
        <v>0.05</v>
      </c>
      <c r="AE17" s="218">
        <f>'1. DADOS'!$K$19</f>
        <v>0.12</v>
      </c>
      <c r="AF17" s="218">
        <f>PIS</f>
        <v>9.2499999999999999E-2</v>
      </c>
      <c r="AG17" s="218">
        <f>'1. DADOS'!O22</f>
        <v>0</v>
      </c>
      <c r="AI17" s="92">
        <f>IF($AK$10,ROUND((($Y17*(1+'1. DADOS'!S22))/(1-SUM(PEDIDO!$Z17:$AF17)))*(1+$AG17),2),"")</f>
        <v>25.36</v>
      </c>
      <c r="AJ17" s="92">
        <f>IF($AK$10,ROUND((($Y17*(1+'1. DADOS'!T22))/(1-SUM(PEDIDO!$Z17:$AF17)))*(1+$AG17),2),"")</f>
        <v>22.09</v>
      </c>
      <c r="AK17" s="92">
        <f>IF($AK$10,ROUND((($Y17*(1+'1. DADOS'!U22))/(1-SUM(PEDIDO!$Z17:$AF17)))*(1+$AG17),2),"")</f>
        <v>21.66</v>
      </c>
      <c r="AL17" s="92">
        <f>IF($AK$10,ROUND((($Y17*(1+'1. DADOS'!V22))/(1-SUM(PEDIDO!$Z17:$AF17)))*(1+$AG17),2),"")</f>
        <v>21.45</v>
      </c>
      <c r="AM17" s="92">
        <f>IF($AK$10,ROUND((($Y17*(1+'1. DADOS'!W22))/(1-SUM(PEDIDO!$Z17:$AF17)))*(1+$AG17),2),"")</f>
        <v>21.14</v>
      </c>
      <c r="AO17" s="218" t="e">
        <f>CHOOSE($Y$7,'1. DADOS'!S22,'1. DADOS'!T22,'1. DADOS'!U22,'1. DADOS'!V22,'1. DADOS'!W22)</f>
        <v>#VALUE!</v>
      </c>
      <c r="AQ17" s="237">
        <f>IF($AB$7=1,0,IF(AND($AB$7=3,$Y$7&lt;5),$AF$5,$AF$6))*AR17</f>
        <v>0</v>
      </c>
      <c r="AR17" s="238">
        <f t="shared" ref="AR17:AR31" si="1">X17*D17</f>
        <v>0</v>
      </c>
      <c r="AS17" s="237">
        <f>AQ17</f>
        <v>0</v>
      </c>
      <c r="AU17" s="92" t="e">
        <f>D17*G17</f>
        <v>#VALUE!</v>
      </c>
      <c r="AW17" s="92">
        <f>IFERROR(VLOOKUP('1. DADOS'!M22,CLASS_FISCAL,VLOOKUP(ESTADO,MVA_COLUNA,2,FALSE),FALSE)/100+1,"")</f>
        <v>1</v>
      </c>
      <c r="AX17" s="92" t="e">
        <f>AU17/(1+AG17)</f>
        <v>#VALUE!</v>
      </c>
      <c r="AY17" s="92" t="e">
        <f>AX17*AE17</f>
        <v>#VALUE!</v>
      </c>
      <c r="AZ17" s="92" t="e">
        <f>AX17*AG17</f>
        <v>#VALUE!</v>
      </c>
      <c r="BA17" s="243">
        <f>IFERROR(VLOOKUP(ESTADO,REL_ICMS,5,FALSE),"")</f>
        <v>0.18</v>
      </c>
      <c r="BB17" s="92">
        <f>ROUND(IFERROR(IF(AW17=1,0,AU17*AW17*BA17-AY17),0),2)</f>
        <v>0</v>
      </c>
      <c r="BD17" s="92" t="e">
        <f>AX17</f>
        <v>#VALUE!</v>
      </c>
      <c r="BE17" s="92" t="e">
        <f>BD17*AE17</f>
        <v>#VALUE!</v>
      </c>
      <c r="BF17" s="92" t="e">
        <f>BD17*AG17</f>
        <v>#VALUE!</v>
      </c>
      <c r="BH17" s="92" t="e">
        <f>BN17+AU17</f>
        <v>#VALUE!</v>
      </c>
      <c r="BI17" s="92"/>
      <c r="BJ17" s="92"/>
      <c r="BK17" s="243">
        <f>VLOOKUP(ESTADO,'2.IMPOSTOS'!$Z$46:$AD$72,5,FALSE)</f>
        <v>0.18</v>
      </c>
      <c r="BL17" s="92" t="e">
        <f>(AU17/(1+AG17))*(1-AE17)</f>
        <v>#VALUE!</v>
      </c>
      <c r="BM17" s="92" t="e">
        <f>BL17/(1-BK17)</f>
        <v>#VALUE!</v>
      </c>
      <c r="BN17" s="92" t="e">
        <f>BM17*(1+AG17)-AU17</f>
        <v>#VALUE!</v>
      </c>
      <c r="BP17" s="246">
        <f>H17</f>
        <v>0</v>
      </c>
      <c r="BQ17" s="246" t="e">
        <f>AU17-AU17/(1+AG17)</f>
        <v>#VALUE!</v>
      </c>
      <c r="BR17" s="246" t="e">
        <f>(AU17/(1+AG17))*AF17</f>
        <v>#VALUE!</v>
      </c>
      <c r="BS17" s="246" t="e">
        <f>ORÇAMENTO!L26</f>
        <v>#VALUE!</v>
      </c>
      <c r="BT17" s="246" t="e">
        <f>SUM(BP17:BS17)</f>
        <v>#VALUE!</v>
      </c>
      <c r="BU17" s="246">
        <f>AQ17</f>
        <v>0</v>
      </c>
      <c r="BV17" s="246" t="e">
        <f>AD17*(AU17/(1+AG17))</f>
        <v>#VALUE!</v>
      </c>
      <c r="BW17" s="246" t="e">
        <f>AC17*(AU17/(1+AG17))</f>
        <v>#VALUE!</v>
      </c>
      <c r="BX17" s="246" t="e">
        <f>AB17*(AU17/(1+AG17))</f>
        <v>#VALUE!</v>
      </c>
      <c r="BY17" s="246" t="e">
        <f>AA17*(AU17/(1+AG17))</f>
        <v>#VALUE!</v>
      </c>
      <c r="BZ17" s="246">
        <f>Y17*D17</f>
        <v>0</v>
      </c>
      <c r="CA17" s="246" t="e">
        <f>(J17+AU17)-SUM(BT17:BZ17)</f>
        <v>#VALUE!</v>
      </c>
      <c r="CB17" s="340" t="e">
        <f>SUM(BT17:CA17)</f>
        <v>#VALUE!</v>
      </c>
      <c r="CE17" s="2"/>
    </row>
    <row r="18" spans="2:83" ht="43.5" customHeight="1" x14ac:dyDescent="0.3">
      <c r="B18" s="55"/>
      <c r="C18" s="69" t="s">
        <v>291</v>
      </c>
      <c r="D18" s="56"/>
      <c r="E18" s="56"/>
      <c r="F18" s="56"/>
      <c r="G18" s="346"/>
      <c r="H18" s="56"/>
      <c r="I18" s="56"/>
      <c r="J18" s="241"/>
      <c r="K18" s="56"/>
      <c r="L18" s="56"/>
      <c r="M18" s="56"/>
      <c r="N18" s="56"/>
      <c r="O18" s="343"/>
      <c r="P18" s="343"/>
      <c r="Q18" s="343"/>
      <c r="R18" s="343"/>
      <c r="S18" s="343"/>
      <c r="T18" s="56"/>
      <c r="U18" s="57"/>
      <c r="X18" s="217"/>
      <c r="Y18" s="217"/>
      <c r="Z18" s="219"/>
      <c r="AA18" s="219"/>
      <c r="AB18" s="219"/>
      <c r="AC18" s="219"/>
      <c r="AD18" s="219"/>
      <c r="AE18" s="219"/>
      <c r="AF18" s="219"/>
      <c r="AG18" s="219"/>
      <c r="AI18" s="217"/>
      <c r="AJ18" s="217"/>
      <c r="AK18" s="217"/>
      <c r="AL18" s="217"/>
      <c r="AM18" s="217"/>
      <c r="AO18" s="219"/>
      <c r="AQ18" s="239"/>
      <c r="AR18" s="239"/>
      <c r="AS18" s="239"/>
      <c r="AU18" s="236"/>
      <c r="AW18" s="217"/>
      <c r="AX18" s="217"/>
      <c r="AY18" s="217"/>
      <c r="AZ18" s="217"/>
      <c r="BA18" s="217"/>
      <c r="BB18" s="217"/>
      <c r="BD18" s="217"/>
      <c r="BE18" s="217"/>
      <c r="BF18" s="217"/>
      <c r="BH18" s="217"/>
      <c r="BI18" s="217"/>
      <c r="BJ18" s="217"/>
      <c r="BK18" s="217"/>
      <c r="BL18" s="217"/>
      <c r="BM18" s="217"/>
      <c r="BN18" s="217"/>
      <c r="BP18" s="245"/>
      <c r="BQ18" s="245"/>
      <c r="BR18" s="245"/>
      <c r="BS18" s="245"/>
      <c r="BT18" s="245"/>
      <c r="BU18" s="245"/>
      <c r="BV18" s="245"/>
      <c r="BW18" s="245"/>
      <c r="BX18" s="245"/>
      <c r="BY18" s="245"/>
      <c r="BZ18" s="245"/>
      <c r="CA18" s="245"/>
      <c r="CB18" s="245"/>
    </row>
    <row r="19" spans="2:83" ht="18.95" customHeight="1" x14ac:dyDescent="0.25">
      <c r="B19" s="55"/>
      <c r="C19" s="71" t="str">
        <f>'1. DADOS'!A24</f>
        <v>PRATT CLOR 2% (caixa 4 x 5L)</v>
      </c>
      <c r="D19" s="216"/>
      <c r="E19" s="242">
        <f t="shared" ref="E19:E25" si="2">O19</f>
        <v>29.66</v>
      </c>
      <c r="F19" s="73" t="str">
        <f t="shared" ref="F19:F25" si="3">IFERROR(IF(D19&lt;&gt;"",1-G19/E19,""),"")</f>
        <v/>
      </c>
      <c r="G19" s="345" t="str">
        <f t="shared" ref="G19:G25" si="4">IFERROR(CHOOSE($Y$7,O19,P19,Q19,R19,S19),"")</f>
        <v/>
      </c>
      <c r="H19" s="331">
        <f t="shared" ref="H19:H25" si="5">IF(DESTINO="Revenda",BB19,IF(IE="",0,BN19))</f>
        <v>0</v>
      </c>
      <c r="I19" s="56"/>
      <c r="J19" s="240">
        <f t="shared" ref="J19:J25" si="6">IFERROR(AS19,"")</f>
        <v>0</v>
      </c>
      <c r="K19" s="56"/>
      <c r="L19" s="212" t="str">
        <f t="shared" ref="L19:L25" si="7">IFERROR(G19*D19+J19+H19,"")</f>
        <v/>
      </c>
      <c r="M19" s="211" t="str">
        <f>IFERROR(ROUND(L19/(D19*4),2),"")</f>
        <v/>
      </c>
      <c r="N19" s="56"/>
      <c r="O19" s="213">
        <f>AI19</f>
        <v>29.66</v>
      </c>
      <c r="P19" s="213">
        <f t="shared" ref="P19:P25" si="8">AJ19</f>
        <v>28.6</v>
      </c>
      <c r="Q19" s="213">
        <f t="shared" ref="Q19:Q25" si="9">AK19</f>
        <v>27.54</v>
      </c>
      <c r="R19" s="213">
        <f t="shared" ref="R19:R25" si="10">AL19</f>
        <v>27.01</v>
      </c>
      <c r="S19" s="213">
        <f t="shared" ref="S19:S25" si="11">AM19</f>
        <v>26.48</v>
      </c>
      <c r="T19" s="56"/>
      <c r="U19" s="57"/>
      <c r="X19" s="92">
        <f>'1. DADOS'!D24</f>
        <v>20.8</v>
      </c>
      <c r="Y19" s="92">
        <f>'1. DADOS'!C24</f>
        <v>16.22</v>
      </c>
      <c r="Z19" s="218">
        <f>'1. DADOS'!E24</f>
        <v>7.0000000000000007E-2</v>
      </c>
      <c r="AA19" s="218">
        <f>'1. DADOS'!F24</f>
        <v>0.03</v>
      </c>
      <c r="AB19" s="218">
        <f t="shared" ref="AB19:AB25" si="12">D.FIN</f>
        <v>0</v>
      </c>
      <c r="AC19" s="218">
        <f t="shared" ref="AC19:AC25" si="13">D.ADM</f>
        <v>2.5000000000000001E-2</v>
      </c>
      <c r="AD19" s="218">
        <f t="shared" ref="AD19:AD25" si="14">D.COM</f>
        <v>0.05</v>
      </c>
      <c r="AE19" s="218">
        <f>'1. DADOS'!$K$19</f>
        <v>0.12</v>
      </c>
      <c r="AF19" s="218">
        <f t="shared" ref="AF19:AF25" si="15">PIS</f>
        <v>9.2499999999999999E-2</v>
      </c>
      <c r="AG19" s="218">
        <f>'1. DADOS'!O24</f>
        <v>0</v>
      </c>
      <c r="AI19" s="92">
        <f>IF($AK$10,ROUND((($Y19*(1+'1. DADOS'!S24))/(1-SUM(PEDIDO!$Z19:$AF19)))*(1+$AG19),2),"")</f>
        <v>29.66</v>
      </c>
      <c r="AJ19" s="92">
        <f>IF($AK$10,ROUND((($Y19*(1+'1. DADOS'!T24))/(1-SUM(PEDIDO!$Z19:$AF19)))*(1+$AG19),2),"")</f>
        <v>28.6</v>
      </c>
      <c r="AK19" s="92">
        <f>IF($AK$10,ROUND((($Y19*(1+'1. DADOS'!U24))/(1-SUM(PEDIDO!$Z19:$AF19)))*(1+$AG19),2),"")</f>
        <v>27.54</v>
      </c>
      <c r="AL19" s="92">
        <f>IF($AK$10,ROUND((($Y19*(1+'1. DADOS'!V24))/(1-SUM(PEDIDO!$Z19:$AF19)))*(1+$AG19),2),"")</f>
        <v>27.01</v>
      </c>
      <c r="AM19" s="92">
        <f>IF($AK$10,ROUND((($Y19*(1+'1. DADOS'!W24))/(1-SUM(PEDIDO!$Z19:$AF19)))*(1+$AG19),2),"")</f>
        <v>26.48</v>
      </c>
      <c r="AO19" s="218" t="e">
        <f>CHOOSE($Y$7,'1. DADOS'!S24,'1. DADOS'!T24,'1. DADOS'!U24,'1. DADOS'!V24,'1. DADOS'!W24)</f>
        <v>#VALUE!</v>
      </c>
      <c r="AQ19" s="237">
        <f>IF($AB$7=1,0,IF(AND($AB$7=3,$Y$7&lt;5),$AF$5,$AF$6))*AR19</f>
        <v>0</v>
      </c>
      <c r="AR19" s="238">
        <f t="shared" si="1"/>
        <v>0</v>
      </c>
      <c r="AS19" s="237">
        <f t="shared" ref="AS19:AS25" si="16">AQ19</f>
        <v>0</v>
      </c>
      <c r="AU19" s="92" t="e">
        <f>D19*G19</f>
        <v>#VALUE!</v>
      </c>
      <c r="AW19" s="92">
        <f>IFERROR(VLOOKUP('1. DADOS'!M24,CLASS_FISCAL,VLOOKUP(ESTADO,MVA_COLUNA,2,FALSE),FALSE)/100+1,"")</f>
        <v>1</v>
      </c>
      <c r="AX19" s="92" t="e">
        <f t="shared" ref="AX19:AX25" si="17">AU19/(1+AG19)</f>
        <v>#VALUE!</v>
      </c>
      <c r="AY19" s="92" t="e">
        <f t="shared" ref="AY19:AY25" si="18">AX19*AE19</f>
        <v>#VALUE!</v>
      </c>
      <c r="AZ19" s="92" t="e">
        <f t="shared" ref="AZ19:AZ25" si="19">AX19*AG19</f>
        <v>#VALUE!</v>
      </c>
      <c r="BA19" s="243">
        <f t="shared" ref="BA19:BA25" si="20">IFERROR(VLOOKUP(ESTADO,REL_ICMS,5,FALSE),"")</f>
        <v>0.18</v>
      </c>
      <c r="BB19" s="92">
        <f t="shared" ref="BB19:BB25" si="21">ROUND(IFERROR(IF(AW19=1,0,AU19*AW19*BA19-AY19),0),2)</f>
        <v>0</v>
      </c>
      <c r="BD19" s="92" t="e">
        <f t="shared" ref="BD19:BD25" si="22">AX19</f>
        <v>#VALUE!</v>
      </c>
      <c r="BE19" s="92" t="e">
        <f t="shared" ref="BE19:BE25" si="23">BD19*AE19</f>
        <v>#VALUE!</v>
      </c>
      <c r="BF19" s="92" t="e">
        <f t="shared" ref="BF19:BF25" si="24">BD19*AG19</f>
        <v>#VALUE!</v>
      </c>
      <c r="BH19" s="92" t="e">
        <f t="shared" ref="BH19:BH25" si="25">BN19+AU19</f>
        <v>#VALUE!</v>
      </c>
      <c r="BI19" s="92" t="e">
        <f t="shared" ref="BI19:BI25" si="26">BH19*AE19</f>
        <v>#VALUE!</v>
      </c>
      <c r="BJ19" s="92" t="e">
        <f t="shared" ref="BJ19:BJ25" si="27">BH19-BH19/(1+AG19)</f>
        <v>#VALUE!</v>
      </c>
      <c r="BK19" s="243">
        <f>VLOOKUP(ESTADO,'2.IMPOSTOS'!$Z$46:$AD$72,5,FALSE)</f>
        <v>0.18</v>
      </c>
      <c r="BL19" s="92" t="e">
        <f t="shared" ref="BL19:BL25" si="28">(AU19/(1+AG19))*(1-AE19)</f>
        <v>#VALUE!</v>
      </c>
      <c r="BM19" s="92" t="e">
        <f t="shared" ref="BM19:BM25" si="29">BL19/(1-BK19)</f>
        <v>#VALUE!</v>
      </c>
      <c r="BN19" s="92" t="e">
        <f t="shared" ref="BN19:BN25" si="30">BM19*(1+AG19)-AU19</f>
        <v>#VALUE!</v>
      </c>
      <c r="BP19" s="246">
        <f>H19</f>
        <v>0</v>
      </c>
      <c r="BQ19" s="246" t="e">
        <f>AU19-AU19/(1+AG19)</f>
        <v>#VALUE!</v>
      </c>
      <c r="BR19" s="246" t="e">
        <f>(AU19/(1+AG19))*AF19</f>
        <v>#VALUE!</v>
      </c>
      <c r="BS19" s="246" t="e">
        <f>ORÇAMENTO!L28</f>
        <v>#VALUE!</v>
      </c>
      <c r="BT19" s="246" t="e">
        <f>SUM(BP19:BS19)</f>
        <v>#VALUE!</v>
      </c>
      <c r="BU19" s="246">
        <f>AQ19</f>
        <v>0</v>
      </c>
      <c r="BV19" s="246" t="e">
        <f>AD19*(AU19/(1+AG19))</f>
        <v>#VALUE!</v>
      </c>
      <c r="BW19" s="246" t="e">
        <f>AC19*(AU19/(1+AG19))</f>
        <v>#VALUE!</v>
      </c>
      <c r="BX19" s="246" t="e">
        <f>AB19*(AU19/(1+AG19))</f>
        <v>#VALUE!</v>
      </c>
      <c r="BY19" s="246" t="e">
        <f>AA19*(AU19/(1+AG19))</f>
        <v>#VALUE!</v>
      </c>
      <c r="BZ19" s="246">
        <f>Y19*D19</f>
        <v>0</v>
      </c>
      <c r="CA19" s="246" t="e">
        <f>(J19+AU19)-SUM(BT19:BZ19)</f>
        <v>#VALUE!</v>
      </c>
      <c r="CB19" s="340" t="e">
        <f>SUM(BT19:CA19)</f>
        <v>#VALUE!</v>
      </c>
      <c r="CD19" s="2"/>
    </row>
    <row r="20" spans="2:83" ht="18.95" customHeight="1" x14ac:dyDescent="0.25">
      <c r="B20" s="55"/>
      <c r="C20" s="71" t="str">
        <f>'1. DADOS'!A25</f>
        <v>PRATT ULTRA (caixa 4 x 5L)</v>
      </c>
      <c r="D20" s="216"/>
      <c r="E20" s="242">
        <f t="shared" si="2"/>
        <v>41.43</v>
      </c>
      <c r="F20" s="73" t="str">
        <f t="shared" si="3"/>
        <v/>
      </c>
      <c r="G20" s="345" t="str">
        <f t="shared" si="4"/>
        <v/>
      </c>
      <c r="H20" s="331">
        <f t="shared" si="5"/>
        <v>0</v>
      </c>
      <c r="I20" s="56"/>
      <c r="J20" s="240">
        <f t="shared" si="6"/>
        <v>0</v>
      </c>
      <c r="K20" s="56"/>
      <c r="L20" s="212" t="str">
        <f t="shared" si="7"/>
        <v/>
      </c>
      <c r="M20" s="211" t="str">
        <f>IFERROR(ROUND(L20/(D20*4),2),"")</f>
        <v/>
      </c>
      <c r="N20" s="56"/>
      <c r="O20" s="213">
        <f t="shared" ref="O20:O25" si="31">AI20</f>
        <v>41.43</v>
      </c>
      <c r="P20" s="213">
        <f t="shared" si="8"/>
        <v>36.99</v>
      </c>
      <c r="Q20" s="213">
        <f t="shared" si="9"/>
        <v>31.67</v>
      </c>
      <c r="R20" s="213">
        <f t="shared" si="10"/>
        <v>30.48</v>
      </c>
      <c r="S20" s="213">
        <f t="shared" si="11"/>
        <v>29.59</v>
      </c>
      <c r="T20" s="56"/>
      <c r="U20" s="57"/>
      <c r="X20" s="92">
        <f>'1. DADOS'!D25</f>
        <v>20.8</v>
      </c>
      <c r="Y20" s="92">
        <f>'1. DADOS'!C25</f>
        <v>15.29</v>
      </c>
      <c r="Z20" s="218">
        <f>'1. DADOS'!E25</f>
        <v>0.12</v>
      </c>
      <c r="AA20" s="218">
        <f>'1. DADOS'!F25</f>
        <v>0.05</v>
      </c>
      <c r="AB20" s="218">
        <f t="shared" si="12"/>
        <v>0</v>
      </c>
      <c r="AC20" s="218">
        <f t="shared" si="13"/>
        <v>2.5000000000000001E-2</v>
      </c>
      <c r="AD20" s="218">
        <f t="shared" si="14"/>
        <v>0.05</v>
      </c>
      <c r="AE20" s="218">
        <f>'1. DADOS'!$K$19</f>
        <v>0.12</v>
      </c>
      <c r="AF20" s="218">
        <f t="shared" si="15"/>
        <v>9.2499999999999999E-2</v>
      </c>
      <c r="AG20" s="218">
        <f>'1. DADOS'!O25</f>
        <v>0.05</v>
      </c>
      <c r="AI20" s="92">
        <f>IF($AK$10,ROUND((($Y20*(1+'1. DADOS'!S25))/(1-SUM(PEDIDO!$Z20:$AF20)))*(1+$AG20),2),"")</f>
        <v>41.43</v>
      </c>
      <c r="AJ20" s="92">
        <f>IF($AK$10,ROUND((($Y20*(1+'1. DADOS'!T25))/(1-SUM(PEDIDO!$Z20:$AF20)))*(1+$AG20),2),"")</f>
        <v>36.99</v>
      </c>
      <c r="AK20" s="92">
        <f>IF($AK$10,ROUND((($Y20*(1+'1. DADOS'!U25))/(1-SUM(PEDIDO!$Z20:$AF20)))*(1+$AG20),2),"")</f>
        <v>31.67</v>
      </c>
      <c r="AL20" s="92">
        <f>IF($AK$10,ROUND((($Y20*(1+'1. DADOS'!V25))/(1-SUM(PEDIDO!$Z20:$AF20)))*(1+$AG20),2),"")</f>
        <v>30.48</v>
      </c>
      <c r="AM20" s="92">
        <f>IF($AK$10,ROUND((($Y20*(1+'1. DADOS'!W25))/(1-SUM(PEDIDO!$Z20:$AF20)))*(1+$AG20),2),"")</f>
        <v>29.59</v>
      </c>
      <c r="AO20" s="218" t="e">
        <f>CHOOSE($Y$7,'1. DADOS'!S25,'1. DADOS'!T25,'1. DADOS'!U25,'1. DADOS'!V25,'1. DADOS'!W25)</f>
        <v>#VALUE!</v>
      </c>
      <c r="AQ20" s="237">
        <f t="shared" ref="AQ20:AQ31" si="32">IF($AB$7=1,0,IF(AND($AB$7=3,$Y$7&lt;5),$AF$5,$AF$6))*AR20</f>
        <v>0</v>
      </c>
      <c r="AR20" s="238">
        <f t="shared" si="1"/>
        <v>0</v>
      </c>
      <c r="AS20" s="237">
        <f t="shared" si="16"/>
        <v>0</v>
      </c>
      <c r="AU20" s="92" t="e">
        <f t="shared" ref="AU20:AU25" si="33">D20*G20</f>
        <v>#VALUE!</v>
      </c>
      <c r="AW20" s="92">
        <f>IFERROR(VLOOKUP('1. DADOS'!M25,CLASS_FISCAL,VLOOKUP(ESTADO,MVA_COLUNA,2,FALSE),FALSE)/100+1,"")</f>
        <v>1</v>
      </c>
      <c r="AX20" s="92" t="e">
        <f t="shared" si="17"/>
        <v>#VALUE!</v>
      </c>
      <c r="AY20" s="92" t="e">
        <f t="shared" si="18"/>
        <v>#VALUE!</v>
      </c>
      <c r="AZ20" s="92" t="e">
        <f t="shared" si="19"/>
        <v>#VALUE!</v>
      </c>
      <c r="BA20" s="243">
        <f t="shared" si="20"/>
        <v>0.18</v>
      </c>
      <c r="BB20" s="92">
        <f t="shared" si="21"/>
        <v>0</v>
      </c>
      <c r="BD20" s="92" t="e">
        <f t="shared" si="22"/>
        <v>#VALUE!</v>
      </c>
      <c r="BE20" s="92" t="e">
        <f t="shared" si="23"/>
        <v>#VALUE!</v>
      </c>
      <c r="BF20" s="92" t="e">
        <f t="shared" si="24"/>
        <v>#VALUE!</v>
      </c>
      <c r="BH20" s="92" t="e">
        <f t="shared" si="25"/>
        <v>#VALUE!</v>
      </c>
      <c r="BI20" s="92" t="e">
        <f t="shared" si="26"/>
        <v>#VALUE!</v>
      </c>
      <c r="BJ20" s="92" t="e">
        <f t="shared" si="27"/>
        <v>#VALUE!</v>
      </c>
      <c r="BK20" s="243">
        <f>VLOOKUP(ESTADO,'2.IMPOSTOS'!$Z$46:$AD$72,5,FALSE)</f>
        <v>0.18</v>
      </c>
      <c r="BL20" s="92" t="e">
        <f t="shared" si="28"/>
        <v>#VALUE!</v>
      </c>
      <c r="BM20" s="92" t="e">
        <f t="shared" si="29"/>
        <v>#VALUE!</v>
      </c>
      <c r="BN20" s="92" t="e">
        <f t="shared" si="30"/>
        <v>#VALUE!</v>
      </c>
      <c r="BP20" s="246">
        <f t="shared" ref="BP20:BP25" si="34">H20</f>
        <v>0</v>
      </c>
      <c r="BQ20" s="246" t="e">
        <f t="shared" ref="BQ20:BQ25" si="35">AU20-AU20/(1+AG20)</f>
        <v>#VALUE!</v>
      </c>
      <c r="BR20" s="246" t="e">
        <f t="shared" ref="BR20:BR25" si="36">(AU20/(1+AG20))*AF20</f>
        <v>#VALUE!</v>
      </c>
      <c r="BS20" s="246" t="e">
        <f>ORÇAMENTO!L29</f>
        <v>#VALUE!</v>
      </c>
      <c r="BT20" s="246" t="e">
        <f t="shared" ref="BT20:BT25" si="37">SUM(BP20:BS20)</f>
        <v>#VALUE!</v>
      </c>
      <c r="BU20" s="246">
        <f t="shared" ref="BU20:BU25" si="38">AQ20</f>
        <v>0</v>
      </c>
      <c r="BV20" s="246" t="e">
        <f t="shared" ref="BV20:BV25" si="39">AD20*(AU20/(1+AG20))</f>
        <v>#VALUE!</v>
      </c>
      <c r="BW20" s="246" t="e">
        <f t="shared" ref="BW20:BW25" si="40">AC20*(AU20/(1+AG20))</f>
        <v>#VALUE!</v>
      </c>
      <c r="BX20" s="246" t="e">
        <f t="shared" ref="BX20:BX25" si="41">AB20*(AU20/(1+AG20))</f>
        <v>#VALUE!</v>
      </c>
      <c r="BY20" s="246" t="e">
        <f t="shared" ref="BY20:BY25" si="42">AA20*(AU20/(1+AG20))</f>
        <v>#VALUE!</v>
      </c>
      <c r="BZ20" s="246">
        <f t="shared" ref="BZ20:BZ25" si="43">Y20*D20</f>
        <v>0</v>
      </c>
      <c r="CA20" s="246" t="e">
        <f t="shared" ref="CA20:CA25" si="44">(J20+AU20)-SUM(BT20:BZ20)</f>
        <v>#VALUE!</v>
      </c>
      <c r="CB20" s="340" t="e">
        <f t="shared" ref="CB20:CB25" si="45">SUM(BT20:CA20)</f>
        <v>#VALUE!</v>
      </c>
    </row>
    <row r="21" spans="2:83" ht="18.95" hidden="1" customHeight="1" x14ac:dyDescent="0.25">
      <c r="B21" s="55"/>
      <c r="C21" s="71" t="str">
        <f>'1. DADOS'!A26</f>
        <v>PRATT ULTRA (caixa 12 x 1L)</v>
      </c>
      <c r="D21" s="216"/>
      <c r="E21" s="242">
        <f>O21</f>
        <v>25.77</v>
      </c>
      <c r="F21" s="73" t="str">
        <f>IFERROR(IF(D21&lt;&gt;"",1-G21/E21,""),"")</f>
        <v/>
      </c>
      <c r="G21" s="345" t="str">
        <f t="shared" si="4"/>
        <v/>
      </c>
      <c r="H21" s="331">
        <f t="shared" si="5"/>
        <v>0</v>
      </c>
      <c r="I21" s="56"/>
      <c r="J21" s="240">
        <f>IFERROR(AS21,"")</f>
        <v>0</v>
      </c>
      <c r="K21" s="56"/>
      <c r="L21" s="212" t="str">
        <f t="shared" si="7"/>
        <v/>
      </c>
      <c r="M21" s="211" t="str">
        <f>IFERROR(ROUND(L21/(D21*12),2),"")</f>
        <v/>
      </c>
      <c r="N21" s="56"/>
      <c r="O21" s="213">
        <f>AI21</f>
        <v>25.77</v>
      </c>
      <c r="P21" s="213">
        <f>AJ21</f>
        <v>23.01</v>
      </c>
      <c r="Q21" s="213">
        <f>AK21</f>
        <v>19.7</v>
      </c>
      <c r="R21" s="213">
        <f>AL21</f>
        <v>18.78</v>
      </c>
      <c r="S21" s="213">
        <f>AM21</f>
        <v>18.41</v>
      </c>
      <c r="T21" s="56"/>
      <c r="U21" s="57"/>
      <c r="X21" s="92">
        <f>'1. DADOS'!D26</f>
        <v>20.8</v>
      </c>
      <c r="Y21" s="92">
        <f>'1. DADOS'!C26</f>
        <v>8.5299999999999994</v>
      </c>
      <c r="Z21" s="218">
        <f>'1. DADOS'!E26</f>
        <v>0.12</v>
      </c>
      <c r="AA21" s="218">
        <f>'1. DADOS'!F26</f>
        <v>0.05</v>
      </c>
      <c r="AB21" s="218">
        <f t="shared" si="12"/>
        <v>0</v>
      </c>
      <c r="AC21" s="218">
        <f>D.ADM_AT</f>
        <v>8.0933333333333329E-2</v>
      </c>
      <c r="AD21" s="218">
        <f t="shared" si="14"/>
        <v>0.05</v>
      </c>
      <c r="AE21" s="218">
        <f>'1. DADOS'!$K$19</f>
        <v>0.12</v>
      </c>
      <c r="AF21" s="218">
        <f t="shared" si="15"/>
        <v>9.2499999999999999E-2</v>
      </c>
      <c r="AG21" s="218">
        <f>'1. DADOS'!O26</f>
        <v>0.05</v>
      </c>
      <c r="AI21" s="92">
        <f>IF($AK$10,ROUND((($Y21*(1+'1. DADOS'!S26))/(1-SUM(PEDIDO!$Z21:$AF21)))*(1+$AG21),2),"")</f>
        <v>25.77</v>
      </c>
      <c r="AJ21" s="92">
        <f>IF($AK$10,ROUND((($Y21*(1+'1. DADOS'!T26))/(1-SUM(PEDIDO!$Z21:$AF21)))*(1+$AG21),2),"")</f>
        <v>23.01</v>
      </c>
      <c r="AK21" s="92">
        <f>IF($AK$10,ROUND((($Y21*(1+'1. DADOS'!U26))/(1-SUM(PEDIDO!$Z21:$AF21)))*(1+$AG21),2),"")</f>
        <v>19.7</v>
      </c>
      <c r="AL21" s="92">
        <f>IF($AK$10,ROUND((($Y21*(1+'1. DADOS'!V26))/(1-SUM(PEDIDO!$Z21:$AF21)))*(1+$AG21),2),"")</f>
        <v>18.78</v>
      </c>
      <c r="AM21" s="92">
        <f>IF($AK$10,ROUND((($Y21*(1+'1. DADOS'!W26))/(1-SUM(PEDIDO!$Z21:$AF21)))*(1+$AG21),2),"")</f>
        <v>18.41</v>
      </c>
      <c r="AO21" s="218" t="e">
        <f>CHOOSE($Y$7,'1. DADOS'!S26,'1. DADOS'!T26,'1. DADOS'!U26,'1. DADOS'!V26,'1. DADOS'!W26)</f>
        <v>#VALUE!</v>
      </c>
      <c r="AQ21" s="237">
        <f t="shared" si="32"/>
        <v>0</v>
      </c>
      <c r="AR21" s="238">
        <f>X21*D21</f>
        <v>0</v>
      </c>
      <c r="AS21" s="237">
        <f t="shared" si="16"/>
        <v>0</v>
      </c>
      <c r="AU21" s="92" t="e">
        <f t="shared" si="33"/>
        <v>#VALUE!</v>
      </c>
      <c r="AW21" s="92">
        <f>IFERROR(VLOOKUP('1. DADOS'!M26,CLASS_FISCAL,VLOOKUP(ESTADO,MVA_COLUNA,2,FALSE),FALSE)/100+1,"")</f>
        <v>1</v>
      </c>
      <c r="AX21" s="92" t="e">
        <f>AU21/(1+AG21)</f>
        <v>#VALUE!</v>
      </c>
      <c r="AY21" s="92" t="e">
        <f>AX21*AE21</f>
        <v>#VALUE!</v>
      </c>
      <c r="AZ21" s="92" t="e">
        <f>AX21*AG21</f>
        <v>#VALUE!</v>
      </c>
      <c r="BA21" s="243">
        <f t="shared" si="20"/>
        <v>0.18</v>
      </c>
      <c r="BB21" s="92">
        <f>ROUND(IFERROR(IF(AW21=1,0,AU21*AW21*BA21-AY21),0),2)</f>
        <v>0</v>
      </c>
      <c r="BD21" s="92" t="e">
        <f>AX21</f>
        <v>#VALUE!</v>
      </c>
      <c r="BE21" s="92" t="e">
        <f>BD21*AE21</f>
        <v>#VALUE!</v>
      </c>
      <c r="BF21" s="92" t="e">
        <f>BD21*AG21</f>
        <v>#VALUE!</v>
      </c>
      <c r="BH21" s="92" t="e">
        <f>BN21+AU21</f>
        <v>#VALUE!</v>
      </c>
      <c r="BI21" s="92" t="e">
        <f t="shared" si="26"/>
        <v>#VALUE!</v>
      </c>
      <c r="BJ21" s="92" t="e">
        <f t="shared" si="27"/>
        <v>#VALUE!</v>
      </c>
      <c r="BK21" s="243">
        <f>VLOOKUP(ESTADO,'2.IMPOSTOS'!$Z$46:$AD$72,5,FALSE)</f>
        <v>0.18</v>
      </c>
      <c r="BL21" s="92" t="e">
        <f>(AU21/(1+AG21))*(1-AE21)</f>
        <v>#VALUE!</v>
      </c>
      <c r="BM21" s="92" t="e">
        <f>BL21/(1-BK21)</f>
        <v>#VALUE!</v>
      </c>
      <c r="BN21" s="92" t="e">
        <f>BM21*(1+AG21)-AU21</f>
        <v>#VALUE!</v>
      </c>
      <c r="BP21" s="246">
        <f t="shared" si="34"/>
        <v>0</v>
      </c>
      <c r="BQ21" s="246" t="e">
        <f t="shared" si="35"/>
        <v>#VALUE!</v>
      </c>
      <c r="BR21" s="246" t="e">
        <f t="shared" si="36"/>
        <v>#VALUE!</v>
      </c>
      <c r="BS21" s="246" t="e">
        <f>ORÇAMENTO!L30</f>
        <v>#VALUE!</v>
      </c>
      <c r="BT21" s="246" t="e">
        <f t="shared" si="37"/>
        <v>#VALUE!</v>
      </c>
      <c r="BU21" s="246">
        <f t="shared" si="38"/>
        <v>0</v>
      </c>
      <c r="BV21" s="246" t="e">
        <f t="shared" si="39"/>
        <v>#VALUE!</v>
      </c>
      <c r="BW21" s="246" t="e">
        <f t="shared" si="40"/>
        <v>#VALUE!</v>
      </c>
      <c r="BX21" s="246" t="e">
        <f t="shared" si="41"/>
        <v>#VALUE!</v>
      </c>
      <c r="BY21" s="246" t="e">
        <f t="shared" si="42"/>
        <v>#VALUE!</v>
      </c>
      <c r="BZ21" s="246">
        <f t="shared" si="43"/>
        <v>0</v>
      </c>
      <c r="CA21" s="246" t="e">
        <f t="shared" si="44"/>
        <v>#VALUE!</v>
      </c>
      <c r="CB21" s="340" t="e">
        <f t="shared" si="45"/>
        <v>#VALUE!</v>
      </c>
    </row>
    <row r="22" spans="2:83" ht="18.95" customHeight="1" x14ac:dyDescent="0.25">
      <c r="B22" s="55"/>
      <c r="C22" s="71" t="str">
        <f>'1. DADOS'!A27</f>
        <v>PRATT DETERGENTE NEUTRO (caixa 4 x 5L)</v>
      </c>
      <c r="D22" s="216"/>
      <c r="E22" s="242">
        <f t="shared" si="2"/>
        <v>59.8</v>
      </c>
      <c r="F22" s="73" t="str">
        <f t="shared" si="3"/>
        <v/>
      </c>
      <c r="G22" s="345" t="str">
        <f t="shared" si="4"/>
        <v/>
      </c>
      <c r="H22" s="331">
        <f t="shared" si="5"/>
        <v>0</v>
      </c>
      <c r="I22" s="56"/>
      <c r="J22" s="240">
        <f t="shared" si="6"/>
        <v>0</v>
      </c>
      <c r="K22" s="56"/>
      <c r="L22" s="212" t="str">
        <f t="shared" si="7"/>
        <v/>
      </c>
      <c r="M22" s="211" t="str">
        <f>IFERROR(ROUND(L22/(D22*4),2),"")</f>
        <v/>
      </c>
      <c r="N22" s="56"/>
      <c r="O22" s="213">
        <f t="shared" si="31"/>
        <v>59.8</v>
      </c>
      <c r="P22" s="213">
        <f t="shared" si="8"/>
        <v>53.39</v>
      </c>
      <c r="Q22" s="213">
        <f t="shared" si="9"/>
        <v>45.7</v>
      </c>
      <c r="R22" s="213">
        <f t="shared" si="10"/>
        <v>43.57</v>
      </c>
      <c r="S22" s="213">
        <f t="shared" si="11"/>
        <v>42.71</v>
      </c>
      <c r="T22" s="56"/>
      <c r="U22" s="57"/>
      <c r="X22" s="92">
        <f>'1. DADOS'!D27</f>
        <v>20.8</v>
      </c>
      <c r="Y22" s="92">
        <f>'1. DADOS'!C27</f>
        <v>22.678573376963435</v>
      </c>
      <c r="Z22" s="218">
        <f>'1. DADOS'!E27</f>
        <v>0.105</v>
      </c>
      <c r="AA22" s="218">
        <f>'1. DADOS'!F27</f>
        <v>0.05</v>
      </c>
      <c r="AB22" s="218">
        <f t="shared" si="12"/>
        <v>0</v>
      </c>
      <c r="AC22" s="218">
        <f t="shared" si="13"/>
        <v>2.5000000000000001E-2</v>
      </c>
      <c r="AD22" s="218">
        <f t="shared" si="14"/>
        <v>0.05</v>
      </c>
      <c r="AE22" s="218">
        <f>'1. DADOS'!$K$19</f>
        <v>0.12</v>
      </c>
      <c r="AF22" s="218">
        <f t="shared" si="15"/>
        <v>9.2499999999999999E-2</v>
      </c>
      <c r="AG22" s="218">
        <f>'1. DADOS'!O27</f>
        <v>0.05</v>
      </c>
      <c r="AI22" s="92">
        <f>IF($AK$10,ROUND((($Y22*(1+'1. DADOS'!S27))/(1-SUM(PEDIDO!$Z22:$AF22)))*(1+$AG22),2),"")</f>
        <v>59.8</v>
      </c>
      <c r="AJ22" s="92">
        <f>IF($AK$10,ROUND((($Y22*(1+'1. DADOS'!T27))/(1-SUM(PEDIDO!$Z22:$AF22)))*(1+$AG22),2),"")</f>
        <v>53.39</v>
      </c>
      <c r="AK22" s="92">
        <f>IF($AK$10,ROUND((($Y22*(1+'1. DADOS'!U27))/(1-SUM(PEDIDO!$Z22:$AF22)))*(1+$AG22),2),"")</f>
        <v>45.7</v>
      </c>
      <c r="AL22" s="92">
        <f>IF($AK$10,ROUND((($Y22*(1+'1. DADOS'!V27))/(1-SUM(PEDIDO!$Z22:$AF22)))*(1+$AG22),2),"")</f>
        <v>43.57</v>
      </c>
      <c r="AM22" s="92">
        <f>IF($AK$10,ROUND((($Y22*(1+'1. DADOS'!W27))/(1-SUM(PEDIDO!$Z22:$AF22)))*(1+$AG22),2),"")</f>
        <v>42.71</v>
      </c>
      <c r="AO22" s="218" t="e">
        <f>CHOOSE($Y$7,'1. DADOS'!S27,'1. DADOS'!T27,'1. DADOS'!U27,'1. DADOS'!V27,'1. DADOS'!W27)</f>
        <v>#VALUE!</v>
      </c>
      <c r="AQ22" s="237">
        <f t="shared" si="32"/>
        <v>0</v>
      </c>
      <c r="AR22" s="238">
        <f t="shared" si="1"/>
        <v>0</v>
      </c>
      <c r="AS22" s="237">
        <f t="shared" si="16"/>
        <v>0</v>
      </c>
      <c r="AU22" s="92" t="e">
        <f t="shared" si="33"/>
        <v>#VALUE!</v>
      </c>
      <c r="AW22" s="92">
        <f>IFERROR(VLOOKUP('1. DADOS'!M27,CLASS_FISCAL,VLOOKUP(ESTADO,MVA_COLUNA,2,FALSE),FALSE)/100+1,"")</f>
        <v>1</v>
      </c>
      <c r="AX22" s="92" t="e">
        <f t="shared" si="17"/>
        <v>#VALUE!</v>
      </c>
      <c r="AY22" s="92" t="e">
        <f t="shared" si="18"/>
        <v>#VALUE!</v>
      </c>
      <c r="AZ22" s="92" t="e">
        <f t="shared" si="19"/>
        <v>#VALUE!</v>
      </c>
      <c r="BA22" s="243">
        <f t="shared" si="20"/>
        <v>0.18</v>
      </c>
      <c r="BB22" s="92">
        <f t="shared" si="21"/>
        <v>0</v>
      </c>
      <c r="BD22" s="92" t="e">
        <f t="shared" si="22"/>
        <v>#VALUE!</v>
      </c>
      <c r="BE22" s="92" t="e">
        <f t="shared" si="23"/>
        <v>#VALUE!</v>
      </c>
      <c r="BF22" s="92" t="e">
        <f t="shared" si="24"/>
        <v>#VALUE!</v>
      </c>
      <c r="BH22" s="92" t="e">
        <f t="shared" si="25"/>
        <v>#VALUE!</v>
      </c>
      <c r="BI22" s="92" t="e">
        <f t="shared" si="26"/>
        <v>#VALUE!</v>
      </c>
      <c r="BJ22" s="92" t="e">
        <f t="shared" si="27"/>
        <v>#VALUE!</v>
      </c>
      <c r="BK22" s="243">
        <f>VLOOKUP(ESTADO,'2.IMPOSTOS'!$Z$46:$AD$72,5,FALSE)</f>
        <v>0.18</v>
      </c>
      <c r="BL22" s="92" t="e">
        <f t="shared" si="28"/>
        <v>#VALUE!</v>
      </c>
      <c r="BM22" s="92" t="e">
        <f t="shared" si="29"/>
        <v>#VALUE!</v>
      </c>
      <c r="BN22" s="92" t="e">
        <f t="shared" si="30"/>
        <v>#VALUE!</v>
      </c>
      <c r="BP22" s="246">
        <f t="shared" si="34"/>
        <v>0</v>
      </c>
      <c r="BQ22" s="246" t="e">
        <f t="shared" si="35"/>
        <v>#VALUE!</v>
      </c>
      <c r="BR22" s="246" t="e">
        <f t="shared" si="36"/>
        <v>#VALUE!</v>
      </c>
      <c r="BS22" s="246" t="e">
        <f>ORÇAMENTO!L31</f>
        <v>#VALUE!</v>
      </c>
      <c r="BT22" s="246" t="e">
        <f t="shared" si="37"/>
        <v>#VALUE!</v>
      </c>
      <c r="BU22" s="246">
        <f t="shared" si="38"/>
        <v>0</v>
      </c>
      <c r="BV22" s="246" t="e">
        <f t="shared" si="39"/>
        <v>#VALUE!</v>
      </c>
      <c r="BW22" s="246" t="e">
        <f t="shared" si="40"/>
        <v>#VALUE!</v>
      </c>
      <c r="BX22" s="246" t="e">
        <f t="shared" si="41"/>
        <v>#VALUE!</v>
      </c>
      <c r="BY22" s="246" t="e">
        <f t="shared" si="42"/>
        <v>#VALUE!</v>
      </c>
      <c r="BZ22" s="246">
        <f t="shared" si="43"/>
        <v>0</v>
      </c>
      <c r="CA22" s="246" t="e">
        <f t="shared" si="44"/>
        <v>#VALUE!</v>
      </c>
      <c r="CB22" s="340" t="e">
        <f t="shared" si="45"/>
        <v>#VALUE!</v>
      </c>
    </row>
    <row r="23" spans="2:83" ht="18.95" customHeight="1" x14ac:dyDescent="0.25">
      <c r="B23" s="55"/>
      <c r="C23" s="71" t="str">
        <f>'1. DADOS'!A28</f>
        <v>PRATT DESINFETANTE FLORAL (caixa 4 x 5L)</v>
      </c>
      <c r="D23" s="216"/>
      <c r="E23" s="242">
        <f t="shared" si="2"/>
        <v>63.51</v>
      </c>
      <c r="F23" s="73" t="str">
        <f t="shared" si="3"/>
        <v/>
      </c>
      <c r="G23" s="345" t="str">
        <f t="shared" si="4"/>
        <v/>
      </c>
      <c r="H23" s="331">
        <f t="shared" si="5"/>
        <v>0</v>
      </c>
      <c r="I23" s="56"/>
      <c r="J23" s="240">
        <f t="shared" si="6"/>
        <v>0</v>
      </c>
      <c r="K23" s="56"/>
      <c r="L23" s="212" t="str">
        <f t="shared" si="7"/>
        <v/>
      </c>
      <c r="M23" s="211" t="str">
        <f>IFERROR(ROUND(L23/(D23*4),2),"")</f>
        <v/>
      </c>
      <c r="N23" s="56"/>
      <c r="O23" s="213">
        <f t="shared" si="31"/>
        <v>63.51</v>
      </c>
      <c r="P23" s="213">
        <f t="shared" si="8"/>
        <v>52.17</v>
      </c>
      <c r="Q23" s="213">
        <f t="shared" si="9"/>
        <v>47.18</v>
      </c>
      <c r="R23" s="213">
        <f t="shared" si="10"/>
        <v>46.27</v>
      </c>
      <c r="S23" s="213">
        <f t="shared" si="11"/>
        <v>45.36</v>
      </c>
      <c r="T23" s="56"/>
      <c r="U23" s="57"/>
      <c r="X23" s="92">
        <f>'1. DADOS'!D28</f>
        <v>20.8</v>
      </c>
      <c r="Y23" s="92">
        <f>'1. DADOS'!C28</f>
        <v>25.165116538587515</v>
      </c>
      <c r="Z23" s="218">
        <f>'1. DADOS'!E28</f>
        <v>0.08</v>
      </c>
      <c r="AA23" s="218">
        <f>'1. DADOS'!F28</f>
        <v>0.05</v>
      </c>
      <c r="AB23" s="218">
        <f t="shared" si="12"/>
        <v>0</v>
      </c>
      <c r="AC23" s="218">
        <f t="shared" si="13"/>
        <v>2.5000000000000001E-2</v>
      </c>
      <c r="AD23" s="218">
        <f t="shared" si="14"/>
        <v>0.05</v>
      </c>
      <c r="AE23" s="218">
        <f>'1. DADOS'!$K$19</f>
        <v>0.12</v>
      </c>
      <c r="AF23" s="218">
        <f t="shared" si="15"/>
        <v>9.2499999999999999E-2</v>
      </c>
      <c r="AG23" s="218">
        <f>'1. DADOS'!O28</f>
        <v>0.05</v>
      </c>
      <c r="AI23" s="92">
        <f>IF($AK$10,ROUND((($Y23*(1+'1. DADOS'!S28))/(1-SUM(PEDIDO!$Z23:$AF23)))*(1+$AG23),2),"")</f>
        <v>63.51</v>
      </c>
      <c r="AJ23" s="92">
        <f>IF($AK$10,ROUND((($Y23*(1+'1. DADOS'!T28))/(1-SUM(PEDIDO!$Z23:$AF23)))*(1+$AG23),2),"")</f>
        <v>52.17</v>
      </c>
      <c r="AK23" s="92">
        <f>IF($AK$10,ROUND((($Y23*(1+'1. DADOS'!U28))/(1-SUM(PEDIDO!$Z23:$AF23)))*(1+$AG23),2),"")</f>
        <v>47.18</v>
      </c>
      <c r="AL23" s="92">
        <f>IF($AK$10,ROUND((($Y23*(1+'1. DADOS'!V28))/(1-SUM(PEDIDO!$Z23:$AF23)))*(1+$AG23),2),"")</f>
        <v>46.27</v>
      </c>
      <c r="AM23" s="92">
        <f>IF($AK$10,ROUND((($Y23*(1+'1. DADOS'!W28))/(1-SUM(PEDIDO!$Z23:$AF23)))*(1+$AG23),2),"")</f>
        <v>45.36</v>
      </c>
      <c r="AO23" s="218" t="e">
        <f>CHOOSE($Y$7,'1. DADOS'!S28,'1. DADOS'!T28,'1. DADOS'!U28,'1. DADOS'!V28,'1. DADOS'!W28)</f>
        <v>#VALUE!</v>
      </c>
      <c r="AQ23" s="237">
        <f t="shared" si="32"/>
        <v>0</v>
      </c>
      <c r="AR23" s="238">
        <f t="shared" si="1"/>
        <v>0</v>
      </c>
      <c r="AS23" s="237">
        <f t="shared" si="16"/>
        <v>0</v>
      </c>
      <c r="AU23" s="92" t="e">
        <f t="shared" si="33"/>
        <v>#VALUE!</v>
      </c>
      <c r="AW23" s="92">
        <f>IFERROR(VLOOKUP('1. DADOS'!M28,CLASS_FISCAL,VLOOKUP(ESTADO,MVA_COLUNA,2,FALSE),FALSE)/100+1,"")</f>
        <v>1</v>
      </c>
      <c r="AX23" s="92" t="e">
        <f t="shared" si="17"/>
        <v>#VALUE!</v>
      </c>
      <c r="AY23" s="92" t="e">
        <f t="shared" si="18"/>
        <v>#VALUE!</v>
      </c>
      <c r="AZ23" s="92" t="e">
        <f t="shared" si="19"/>
        <v>#VALUE!</v>
      </c>
      <c r="BA23" s="243">
        <f t="shared" si="20"/>
        <v>0.18</v>
      </c>
      <c r="BB23" s="92">
        <f t="shared" si="21"/>
        <v>0</v>
      </c>
      <c r="BD23" s="92" t="e">
        <f t="shared" si="22"/>
        <v>#VALUE!</v>
      </c>
      <c r="BE23" s="92" t="e">
        <f t="shared" si="23"/>
        <v>#VALUE!</v>
      </c>
      <c r="BF23" s="92" t="e">
        <f t="shared" si="24"/>
        <v>#VALUE!</v>
      </c>
      <c r="BH23" s="92" t="e">
        <f t="shared" si="25"/>
        <v>#VALUE!</v>
      </c>
      <c r="BI23" s="92" t="e">
        <f t="shared" si="26"/>
        <v>#VALUE!</v>
      </c>
      <c r="BJ23" s="92" t="e">
        <f t="shared" si="27"/>
        <v>#VALUE!</v>
      </c>
      <c r="BK23" s="243">
        <f>VLOOKUP(ESTADO,'2.IMPOSTOS'!$Z$46:$AD$72,5,FALSE)</f>
        <v>0.18</v>
      </c>
      <c r="BL23" s="92" t="e">
        <f t="shared" si="28"/>
        <v>#VALUE!</v>
      </c>
      <c r="BM23" s="92" t="e">
        <f t="shared" si="29"/>
        <v>#VALUE!</v>
      </c>
      <c r="BN23" s="92" t="e">
        <f t="shared" si="30"/>
        <v>#VALUE!</v>
      </c>
      <c r="BP23" s="246">
        <f t="shared" si="34"/>
        <v>0</v>
      </c>
      <c r="BQ23" s="246" t="e">
        <f t="shared" si="35"/>
        <v>#VALUE!</v>
      </c>
      <c r="BR23" s="246" t="e">
        <f t="shared" si="36"/>
        <v>#VALUE!</v>
      </c>
      <c r="BS23" s="246" t="e">
        <f>ORÇAMENTO!L32</f>
        <v>#VALUE!</v>
      </c>
      <c r="BT23" s="246" t="e">
        <f t="shared" si="37"/>
        <v>#VALUE!</v>
      </c>
      <c r="BU23" s="246">
        <f t="shared" si="38"/>
        <v>0</v>
      </c>
      <c r="BV23" s="246" t="e">
        <f t="shared" si="39"/>
        <v>#VALUE!</v>
      </c>
      <c r="BW23" s="246" t="e">
        <f t="shared" si="40"/>
        <v>#VALUE!</v>
      </c>
      <c r="BX23" s="246" t="e">
        <f t="shared" si="41"/>
        <v>#VALUE!</v>
      </c>
      <c r="BY23" s="246" t="e">
        <f t="shared" si="42"/>
        <v>#VALUE!</v>
      </c>
      <c r="BZ23" s="246">
        <f t="shared" si="43"/>
        <v>0</v>
      </c>
      <c r="CA23" s="246" t="e">
        <f t="shared" si="44"/>
        <v>#VALUE!</v>
      </c>
      <c r="CB23" s="340" t="e">
        <f t="shared" si="45"/>
        <v>#VALUE!</v>
      </c>
    </row>
    <row r="24" spans="2:83" ht="18.95" customHeight="1" x14ac:dyDescent="0.25">
      <c r="B24" s="55"/>
      <c r="C24" s="71" t="str">
        <f>'1. DADOS'!A29</f>
        <v>PRATT DESINFETANTE LAVANDA (caixa 4 x 5L)</v>
      </c>
      <c r="D24" s="216"/>
      <c r="E24" s="242">
        <f t="shared" si="2"/>
        <v>61.76</v>
      </c>
      <c r="F24" s="73" t="str">
        <f t="shared" si="3"/>
        <v/>
      </c>
      <c r="G24" s="345" t="str">
        <f t="shared" si="4"/>
        <v/>
      </c>
      <c r="H24" s="331">
        <f t="shared" si="5"/>
        <v>0</v>
      </c>
      <c r="I24" s="56"/>
      <c r="J24" s="240">
        <f t="shared" si="6"/>
        <v>0</v>
      </c>
      <c r="K24" s="56"/>
      <c r="L24" s="212" t="str">
        <f t="shared" si="7"/>
        <v/>
      </c>
      <c r="M24" s="211" t="str">
        <f>IFERROR(ROUND(L24/(D24*4),2),"")</f>
        <v/>
      </c>
      <c r="N24" s="56"/>
      <c r="O24" s="213">
        <f t="shared" si="31"/>
        <v>61.76</v>
      </c>
      <c r="P24" s="213">
        <f t="shared" si="8"/>
        <v>52.61</v>
      </c>
      <c r="Q24" s="213">
        <f t="shared" si="9"/>
        <v>47.12</v>
      </c>
      <c r="R24" s="213">
        <f t="shared" si="10"/>
        <v>46.67</v>
      </c>
      <c r="S24" s="213">
        <f t="shared" si="11"/>
        <v>45.75</v>
      </c>
      <c r="T24" s="56"/>
      <c r="U24" s="57"/>
      <c r="X24" s="92">
        <f>'1. DADOS'!D29</f>
        <v>20.8</v>
      </c>
      <c r="Y24" s="92">
        <f>'1. DADOS'!C29</f>
        <v>24.945256615858728</v>
      </c>
      <c r="Z24" s="218">
        <f>'1. DADOS'!E29</f>
        <v>0.09</v>
      </c>
      <c r="AA24" s="218">
        <f>'1. DADOS'!F29</f>
        <v>0.05</v>
      </c>
      <c r="AB24" s="218">
        <f t="shared" si="12"/>
        <v>0</v>
      </c>
      <c r="AC24" s="218">
        <f t="shared" si="13"/>
        <v>2.5000000000000001E-2</v>
      </c>
      <c r="AD24" s="218">
        <f t="shared" si="14"/>
        <v>0.05</v>
      </c>
      <c r="AE24" s="218">
        <f>'1. DADOS'!$K$19</f>
        <v>0.12</v>
      </c>
      <c r="AF24" s="218">
        <f t="shared" si="15"/>
        <v>9.2499999999999999E-2</v>
      </c>
      <c r="AG24" s="218">
        <f>'1. DADOS'!O29</f>
        <v>0.05</v>
      </c>
      <c r="AI24" s="92">
        <f>IF($AK$10,ROUND((($Y24*(1+'1. DADOS'!S29))/(1-SUM(PEDIDO!$Z24:$AF24)))*(1+$AG24),2),"")</f>
        <v>61.76</v>
      </c>
      <c r="AJ24" s="92">
        <f>IF($AK$10,ROUND((($Y24*(1+'1. DADOS'!T29))/(1-SUM(PEDIDO!$Z24:$AF24)))*(1+$AG24),2),"")</f>
        <v>52.61</v>
      </c>
      <c r="AK24" s="92">
        <f>IF($AK$10,ROUND((($Y24*(1+'1. DADOS'!U29))/(1-SUM(PEDIDO!$Z24:$AF24)))*(1+$AG24),2),"")</f>
        <v>47.12</v>
      </c>
      <c r="AL24" s="92">
        <f>IF($AK$10,ROUND((($Y24*(1+'1. DADOS'!V29))/(1-SUM(PEDIDO!$Z24:$AF24)))*(1+$AG24),2),"")</f>
        <v>46.67</v>
      </c>
      <c r="AM24" s="92">
        <f>IF($AK$10,ROUND((($Y24*(1+'1. DADOS'!W29))/(1-SUM(PEDIDO!$Z24:$AF24)))*(1+$AG24),2),"")</f>
        <v>45.75</v>
      </c>
      <c r="AO24" s="218" t="e">
        <f>CHOOSE($Y$7,'1. DADOS'!S29,'1. DADOS'!T29,'1. DADOS'!U29,'1. DADOS'!V29,'1. DADOS'!W29)</f>
        <v>#VALUE!</v>
      </c>
      <c r="AQ24" s="237">
        <f t="shared" si="32"/>
        <v>0</v>
      </c>
      <c r="AR24" s="238">
        <f t="shared" si="1"/>
        <v>0</v>
      </c>
      <c r="AS24" s="237">
        <f t="shared" si="16"/>
        <v>0</v>
      </c>
      <c r="AU24" s="92" t="e">
        <f t="shared" si="33"/>
        <v>#VALUE!</v>
      </c>
      <c r="AW24" s="92">
        <f>IFERROR(VLOOKUP('1. DADOS'!M29,CLASS_FISCAL,VLOOKUP(ESTADO,MVA_COLUNA,2,FALSE),FALSE)/100+1,"")</f>
        <v>1</v>
      </c>
      <c r="AX24" s="92" t="e">
        <f t="shared" si="17"/>
        <v>#VALUE!</v>
      </c>
      <c r="AY24" s="92" t="e">
        <f t="shared" si="18"/>
        <v>#VALUE!</v>
      </c>
      <c r="AZ24" s="92" t="e">
        <f t="shared" si="19"/>
        <v>#VALUE!</v>
      </c>
      <c r="BA24" s="243">
        <f t="shared" si="20"/>
        <v>0.18</v>
      </c>
      <c r="BB24" s="92">
        <f t="shared" si="21"/>
        <v>0</v>
      </c>
      <c r="BD24" s="92" t="e">
        <f t="shared" si="22"/>
        <v>#VALUE!</v>
      </c>
      <c r="BE24" s="92" t="e">
        <f t="shared" si="23"/>
        <v>#VALUE!</v>
      </c>
      <c r="BF24" s="92" t="e">
        <f t="shared" si="24"/>
        <v>#VALUE!</v>
      </c>
      <c r="BH24" s="92" t="e">
        <f t="shared" si="25"/>
        <v>#VALUE!</v>
      </c>
      <c r="BI24" s="92" t="e">
        <f t="shared" si="26"/>
        <v>#VALUE!</v>
      </c>
      <c r="BJ24" s="92" t="e">
        <f t="shared" si="27"/>
        <v>#VALUE!</v>
      </c>
      <c r="BK24" s="243">
        <f>VLOOKUP(ESTADO,'2.IMPOSTOS'!$Z$46:$AD$72,5,FALSE)</f>
        <v>0.18</v>
      </c>
      <c r="BL24" s="92" t="e">
        <f t="shared" si="28"/>
        <v>#VALUE!</v>
      </c>
      <c r="BM24" s="92" t="e">
        <f t="shared" si="29"/>
        <v>#VALUE!</v>
      </c>
      <c r="BN24" s="92" t="e">
        <f t="shared" si="30"/>
        <v>#VALUE!</v>
      </c>
      <c r="BP24" s="246">
        <f t="shared" si="34"/>
        <v>0</v>
      </c>
      <c r="BQ24" s="246" t="e">
        <f t="shared" si="35"/>
        <v>#VALUE!</v>
      </c>
      <c r="BR24" s="246" t="e">
        <f t="shared" si="36"/>
        <v>#VALUE!</v>
      </c>
      <c r="BS24" s="246" t="e">
        <f>ORÇAMENTO!L33</f>
        <v>#VALUE!</v>
      </c>
      <c r="BT24" s="246" t="e">
        <f t="shared" si="37"/>
        <v>#VALUE!</v>
      </c>
      <c r="BU24" s="246">
        <f t="shared" si="38"/>
        <v>0</v>
      </c>
      <c r="BV24" s="246" t="e">
        <f t="shared" si="39"/>
        <v>#VALUE!</v>
      </c>
      <c r="BW24" s="246" t="e">
        <f t="shared" si="40"/>
        <v>#VALUE!</v>
      </c>
      <c r="BX24" s="246" t="e">
        <f t="shared" si="41"/>
        <v>#VALUE!</v>
      </c>
      <c r="BY24" s="246" t="e">
        <f t="shared" si="42"/>
        <v>#VALUE!</v>
      </c>
      <c r="BZ24" s="246">
        <f t="shared" si="43"/>
        <v>0</v>
      </c>
      <c r="CA24" s="246" t="e">
        <f t="shared" si="44"/>
        <v>#VALUE!</v>
      </c>
      <c r="CB24" s="340" t="e">
        <f t="shared" si="45"/>
        <v>#VALUE!</v>
      </c>
    </row>
    <row r="25" spans="2:83" ht="18.95" customHeight="1" x14ac:dyDescent="0.25">
      <c r="B25" s="55"/>
      <c r="C25" s="71" t="str">
        <f>'1. DADOS'!A30</f>
        <v>PRATT DESINFETANTE CITRONELA (caixa 4 x 5L)</v>
      </c>
      <c r="D25" s="216"/>
      <c r="E25" s="242">
        <f t="shared" si="2"/>
        <v>58.63</v>
      </c>
      <c r="F25" s="73" t="str">
        <f t="shared" si="3"/>
        <v/>
      </c>
      <c r="G25" s="345" t="str">
        <f t="shared" si="4"/>
        <v/>
      </c>
      <c r="H25" s="331">
        <f t="shared" si="5"/>
        <v>0</v>
      </c>
      <c r="I25" s="56"/>
      <c r="J25" s="240">
        <f t="shared" si="6"/>
        <v>0</v>
      </c>
      <c r="K25" s="56"/>
      <c r="L25" s="212" t="str">
        <f t="shared" si="7"/>
        <v/>
      </c>
      <c r="M25" s="211" t="str">
        <f>IFERROR(ROUND(L25/(D25*4),2),"")</f>
        <v/>
      </c>
      <c r="N25" s="56"/>
      <c r="O25" s="213">
        <f t="shared" si="31"/>
        <v>58.63</v>
      </c>
      <c r="P25" s="213">
        <f t="shared" si="8"/>
        <v>50.52</v>
      </c>
      <c r="Q25" s="213">
        <f t="shared" si="9"/>
        <v>46.46</v>
      </c>
      <c r="R25" s="213">
        <f t="shared" si="10"/>
        <v>46.01</v>
      </c>
      <c r="S25" s="213">
        <f t="shared" si="11"/>
        <v>45.1</v>
      </c>
      <c r="T25" s="56"/>
      <c r="U25" s="57"/>
      <c r="X25" s="92">
        <f>'1. DADOS'!D30</f>
        <v>20.8</v>
      </c>
      <c r="Y25" s="92">
        <f>'1. DADOS'!C30</f>
        <v>24.16274391032783</v>
      </c>
      <c r="Z25" s="218">
        <f>'1. DADOS'!E30</f>
        <v>0.1</v>
      </c>
      <c r="AA25" s="218">
        <f>'1. DADOS'!F30</f>
        <v>0.05</v>
      </c>
      <c r="AB25" s="218">
        <f t="shared" si="12"/>
        <v>0</v>
      </c>
      <c r="AC25" s="218">
        <f t="shared" si="13"/>
        <v>2.5000000000000001E-2</v>
      </c>
      <c r="AD25" s="218">
        <f t="shared" si="14"/>
        <v>0.05</v>
      </c>
      <c r="AE25" s="218">
        <f>'1. DADOS'!$K$19</f>
        <v>0.12</v>
      </c>
      <c r="AF25" s="218">
        <f t="shared" si="15"/>
        <v>9.2499999999999999E-2</v>
      </c>
      <c r="AG25" s="218">
        <f>'1. DADOS'!O30</f>
        <v>0.05</v>
      </c>
      <c r="AI25" s="92">
        <f>IF($AK$10,ROUND((($Y25*(1+'1. DADOS'!S30))/(1-SUM(PEDIDO!$Z25:$AF25)))*(1+$AG25),2),"")</f>
        <v>58.63</v>
      </c>
      <c r="AJ25" s="92">
        <f>IF($AK$10,ROUND((($Y25*(1+'1. DADOS'!T30))/(1-SUM(PEDIDO!$Z25:$AF25)))*(1+$AG25),2),"")</f>
        <v>50.52</v>
      </c>
      <c r="AK25" s="92">
        <f>IF($AK$10,ROUND((($Y25*(1+'1. DADOS'!U30))/(1-SUM(PEDIDO!$Z25:$AF25)))*(1+$AG25),2),"")</f>
        <v>46.46</v>
      </c>
      <c r="AL25" s="92">
        <f>IF($AK$10,ROUND((($Y25*(1+'1. DADOS'!V30))/(1-SUM(PEDIDO!$Z25:$AF25)))*(1+$AG25),2),"")</f>
        <v>46.01</v>
      </c>
      <c r="AM25" s="92">
        <f>IF($AK$10,ROUND((($Y25*(1+'1. DADOS'!W30))/(1-SUM(PEDIDO!$Z25:$AF25)))*(1+$AG25),2),"")</f>
        <v>45.1</v>
      </c>
      <c r="AO25" s="218" t="e">
        <f>CHOOSE($Y$7,'1. DADOS'!S30,'1. DADOS'!T30,'1. DADOS'!U30,'1. DADOS'!V30,'1. DADOS'!W30)</f>
        <v>#VALUE!</v>
      </c>
      <c r="AQ25" s="237">
        <f t="shared" si="32"/>
        <v>0</v>
      </c>
      <c r="AR25" s="238">
        <f t="shared" si="1"/>
        <v>0</v>
      </c>
      <c r="AS25" s="237">
        <f t="shared" si="16"/>
        <v>0</v>
      </c>
      <c r="AU25" s="92" t="e">
        <f t="shared" si="33"/>
        <v>#VALUE!</v>
      </c>
      <c r="AW25" s="92">
        <f>IFERROR(VLOOKUP('1. DADOS'!M30,CLASS_FISCAL,VLOOKUP(ESTADO,MVA_COLUNA,2,FALSE),FALSE)/100+1,"")</f>
        <v>1</v>
      </c>
      <c r="AX25" s="92" t="e">
        <f t="shared" si="17"/>
        <v>#VALUE!</v>
      </c>
      <c r="AY25" s="92" t="e">
        <f t="shared" si="18"/>
        <v>#VALUE!</v>
      </c>
      <c r="AZ25" s="92" t="e">
        <f t="shared" si="19"/>
        <v>#VALUE!</v>
      </c>
      <c r="BA25" s="243">
        <f t="shared" si="20"/>
        <v>0.18</v>
      </c>
      <c r="BB25" s="92">
        <f t="shared" si="21"/>
        <v>0</v>
      </c>
      <c r="BD25" s="92" t="e">
        <f t="shared" si="22"/>
        <v>#VALUE!</v>
      </c>
      <c r="BE25" s="92" t="e">
        <f t="shared" si="23"/>
        <v>#VALUE!</v>
      </c>
      <c r="BF25" s="92" t="e">
        <f t="shared" si="24"/>
        <v>#VALUE!</v>
      </c>
      <c r="BH25" s="92" t="e">
        <f t="shared" si="25"/>
        <v>#VALUE!</v>
      </c>
      <c r="BI25" s="92" t="e">
        <f t="shared" si="26"/>
        <v>#VALUE!</v>
      </c>
      <c r="BJ25" s="92" t="e">
        <f t="shared" si="27"/>
        <v>#VALUE!</v>
      </c>
      <c r="BK25" s="243">
        <f>VLOOKUP(ESTADO,'2.IMPOSTOS'!$Z$46:$AD$72,5,FALSE)</f>
        <v>0.18</v>
      </c>
      <c r="BL25" s="92" t="e">
        <f t="shared" si="28"/>
        <v>#VALUE!</v>
      </c>
      <c r="BM25" s="92" t="e">
        <f t="shared" si="29"/>
        <v>#VALUE!</v>
      </c>
      <c r="BN25" s="92" t="e">
        <f t="shared" si="30"/>
        <v>#VALUE!</v>
      </c>
      <c r="BP25" s="246">
        <f t="shared" si="34"/>
        <v>0</v>
      </c>
      <c r="BQ25" s="246" t="e">
        <f t="shared" si="35"/>
        <v>#VALUE!</v>
      </c>
      <c r="BR25" s="246" t="e">
        <f t="shared" si="36"/>
        <v>#VALUE!</v>
      </c>
      <c r="BS25" s="246" t="e">
        <f>ORÇAMENTO!L34</f>
        <v>#VALUE!</v>
      </c>
      <c r="BT25" s="246" t="e">
        <f t="shared" si="37"/>
        <v>#VALUE!</v>
      </c>
      <c r="BU25" s="246">
        <f t="shared" si="38"/>
        <v>0</v>
      </c>
      <c r="BV25" s="246" t="e">
        <f t="shared" si="39"/>
        <v>#VALUE!</v>
      </c>
      <c r="BW25" s="246" t="e">
        <f t="shared" si="40"/>
        <v>#VALUE!</v>
      </c>
      <c r="BX25" s="246" t="e">
        <f t="shared" si="41"/>
        <v>#VALUE!</v>
      </c>
      <c r="BY25" s="246" t="e">
        <f t="shared" si="42"/>
        <v>#VALUE!</v>
      </c>
      <c r="BZ25" s="246">
        <f t="shared" si="43"/>
        <v>0</v>
      </c>
      <c r="CA25" s="246" t="e">
        <f t="shared" si="44"/>
        <v>#VALUE!</v>
      </c>
      <c r="CB25" s="340" t="e">
        <f t="shared" si="45"/>
        <v>#VALUE!</v>
      </c>
    </row>
    <row r="26" spans="2:83" ht="43.5" customHeight="1" x14ac:dyDescent="0.3">
      <c r="B26" s="55"/>
      <c r="C26" s="70" t="s">
        <v>292</v>
      </c>
      <c r="D26" s="56"/>
      <c r="E26" s="56"/>
      <c r="F26" s="56"/>
      <c r="G26" s="346"/>
      <c r="H26" s="56"/>
      <c r="I26" s="56"/>
      <c r="J26" s="241"/>
      <c r="K26" s="56"/>
      <c r="L26" s="56"/>
      <c r="M26" s="56"/>
      <c r="N26" s="56"/>
      <c r="O26" s="343"/>
      <c r="P26" s="343"/>
      <c r="Q26" s="343"/>
      <c r="R26" s="343"/>
      <c r="S26" s="343"/>
      <c r="T26" s="56"/>
      <c r="U26" s="57"/>
      <c r="X26" s="217"/>
      <c r="Y26" s="217"/>
      <c r="Z26" s="219"/>
      <c r="AA26" s="219"/>
      <c r="AB26" s="219"/>
      <c r="AC26" s="219"/>
      <c r="AD26" s="219"/>
      <c r="AE26" s="219"/>
      <c r="AF26" s="219"/>
      <c r="AG26" s="219"/>
      <c r="AI26" s="217"/>
      <c r="AJ26" s="217"/>
      <c r="AK26" s="217"/>
      <c r="AL26" s="217"/>
      <c r="AM26" s="217"/>
      <c r="AO26" s="219"/>
      <c r="AQ26" s="239"/>
      <c r="AR26" s="239"/>
      <c r="AS26" s="239"/>
      <c r="AU26" s="236"/>
      <c r="AW26" s="217"/>
      <c r="AX26" s="217"/>
      <c r="AY26" s="217"/>
      <c r="AZ26" s="217"/>
      <c r="BA26" s="217"/>
      <c r="BB26" s="217"/>
      <c r="BD26" s="217"/>
      <c r="BE26" s="217"/>
      <c r="BF26" s="217"/>
      <c r="BH26" s="217"/>
      <c r="BI26" s="217"/>
      <c r="BJ26" s="217"/>
      <c r="BK26" s="217"/>
      <c r="BL26" s="217"/>
      <c r="BM26" s="217"/>
      <c r="BN26" s="217"/>
      <c r="BP26" s="245"/>
      <c r="BQ26" s="245"/>
      <c r="BR26" s="245"/>
      <c r="BS26" s="245"/>
      <c r="BT26" s="245"/>
      <c r="BU26" s="245"/>
      <c r="BV26" s="245"/>
      <c r="BW26" s="245"/>
      <c r="BX26" s="245"/>
      <c r="BY26" s="245"/>
      <c r="BZ26" s="245"/>
      <c r="CA26" s="245"/>
      <c r="CB26" s="245"/>
    </row>
    <row r="27" spans="2:83" ht="18.95" customHeight="1" x14ac:dyDescent="0.25">
      <c r="B27" s="55"/>
      <c r="C27" s="71" t="str">
        <f>'1. DADOS'!A32</f>
        <v>LETAHGEL (caixa 6 x 0,8L)</v>
      </c>
      <c r="D27" s="216"/>
      <c r="E27" s="242">
        <f>O27</f>
        <v>48.36</v>
      </c>
      <c r="F27" s="73" t="str">
        <f>IFERROR(IF(D27&lt;&gt;"",1-G27/E27,""),"")</f>
        <v/>
      </c>
      <c r="G27" s="345" t="str">
        <f>IFERROR(CHOOSE($Y$7,O27,P27,Q27,R27,S27),"")</f>
        <v/>
      </c>
      <c r="H27" s="331">
        <f>IF(DESTINO="Revenda",BB27,IF(IE="",0,BN27))</f>
        <v>0</v>
      </c>
      <c r="I27" s="56"/>
      <c r="J27" s="240">
        <f>IFERROR(AS27,"")</f>
        <v>0</v>
      </c>
      <c r="K27" s="56"/>
      <c r="L27" s="212" t="str">
        <f>IFERROR(G27*D27+J27+H27,"")</f>
        <v/>
      </c>
      <c r="M27" s="211" t="str">
        <f>IFERROR(ROUND(L27/(D27*6),2),"")</f>
        <v/>
      </c>
      <c r="N27" s="56"/>
      <c r="O27" s="213">
        <f t="shared" ref="O27:S31" si="46">AI27</f>
        <v>48.36</v>
      </c>
      <c r="P27" s="213">
        <f t="shared" si="46"/>
        <v>44.33</v>
      </c>
      <c r="Q27" s="213">
        <f t="shared" si="46"/>
        <v>41.51</v>
      </c>
      <c r="R27" s="213">
        <f t="shared" si="46"/>
        <v>40.9</v>
      </c>
      <c r="S27" s="213">
        <f t="shared" si="46"/>
        <v>40.299999999999997</v>
      </c>
      <c r="T27" s="56"/>
      <c r="U27" s="57"/>
      <c r="X27" s="92">
        <f>'1. DADOS'!D32</f>
        <v>4.2240000000000002</v>
      </c>
      <c r="Y27" s="92">
        <f>'1. DADOS'!C32</f>
        <v>24.66</v>
      </c>
      <c r="Z27" s="218">
        <f>'1. DADOS'!E32</f>
        <v>7.0000000000000007E-2</v>
      </c>
      <c r="AA27" s="218">
        <f>'1. DADOS'!F32</f>
        <v>0</v>
      </c>
      <c r="AB27" s="218">
        <f>D.FIN</f>
        <v>0</v>
      </c>
      <c r="AC27" s="218">
        <f>D.ADM</f>
        <v>2.5000000000000001E-2</v>
      </c>
      <c r="AD27" s="218">
        <f>D.COM</f>
        <v>0.05</v>
      </c>
      <c r="AE27" s="218">
        <f>'1. DADOS'!$K$19</f>
        <v>0.12</v>
      </c>
      <c r="AF27" s="218">
        <f>PIS</f>
        <v>9.2499999999999999E-2</v>
      </c>
      <c r="AG27" s="218">
        <f>'1. DADOS'!O32</f>
        <v>0.05</v>
      </c>
      <c r="AI27" s="92">
        <f>IF($AK$10,ROUND((($Y27*(1+'1. DADOS'!S32))/(1-SUM(PEDIDO!$Z27:$AF27)))*(1+$AG27),2),"")</f>
        <v>48.36</v>
      </c>
      <c r="AJ27" s="92">
        <f>IF($AK$10,ROUND((($Y27*(1+'1. DADOS'!T32))/(1-SUM(PEDIDO!$Z27:$AF27)))*(1+$AG27),2),"")</f>
        <v>44.33</v>
      </c>
      <c r="AK27" s="92">
        <f>IF($AK$10,ROUND((($Y27*(1+'1. DADOS'!U32))/(1-SUM(PEDIDO!$Z27:$AF27)))*(1+$AG27),2),"")</f>
        <v>41.51</v>
      </c>
      <c r="AL27" s="92">
        <f>IF($AK$10,ROUND((($Y27*(1+'1. DADOS'!V32))/(1-SUM(PEDIDO!$Z27:$AF27)))*(1+$AG27),2),"")</f>
        <v>40.9</v>
      </c>
      <c r="AM27" s="92">
        <f>IF($AK$10,ROUND((($Y27*(1+'1. DADOS'!W32))/(1-SUM(PEDIDO!$Z27:$AF27)))*(1+$AG27),2),"")</f>
        <v>40.299999999999997</v>
      </c>
      <c r="AO27" s="218" t="e">
        <f>CHOOSE($Y$7,'1. DADOS'!S32,'1. DADOS'!T32,'1. DADOS'!U32,'1. DADOS'!V32,'1. DADOS'!W32)</f>
        <v>#VALUE!</v>
      </c>
      <c r="AQ27" s="237">
        <f t="shared" si="32"/>
        <v>0</v>
      </c>
      <c r="AR27" s="238">
        <f t="shared" si="1"/>
        <v>0</v>
      </c>
      <c r="AS27" s="237">
        <f>AQ27</f>
        <v>0</v>
      </c>
      <c r="AU27" s="92" t="e">
        <f>D27*G27</f>
        <v>#VALUE!</v>
      </c>
      <c r="AW27" s="92">
        <f>IFERROR(VLOOKUP('1. DADOS'!M32,CLASS_FISCAL,VLOOKUP(ESTADO,MVA_COLUNA,2,FALSE),FALSE)/100+1,"")</f>
        <v>1</v>
      </c>
      <c r="AX27" s="92" t="e">
        <f>AU27/(1+AG27)</f>
        <v>#VALUE!</v>
      </c>
      <c r="AY27" s="92" t="e">
        <f>AX27*AE27</f>
        <v>#VALUE!</v>
      </c>
      <c r="AZ27" s="92" t="e">
        <f>AX27*AG27</f>
        <v>#VALUE!</v>
      </c>
      <c r="BA27" s="243">
        <f>IFERROR(VLOOKUP(ESTADO,REL_ICMS,5,FALSE),"")</f>
        <v>0.18</v>
      </c>
      <c r="BB27" s="92">
        <f>ROUND(IFERROR(IF(AW27=1,0,AU27*AW27*BA27-AY27),0),2)</f>
        <v>0</v>
      </c>
      <c r="BD27" s="92" t="e">
        <f>AX27</f>
        <v>#VALUE!</v>
      </c>
      <c r="BE27" s="92" t="e">
        <f>BD27*AE27</f>
        <v>#VALUE!</v>
      </c>
      <c r="BF27" s="92" t="e">
        <f>BD27*AG27</f>
        <v>#VALUE!</v>
      </c>
      <c r="BH27" s="92" t="e">
        <f>BN27+AU27</f>
        <v>#VALUE!</v>
      </c>
      <c r="BI27" s="92" t="e">
        <f>BH27*AE27</f>
        <v>#VALUE!</v>
      </c>
      <c r="BJ27" s="92" t="e">
        <f>BH27-BH27/(1+AG27)</f>
        <v>#VALUE!</v>
      </c>
      <c r="BK27" s="243">
        <f>VLOOKUP(ESTADO,'2.IMPOSTOS'!$Z$46:$AD$72,5,FALSE)</f>
        <v>0.18</v>
      </c>
      <c r="BL27" s="92" t="e">
        <f>(AU27/(1+AG27))*(1-AE27)</f>
        <v>#VALUE!</v>
      </c>
      <c r="BM27" s="92" t="e">
        <f>BL27/(1-BK27)</f>
        <v>#VALUE!</v>
      </c>
      <c r="BN27" s="92" t="e">
        <f>BM27*(1+AG27)-AU27</f>
        <v>#VALUE!</v>
      </c>
      <c r="BP27" s="246">
        <f>H27</f>
        <v>0</v>
      </c>
      <c r="BQ27" s="246" t="e">
        <f>AU27-AU27/(1+AG27)</f>
        <v>#VALUE!</v>
      </c>
      <c r="BR27" s="246" t="e">
        <f>(AU27/(1+AG27))*AF27</f>
        <v>#VALUE!</v>
      </c>
      <c r="BS27" s="246" t="e">
        <f>ORÇAMENTO!L36</f>
        <v>#VALUE!</v>
      </c>
      <c r="BT27" s="246" t="e">
        <f>SUM(BP27:BS27)</f>
        <v>#VALUE!</v>
      </c>
      <c r="BU27" s="246">
        <f>AQ27</f>
        <v>0</v>
      </c>
      <c r="BV27" s="246" t="e">
        <f>AD27*(AU27/(1+AG27))</f>
        <v>#VALUE!</v>
      </c>
      <c r="BW27" s="246" t="e">
        <f>AC27*(AU27/(1+AG27))</f>
        <v>#VALUE!</v>
      </c>
      <c r="BX27" s="246" t="e">
        <f>AB27*(AU27/(1+AG27))</f>
        <v>#VALUE!</v>
      </c>
      <c r="BY27" s="246" t="e">
        <f>AA27*(AU27/(1+AG27))</f>
        <v>#VALUE!</v>
      </c>
      <c r="BZ27" s="246">
        <f>Y27*D27</f>
        <v>0</v>
      </c>
      <c r="CA27" s="246" t="e">
        <f>(J27+AU27)-SUM(BT27:BZ27)</f>
        <v>#VALUE!</v>
      </c>
      <c r="CB27" s="340" t="e">
        <f t="shared" ref="CB27:CB36" si="47">SUM(BT27:CA27)</f>
        <v>#VALUE!</v>
      </c>
    </row>
    <row r="28" spans="2:83" ht="18.95" customHeight="1" x14ac:dyDescent="0.25">
      <c r="B28" s="55"/>
      <c r="C28" s="71" t="str">
        <f>'1. DADOS'!A33</f>
        <v>LETAHGEL (caixa 4 x 5L)</v>
      </c>
      <c r="D28" s="216"/>
      <c r="E28" s="242">
        <f>O28</f>
        <v>127.33</v>
      </c>
      <c r="F28" s="73" t="str">
        <f>IFERROR(IF(D28&lt;&gt;"",1-G28/E28,""),"")</f>
        <v/>
      </c>
      <c r="G28" s="345" t="str">
        <f>IFERROR(CHOOSE($Y$7,O28,P28,Q28,R28,S28),"")</f>
        <v/>
      </c>
      <c r="H28" s="331">
        <f>IF(DESTINO="Revenda",BB28,IF(IE="",0,BN28))</f>
        <v>0</v>
      </c>
      <c r="I28" s="56"/>
      <c r="J28" s="240">
        <f>IFERROR(AS28,"")</f>
        <v>0</v>
      </c>
      <c r="K28" s="56"/>
      <c r="L28" s="212" t="str">
        <f>IFERROR(G28*D28+J28+H28,"")</f>
        <v/>
      </c>
      <c r="M28" s="211" t="str">
        <f>IFERROR(ROUND(L28/(D28*4),2),"")</f>
        <v/>
      </c>
      <c r="N28" s="56"/>
      <c r="O28" s="213">
        <f t="shared" si="46"/>
        <v>127.33</v>
      </c>
      <c r="P28" s="213">
        <f t="shared" si="46"/>
        <v>119.23</v>
      </c>
      <c r="Q28" s="213">
        <f t="shared" si="46"/>
        <v>116.91</v>
      </c>
      <c r="R28" s="213">
        <f t="shared" si="46"/>
        <v>116.56</v>
      </c>
      <c r="S28" s="213">
        <f t="shared" si="46"/>
        <v>115.75</v>
      </c>
      <c r="T28" s="56"/>
      <c r="U28" s="57"/>
      <c r="X28" s="92">
        <f>'1. DADOS'!D33</f>
        <v>18.304000000000002</v>
      </c>
      <c r="Y28" s="92">
        <f>'1. DADOS'!C33</f>
        <v>70.83</v>
      </c>
      <c r="Z28" s="218">
        <f>'1. DADOS'!E33</f>
        <v>7.0000000000000007E-2</v>
      </c>
      <c r="AA28" s="218">
        <f>'1. DADOS'!F33</f>
        <v>0</v>
      </c>
      <c r="AB28" s="218">
        <f>D.FIN</f>
        <v>0</v>
      </c>
      <c r="AC28" s="218">
        <f>D.ADM</f>
        <v>2.5000000000000001E-2</v>
      </c>
      <c r="AD28" s="218">
        <f>D.COM</f>
        <v>0.05</v>
      </c>
      <c r="AE28" s="218">
        <f>'1. DADOS'!$K$19</f>
        <v>0.12</v>
      </c>
      <c r="AF28" s="218">
        <f>PIS</f>
        <v>9.2499999999999999E-2</v>
      </c>
      <c r="AG28" s="218">
        <f>'1. DADOS'!O33</f>
        <v>0.05</v>
      </c>
      <c r="AI28" s="92">
        <f>IF($AK$10,ROUND((($Y28*(1+'1. DADOS'!S33))/(1-SUM(PEDIDO!$Z28:$AF28)))*(1+$AG28),2),"")</f>
        <v>127.33</v>
      </c>
      <c r="AJ28" s="92">
        <f>IF($AK$10,ROUND((($Y28*(1+'1. DADOS'!T33))/(1-SUM(PEDIDO!$Z28:$AF28)))*(1+$AG28),2),"")</f>
        <v>119.23</v>
      </c>
      <c r="AK28" s="92">
        <f>IF($AK$10,ROUND((($Y28*(1+'1. DADOS'!U33))/(1-SUM(PEDIDO!$Z28:$AF28)))*(1+$AG28),2),"")</f>
        <v>116.91</v>
      </c>
      <c r="AL28" s="92">
        <f>IF($AK$10,ROUND((($Y28*(1+'1. DADOS'!V33))/(1-SUM(PEDIDO!$Z28:$AF28)))*(1+$AG28),2),"")</f>
        <v>116.56</v>
      </c>
      <c r="AM28" s="92">
        <f>IF($AK$10,ROUND((($Y28*(1+'1. DADOS'!W33))/(1-SUM(PEDIDO!$Z28:$AF28)))*(1+$AG28),2),"")</f>
        <v>115.75</v>
      </c>
      <c r="AO28" s="218" t="e">
        <f>CHOOSE($Y$7,'1. DADOS'!S33,'1. DADOS'!T33,'1. DADOS'!U33,'1. DADOS'!V33,'1. DADOS'!W33)</f>
        <v>#VALUE!</v>
      </c>
      <c r="AQ28" s="237">
        <f t="shared" si="32"/>
        <v>0</v>
      </c>
      <c r="AR28" s="238">
        <f t="shared" si="1"/>
        <v>0</v>
      </c>
      <c r="AS28" s="237">
        <f>AQ28</f>
        <v>0</v>
      </c>
      <c r="AU28" s="92" t="e">
        <f>D28*G28</f>
        <v>#VALUE!</v>
      </c>
      <c r="AW28" s="92">
        <f>IFERROR(VLOOKUP('1. DADOS'!M33,CLASS_FISCAL,VLOOKUP(ESTADO,MVA_COLUNA,2,FALSE),FALSE)/100+1,"")</f>
        <v>1</v>
      </c>
      <c r="AX28" s="92" t="e">
        <f>AU28/(1+AG28)</f>
        <v>#VALUE!</v>
      </c>
      <c r="AY28" s="92" t="e">
        <f>AX28*AE28</f>
        <v>#VALUE!</v>
      </c>
      <c r="AZ28" s="92" t="e">
        <f>AX28*AG28</f>
        <v>#VALUE!</v>
      </c>
      <c r="BA28" s="243">
        <f>IFERROR(VLOOKUP(ESTADO,REL_ICMS,5,FALSE),"")</f>
        <v>0.18</v>
      </c>
      <c r="BB28" s="92">
        <f>ROUND(IFERROR(IF(AW28=1,0,AU28*AW28*BA28-AY28),0),2)</f>
        <v>0</v>
      </c>
      <c r="BD28" s="92" t="e">
        <f>AX28</f>
        <v>#VALUE!</v>
      </c>
      <c r="BE28" s="92" t="e">
        <f>BD28*AE28</f>
        <v>#VALUE!</v>
      </c>
      <c r="BF28" s="92" t="e">
        <f>BD28*AG28</f>
        <v>#VALUE!</v>
      </c>
      <c r="BH28" s="92" t="e">
        <f>BN28+AU28</f>
        <v>#VALUE!</v>
      </c>
      <c r="BI28" s="92" t="e">
        <f>BH28*AE28</f>
        <v>#VALUE!</v>
      </c>
      <c r="BJ28" s="92" t="e">
        <f>BH28-BH28/(1+AG28)</f>
        <v>#VALUE!</v>
      </c>
      <c r="BK28" s="243">
        <f>VLOOKUP(ESTADO,'2.IMPOSTOS'!$Z$46:$AD$72,5,FALSE)</f>
        <v>0.18</v>
      </c>
      <c r="BL28" s="92" t="e">
        <f>(AU28/(1+AG28))*(1-AE28)</f>
        <v>#VALUE!</v>
      </c>
      <c r="BM28" s="92" t="e">
        <f>BL28/(1-BK28)</f>
        <v>#VALUE!</v>
      </c>
      <c r="BN28" s="92" t="e">
        <f>BM28*(1+AG28)-AU28</f>
        <v>#VALUE!</v>
      </c>
      <c r="BP28" s="246">
        <f>H28</f>
        <v>0</v>
      </c>
      <c r="BQ28" s="246" t="e">
        <f>AU28-AU28/(1+AG28)</f>
        <v>#VALUE!</v>
      </c>
      <c r="BR28" s="246" t="e">
        <f>(AU28/(1+AG28))*AF28</f>
        <v>#VALUE!</v>
      </c>
      <c r="BS28" s="246" t="e">
        <f>ORÇAMENTO!L37</f>
        <v>#VALUE!</v>
      </c>
      <c r="BT28" s="246" t="e">
        <f>SUM(BP28:BS28)</f>
        <v>#VALUE!</v>
      </c>
      <c r="BU28" s="246">
        <f>AQ28</f>
        <v>0</v>
      </c>
      <c r="BV28" s="246" t="e">
        <f>AD28*(AU28/(1+AG28))</f>
        <v>#VALUE!</v>
      </c>
      <c r="BW28" s="246" t="e">
        <f>AC28*(AU28/(1+AG28))</f>
        <v>#VALUE!</v>
      </c>
      <c r="BX28" s="246" t="e">
        <f>AB28*(AU28/(1+AG28))</f>
        <v>#VALUE!</v>
      </c>
      <c r="BY28" s="246" t="e">
        <f>AA28*(AU28/(1+AG28))</f>
        <v>#VALUE!</v>
      </c>
      <c r="BZ28" s="246">
        <f>Y28*D28</f>
        <v>0</v>
      </c>
      <c r="CA28" s="246" t="e">
        <f>(J28+AU28)-SUM(BT28:BZ28)</f>
        <v>#VALUE!</v>
      </c>
      <c r="CB28" s="340" t="e">
        <f t="shared" si="47"/>
        <v>#VALUE!</v>
      </c>
    </row>
    <row r="29" spans="2:83" ht="18.95" customHeight="1" x14ac:dyDescent="0.25">
      <c r="B29" s="55"/>
      <c r="C29" s="71" t="str">
        <f>'1. DADOS'!A34</f>
        <v>PRATT SABONETE ERVA DOCE (caixa 4 x 5L)</v>
      </c>
      <c r="D29" s="216"/>
      <c r="E29" s="242">
        <f>O29</f>
        <v>45.61</v>
      </c>
      <c r="F29" s="73" t="str">
        <f>IFERROR(IF(D29&lt;&gt;"",1-G29/E29,""),"")</f>
        <v/>
      </c>
      <c r="G29" s="345" t="str">
        <f>IFERROR(CHOOSE($Y$7,O29,P29,Q29,R29,S29),"")</f>
        <v/>
      </c>
      <c r="H29" s="331">
        <f>IF(DESTINO="Revenda",BB29,IF(IE="",0,BN29))</f>
        <v>0</v>
      </c>
      <c r="I29" s="56"/>
      <c r="J29" s="240">
        <f>IFERROR(AS29,"")</f>
        <v>0</v>
      </c>
      <c r="K29" s="56"/>
      <c r="L29" s="212" t="str">
        <f>IFERROR(G29*D29+J29+H29,"")</f>
        <v/>
      </c>
      <c r="M29" s="211" t="str">
        <f>IFERROR(ROUND(L29/(D29*4),2),"")</f>
        <v/>
      </c>
      <c r="N29" s="56"/>
      <c r="O29" s="213">
        <f t="shared" si="46"/>
        <v>45.61</v>
      </c>
      <c r="P29" s="213">
        <f t="shared" si="46"/>
        <v>43.63</v>
      </c>
      <c r="Q29" s="213">
        <f t="shared" si="46"/>
        <v>41.64</v>
      </c>
      <c r="R29" s="213">
        <f t="shared" si="46"/>
        <v>40.450000000000003</v>
      </c>
      <c r="S29" s="213">
        <f t="shared" si="46"/>
        <v>39.659999999999997</v>
      </c>
      <c r="T29" s="56"/>
      <c r="U29" s="57"/>
      <c r="X29" s="92">
        <f>'1. DADOS'!D34</f>
        <v>20.8</v>
      </c>
      <c r="Y29" s="92">
        <f>'1. DADOS'!C34</f>
        <v>22.38</v>
      </c>
      <c r="Z29" s="218">
        <f>'1. DADOS'!E34</f>
        <v>7.0000000000000007E-2</v>
      </c>
      <c r="AA29" s="218">
        <f>'1. DADOS'!F34</f>
        <v>0.05</v>
      </c>
      <c r="AB29" s="218">
        <f>D.FIN</f>
        <v>0</v>
      </c>
      <c r="AC29" s="218">
        <f>D.ADM</f>
        <v>2.5000000000000001E-2</v>
      </c>
      <c r="AD29" s="218">
        <f>D.COM</f>
        <v>0.05</v>
      </c>
      <c r="AE29" s="218">
        <f>'1. DADOS'!$K$19</f>
        <v>0.12</v>
      </c>
      <c r="AF29" s="218">
        <f>PIS</f>
        <v>9.2499999999999999E-2</v>
      </c>
      <c r="AG29" s="218">
        <f>'1. DADOS'!O34</f>
        <v>0.05</v>
      </c>
      <c r="AI29" s="92">
        <f>IF($AK$10,ROUND((($Y29*(1+'1. DADOS'!S34))/(1-SUM(PEDIDO!$Z29:$AF29)))*(1+$AG29),2),"")</f>
        <v>45.61</v>
      </c>
      <c r="AJ29" s="92">
        <f>IF($AK$10,ROUND((($Y29*(1+'1. DADOS'!T34))/(1-SUM(PEDIDO!$Z29:$AF29)))*(1+$AG29),2),"")</f>
        <v>43.63</v>
      </c>
      <c r="AK29" s="92">
        <f>IF($AK$10,ROUND((($Y29*(1+'1. DADOS'!U34))/(1-SUM(PEDIDO!$Z29:$AF29)))*(1+$AG29),2),"")</f>
        <v>41.64</v>
      </c>
      <c r="AL29" s="92">
        <f>IF($AK$10,ROUND((($Y29*(1+'1. DADOS'!V34))/(1-SUM(PEDIDO!$Z29:$AF29)))*(1+$AG29),2),"")</f>
        <v>40.450000000000003</v>
      </c>
      <c r="AM29" s="92">
        <f>IF($AK$10,ROUND((($Y29*(1+'1. DADOS'!W34))/(1-SUM(PEDIDO!$Z29:$AF29)))*(1+$AG29),2),"")</f>
        <v>39.659999999999997</v>
      </c>
      <c r="AO29" s="218" t="e">
        <f>CHOOSE($Y$7,'1. DADOS'!S34,'1. DADOS'!T34,'1. DADOS'!U34,'1. DADOS'!V34,'1. DADOS'!W34)</f>
        <v>#VALUE!</v>
      </c>
      <c r="AQ29" s="237">
        <f t="shared" si="32"/>
        <v>0</v>
      </c>
      <c r="AR29" s="238">
        <f t="shared" si="1"/>
        <v>0</v>
      </c>
      <c r="AS29" s="237">
        <f>AQ29</f>
        <v>0</v>
      </c>
      <c r="AU29" s="92" t="e">
        <f>D29*G29</f>
        <v>#VALUE!</v>
      </c>
      <c r="AW29" s="92">
        <f>IFERROR(VLOOKUP('1. DADOS'!M34,CLASS_FISCAL,VLOOKUP(ESTADO,MVA_COLUNA,2,FALSE),FALSE)/100+1,"")</f>
        <v>1</v>
      </c>
      <c r="AX29" s="92" t="e">
        <f>AU29/(1+AG29)</f>
        <v>#VALUE!</v>
      </c>
      <c r="AY29" s="92" t="e">
        <f>AX29*AE29</f>
        <v>#VALUE!</v>
      </c>
      <c r="AZ29" s="92" t="e">
        <f>AX29*AG29</f>
        <v>#VALUE!</v>
      </c>
      <c r="BA29" s="243">
        <f>IFERROR(VLOOKUP(ESTADO,REL_ICMS,5,FALSE),"")</f>
        <v>0.18</v>
      </c>
      <c r="BB29" s="92">
        <f>ROUND(IFERROR(IF(AW29=1,0,AU29*AW29*BA29-AY29),0),2)</f>
        <v>0</v>
      </c>
      <c r="BD29" s="92" t="e">
        <f>AX29</f>
        <v>#VALUE!</v>
      </c>
      <c r="BE29" s="92" t="e">
        <f>BD29*AE29</f>
        <v>#VALUE!</v>
      </c>
      <c r="BF29" s="92" t="e">
        <f>BD29*AG29</f>
        <v>#VALUE!</v>
      </c>
      <c r="BH29" s="92" t="e">
        <f>BN29+AU29</f>
        <v>#VALUE!</v>
      </c>
      <c r="BI29" s="92" t="e">
        <f>BH29*AE29</f>
        <v>#VALUE!</v>
      </c>
      <c r="BJ29" s="92" t="e">
        <f>BH29-BH29/(1+AG29)</f>
        <v>#VALUE!</v>
      </c>
      <c r="BK29" s="243">
        <f>VLOOKUP(ESTADO,'2.IMPOSTOS'!$Z$46:$AD$72,5,FALSE)</f>
        <v>0.18</v>
      </c>
      <c r="BL29" s="92" t="e">
        <f>(AU29/(1+AG29))*(1-AE29)</f>
        <v>#VALUE!</v>
      </c>
      <c r="BM29" s="92" t="e">
        <f>BL29/(1-BK29)</f>
        <v>#VALUE!</v>
      </c>
      <c r="BN29" s="92" t="e">
        <f>BM29*(1+AG29)-AU29</f>
        <v>#VALUE!</v>
      </c>
      <c r="BP29" s="246">
        <f>H29</f>
        <v>0</v>
      </c>
      <c r="BQ29" s="246" t="e">
        <f>AU29-AU29/(1+AG29)</f>
        <v>#VALUE!</v>
      </c>
      <c r="BR29" s="246" t="e">
        <f>(AU29/(1+AG29))*AF29</f>
        <v>#VALUE!</v>
      </c>
      <c r="BS29" s="246" t="e">
        <f>ORÇAMENTO!L38</f>
        <v>#VALUE!</v>
      </c>
      <c r="BT29" s="246" t="e">
        <f>SUM(BP29:BS29)</f>
        <v>#VALUE!</v>
      </c>
      <c r="BU29" s="246">
        <f>AQ29</f>
        <v>0</v>
      </c>
      <c r="BV29" s="246" t="e">
        <f>AD29*(AU29/(1+AG29))</f>
        <v>#VALUE!</v>
      </c>
      <c r="BW29" s="246" t="e">
        <f>AC29*(AU29/(1+AG29))</f>
        <v>#VALUE!</v>
      </c>
      <c r="BX29" s="246" t="e">
        <f>AB29*(AU29/(1+AG29))</f>
        <v>#VALUE!</v>
      </c>
      <c r="BY29" s="246" t="e">
        <f>AA29*(AU29/(1+AG29))</f>
        <v>#VALUE!</v>
      </c>
      <c r="BZ29" s="246">
        <f>Y29*D29</f>
        <v>0</v>
      </c>
      <c r="CA29" s="246" t="e">
        <f>(J29+AU29)-SUM(BT29:BZ29)</f>
        <v>#VALUE!</v>
      </c>
      <c r="CB29" s="340" t="e">
        <f t="shared" si="47"/>
        <v>#VALUE!</v>
      </c>
    </row>
    <row r="30" spans="2:83" ht="18.95" hidden="1" customHeight="1" x14ac:dyDescent="0.25">
      <c r="B30" s="55"/>
      <c r="C30" s="71" t="str">
        <f>'1. DADOS'!A35</f>
        <v>PRATT ESPUMA LÍRIO DO CAMPO (caixa 6 x 0,8L)</v>
      </c>
      <c r="D30" s="216"/>
      <c r="E30" s="242">
        <f>O30</f>
        <v>38.15</v>
      </c>
      <c r="F30" s="73" t="str">
        <f>IFERROR(IF(D30&lt;&gt;"",1-G30/E30,""),"")</f>
        <v/>
      </c>
      <c r="G30" s="345" t="str">
        <f>IFERROR(CHOOSE($Y$7,O30,P30,Q30,R30,S30),"")</f>
        <v/>
      </c>
      <c r="H30" s="331">
        <f>IF(DESTINO="Revenda",BB30,IF(IE="",0,BN30))</f>
        <v>0</v>
      </c>
      <c r="I30" s="56"/>
      <c r="J30" s="240" t="str">
        <f>IFERROR(AS30,"")</f>
        <v/>
      </c>
      <c r="K30" s="56"/>
      <c r="L30" s="212" t="str">
        <f>IFERROR(G30*D30+J30+H30,"")</f>
        <v/>
      </c>
      <c r="M30" s="211" t="str">
        <f>IFERROR(ROUND(L30/(D30*4),2),"")</f>
        <v/>
      </c>
      <c r="N30" s="56"/>
      <c r="O30" s="213">
        <f t="shared" si="46"/>
        <v>38.15</v>
      </c>
      <c r="P30" s="213">
        <f t="shared" si="46"/>
        <v>34.07</v>
      </c>
      <c r="Q30" s="213">
        <f t="shared" si="46"/>
        <v>31.34</v>
      </c>
      <c r="R30" s="213">
        <f t="shared" si="46"/>
        <v>29.43</v>
      </c>
      <c r="S30" s="213">
        <f t="shared" si="46"/>
        <v>27.8</v>
      </c>
      <c r="T30" s="56"/>
      <c r="U30" s="57"/>
      <c r="X30" s="92">
        <f>'1. DADOS'!D35</f>
        <v>4.8</v>
      </c>
      <c r="Y30" s="92">
        <f>'1. DADOS'!C35</f>
        <v>14.47</v>
      </c>
      <c r="Z30" s="218">
        <f>'1. DADOS'!E35</f>
        <v>0.105</v>
      </c>
      <c r="AA30" s="218">
        <f>'1. DADOS'!F35</f>
        <v>0.05</v>
      </c>
      <c r="AB30" s="218">
        <f>D.FIN</f>
        <v>0</v>
      </c>
      <c r="AC30" s="218">
        <f>D.ADM</f>
        <v>2.5000000000000001E-2</v>
      </c>
      <c r="AD30" s="218">
        <f>D.COM</f>
        <v>0.05</v>
      </c>
      <c r="AE30" s="218">
        <f>'1. DADOS'!$K$19</f>
        <v>0.12</v>
      </c>
      <c r="AF30" s="218">
        <f>PIS</f>
        <v>9.2499999999999999E-2</v>
      </c>
      <c r="AG30" s="218">
        <f>'1. DADOS'!O35</f>
        <v>0.05</v>
      </c>
      <c r="AI30" s="92">
        <f>IF($AK$10,ROUND((($Y30*(1+'1. DADOS'!S35))/(1-SUM(PEDIDO!$Z30:$AF30)))*(1+$AG30),2),"")</f>
        <v>38.15</v>
      </c>
      <c r="AJ30" s="92">
        <f>IF($AK$10,ROUND((($Y30*(1+'1. DADOS'!T35))/(1-SUM(PEDIDO!$Z30:$AF30)))*(1+$AG30),2),"")</f>
        <v>34.07</v>
      </c>
      <c r="AK30" s="92">
        <f>IF($AK$10,ROUND((($Y30*(1+'1. DADOS'!U35))/(1-SUM(PEDIDO!$Z30:$AF30)))*(1+$AG30),2),"")</f>
        <v>31.34</v>
      </c>
      <c r="AL30" s="92">
        <f>IF($AK$10,ROUND((($Y30*(1+'1. DADOS'!V35))/(1-SUM(PEDIDO!$Z30:$AF30)))*(1+$AG30),2),"")</f>
        <v>29.43</v>
      </c>
      <c r="AM30" s="92">
        <f>IF($AK$10,ROUND((($Y30*(1+'1. DADOS'!W35))/(1-SUM(PEDIDO!$Z30:$AF30)))*(1+$AG30),2),"")</f>
        <v>27.8</v>
      </c>
      <c r="AO30" s="218" t="e">
        <f>CHOOSE($Y$7,'1. DADOS'!S35,'1. DADOS'!T35,'1. DADOS'!U35,'1. DADOS'!V35,'1. DADOS'!W35)</f>
        <v>#VALUE!</v>
      </c>
      <c r="AQ30" s="237">
        <f t="shared" si="32"/>
        <v>0</v>
      </c>
      <c r="AR30" s="238">
        <f t="shared" si="1"/>
        <v>0</v>
      </c>
      <c r="AS30" s="237" t="e">
        <f>($AQ30*(1+$AO30))/(1-SUM($Z30:$AF30))*(1+AG30)</f>
        <v>#VALUE!</v>
      </c>
      <c r="AU30" s="92" t="e">
        <f>D30*G30+J30</f>
        <v>#VALUE!</v>
      </c>
      <c r="AW30" s="92">
        <f>IFERROR(VLOOKUP('1. DADOS'!M35,CLASS_FISCAL,VLOOKUP(ESTADO,MVA_COLUNA,2,FALSE),FALSE)/100+1,"")</f>
        <v>1</v>
      </c>
      <c r="AX30" s="92" t="e">
        <f>AU30/(1+AG30)</f>
        <v>#VALUE!</v>
      </c>
      <c r="AY30" s="92" t="e">
        <f>AX30*AE30</f>
        <v>#VALUE!</v>
      </c>
      <c r="AZ30" s="92" t="e">
        <f>AX30*AG30</f>
        <v>#VALUE!</v>
      </c>
      <c r="BA30" s="243">
        <f>IFERROR(VLOOKUP(ESTADO,REL_ICMS,5,FALSE),"")</f>
        <v>0.18</v>
      </c>
      <c r="BB30" s="92">
        <f>ROUND(IFERROR(IF(AW30=1,0,AU30*AW30*BA30-AY30),0),2)</f>
        <v>0</v>
      </c>
      <c r="BD30" s="92" t="e">
        <f>AX30</f>
        <v>#VALUE!</v>
      </c>
      <c r="BE30" s="92" t="e">
        <f>BD30*AE30</f>
        <v>#VALUE!</v>
      </c>
      <c r="BF30" s="92" t="e">
        <f>BD30*AG30</f>
        <v>#VALUE!</v>
      </c>
      <c r="BH30" s="92" t="e">
        <f>BN30+AU30</f>
        <v>#VALUE!</v>
      </c>
      <c r="BI30" s="92" t="e">
        <f>BH30*AE30</f>
        <v>#VALUE!</v>
      </c>
      <c r="BJ30" s="92" t="e">
        <f>BH30-BH30/(1+AG30)</f>
        <v>#VALUE!</v>
      </c>
      <c r="BK30" s="243">
        <f>VLOOKUP(ESTADO,'2.IMPOSTOS'!$Z$46:$AD$72,5,FALSE)</f>
        <v>0.18</v>
      </c>
      <c r="BL30" s="92" t="e">
        <f>(AU30/(1+AG30))*(1-AE30)</f>
        <v>#VALUE!</v>
      </c>
      <c r="BM30" s="92" t="e">
        <f>BL30/(1-BK30)</f>
        <v>#VALUE!</v>
      </c>
      <c r="BN30" s="92" t="e">
        <f>BM30*(1+AG30)-AU30</f>
        <v>#VALUE!</v>
      </c>
      <c r="BP30" s="246">
        <f>H30</f>
        <v>0</v>
      </c>
      <c r="BQ30" s="246" t="e">
        <f>AU30-AU30/(1+AG30)</f>
        <v>#VALUE!</v>
      </c>
      <c r="BR30" s="246" t="e">
        <f>(AU30/(1+AG30))*AF30</f>
        <v>#VALUE!</v>
      </c>
      <c r="BS30" s="246" t="e">
        <f>ORÇAMENTO!L39</f>
        <v>#VALUE!</v>
      </c>
      <c r="BT30" s="246" t="e">
        <f>SUM(BP30:BS30)</f>
        <v>#VALUE!</v>
      </c>
      <c r="BU30" s="246">
        <f>AQ30</f>
        <v>0</v>
      </c>
      <c r="BV30" s="246" t="e">
        <f>AD30*(AU30/(1+AG30))</f>
        <v>#VALUE!</v>
      </c>
      <c r="BW30" s="246" t="e">
        <f>AC30*(AU30/(1+AG30))</f>
        <v>#VALUE!</v>
      </c>
      <c r="BX30" s="246" t="e">
        <f>AB30*(AU30/(1+AG30))</f>
        <v>#VALUE!</v>
      </c>
      <c r="BY30" s="246" t="e">
        <f>AA30*(AU30/(1+AG30))</f>
        <v>#VALUE!</v>
      </c>
      <c r="BZ30" s="246">
        <f>Y30*D30</f>
        <v>0</v>
      </c>
      <c r="CA30" s="246" t="e">
        <f>AU30-SUM(BT30:BZ30)</f>
        <v>#VALUE!</v>
      </c>
      <c r="CB30" s="340" t="e">
        <f t="shared" si="47"/>
        <v>#VALUE!</v>
      </c>
    </row>
    <row r="31" spans="2:83" ht="18.95" customHeight="1" x14ac:dyDescent="0.25">
      <c r="B31" s="55"/>
      <c r="C31" s="71" t="str">
        <f>'1. DADOS'!A36</f>
        <v>PRATT ESPUMA LÍRIO DO CAMPO (caixa 4 x 5L)</v>
      </c>
      <c r="D31" s="216"/>
      <c r="E31" s="242">
        <f>O31</f>
        <v>56.01</v>
      </c>
      <c r="F31" s="73" t="str">
        <f>IFERROR(IF(D31&lt;&gt;"",1-G31/E31,""),"")</f>
        <v/>
      </c>
      <c r="G31" s="345" t="str">
        <f>IFERROR(CHOOSE($Y$7,O31,P31,Q31,R31,S31),"")</f>
        <v/>
      </c>
      <c r="H31" s="331">
        <f>IF(DESTINO="Revenda",BB31,IF(IE="",0,BN31))</f>
        <v>0</v>
      </c>
      <c r="I31" s="56"/>
      <c r="J31" s="240" t="str">
        <f>IFERROR(AS31,"")</f>
        <v/>
      </c>
      <c r="K31" s="56"/>
      <c r="L31" s="212" t="str">
        <f>IFERROR(G31*D31+J31+H31,"")</f>
        <v/>
      </c>
      <c r="M31" s="211" t="str">
        <f>IFERROR(ROUND(L31/(D31*4),2),"")</f>
        <v/>
      </c>
      <c r="N31" s="56"/>
      <c r="O31" s="353">
        <f t="shared" si="46"/>
        <v>56.01</v>
      </c>
      <c r="P31" s="353">
        <f t="shared" si="46"/>
        <v>56.01</v>
      </c>
      <c r="Q31" s="353">
        <f t="shared" si="46"/>
        <v>56.01</v>
      </c>
      <c r="R31" s="353">
        <f t="shared" si="46"/>
        <v>56.01</v>
      </c>
      <c r="S31" s="353">
        <f t="shared" si="46"/>
        <v>56.01</v>
      </c>
      <c r="T31" s="56"/>
      <c r="U31" s="57"/>
      <c r="X31" s="92">
        <f>'1. DADOS'!D36</f>
        <v>20.8</v>
      </c>
      <c r="Y31" s="92">
        <f>'1. DADOS'!C36</f>
        <v>28.45</v>
      </c>
      <c r="Z31" s="218">
        <f>'1. DADOS'!E36</f>
        <v>0.10249999999999999</v>
      </c>
      <c r="AA31" s="218">
        <f>'1. DADOS'!F36</f>
        <v>0.05</v>
      </c>
      <c r="AB31" s="218">
        <f>D.FIN</f>
        <v>0</v>
      </c>
      <c r="AC31" s="218">
        <f>D.ADM</f>
        <v>2.5000000000000001E-2</v>
      </c>
      <c r="AD31" s="218">
        <f>D.COM</f>
        <v>0.05</v>
      </c>
      <c r="AE31" s="218">
        <f>'1. DADOS'!$K$19</f>
        <v>0.12</v>
      </c>
      <c r="AF31" s="218">
        <f>PIS</f>
        <v>9.2499999999999999E-2</v>
      </c>
      <c r="AG31" s="218">
        <f>'1. DADOS'!O36</f>
        <v>0.05</v>
      </c>
      <c r="AI31" s="92">
        <f>IF($AK$10,ROUND((($Y31*(1+'1. DADOS'!S36))/(1-SUM(PEDIDO!$Z31:$AF31)))*(1+$AG31),2),"")</f>
        <v>56.01</v>
      </c>
      <c r="AJ31" s="92">
        <f>IF($AK$10,ROUND((($Y31*(1+'1. DADOS'!T36))/(1-SUM(PEDIDO!$Z31:$AF31)))*(1+$AG31),2),"")</f>
        <v>56.01</v>
      </c>
      <c r="AK31" s="92">
        <f>IF($AK$10,ROUND((($Y31*(1+'1. DADOS'!U36))/(1-SUM(PEDIDO!$Z31:$AF31)))*(1+$AG31),2),"")</f>
        <v>56.01</v>
      </c>
      <c r="AL31" s="92">
        <f>IF($AK$10,ROUND((($Y31*(1+'1. DADOS'!V36))/(1-SUM(PEDIDO!$Z31:$AF31)))*(1+$AG31),2),"")</f>
        <v>56.01</v>
      </c>
      <c r="AM31" s="92">
        <f>IF($AK$10,ROUND((($Y31*(1+'1. DADOS'!W36))/(1-SUM(PEDIDO!$Z31:$AF31)))*(1+$AG31),2),"")</f>
        <v>56.01</v>
      </c>
      <c r="AO31" s="218" t="e">
        <f>CHOOSE($Y$7,'1. DADOS'!S36,'1. DADOS'!T36,'1. DADOS'!U36,'1. DADOS'!V36,'1. DADOS'!W36)</f>
        <v>#VALUE!</v>
      </c>
      <c r="AQ31" s="237">
        <f t="shared" si="32"/>
        <v>0</v>
      </c>
      <c r="AR31" s="238">
        <f t="shared" si="1"/>
        <v>0</v>
      </c>
      <c r="AS31" s="237" t="e">
        <f>($AQ31*(1+$AO31))/(1-SUM($Z31:$AF31))*(1+AG31)</f>
        <v>#VALUE!</v>
      </c>
      <c r="AU31" s="92" t="e">
        <f>D31*G31+J31</f>
        <v>#VALUE!</v>
      </c>
      <c r="AW31" s="92">
        <f>IFERROR(VLOOKUP('1. DADOS'!M36,CLASS_FISCAL,VLOOKUP(ESTADO,MVA_COLUNA,2,FALSE),FALSE)/100+1,"")</f>
        <v>1</v>
      </c>
      <c r="AX31" s="92" t="e">
        <f>AU31/(1+AG31)</f>
        <v>#VALUE!</v>
      </c>
      <c r="AY31" s="92" t="e">
        <f>AX31*AE31</f>
        <v>#VALUE!</v>
      </c>
      <c r="AZ31" s="92" t="e">
        <f>AX31*AG31</f>
        <v>#VALUE!</v>
      </c>
      <c r="BA31" s="243">
        <f>IFERROR(VLOOKUP(ESTADO,REL_ICMS,5,FALSE),"")</f>
        <v>0.18</v>
      </c>
      <c r="BB31" s="92">
        <f>ROUND(IFERROR(IF(AW31=1,0,AU31*AW31*BA31-AY31),0),2)</f>
        <v>0</v>
      </c>
      <c r="BD31" s="92" t="e">
        <f>AX31</f>
        <v>#VALUE!</v>
      </c>
      <c r="BE31" s="92" t="e">
        <f>BD31*AE31</f>
        <v>#VALUE!</v>
      </c>
      <c r="BF31" s="92" t="e">
        <f>BD31*AG31</f>
        <v>#VALUE!</v>
      </c>
      <c r="BH31" s="92" t="e">
        <f>BN31+AU31</f>
        <v>#VALUE!</v>
      </c>
      <c r="BI31" s="92" t="e">
        <f>BH31*AE31</f>
        <v>#VALUE!</v>
      </c>
      <c r="BJ31" s="92" t="e">
        <f>BH31-BH31/(1+AG31)</f>
        <v>#VALUE!</v>
      </c>
      <c r="BK31" s="243">
        <f>VLOOKUP(ESTADO,'2.IMPOSTOS'!$Z$46:$AD$72,5,FALSE)</f>
        <v>0.18</v>
      </c>
      <c r="BL31" s="92" t="e">
        <f>(AU31/(1+AG31))*(1-AE31)</f>
        <v>#VALUE!</v>
      </c>
      <c r="BM31" s="92" t="e">
        <f>BL31/(1-BK31)</f>
        <v>#VALUE!</v>
      </c>
      <c r="BN31" s="92" t="e">
        <f>BM31*(1+AG31)-AU31</f>
        <v>#VALUE!</v>
      </c>
      <c r="BP31" s="246">
        <f>H31</f>
        <v>0</v>
      </c>
      <c r="BQ31" s="246" t="e">
        <f>AU31-AU31/(1+AG31)</f>
        <v>#VALUE!</v>
      </c>
      <c r="BR31" s="246" t="e">
        <f>(AU31/(1+AG31))*AF31</f>
        <v>#VALUE!</v>
      </c>
      <c r="BS31" s="246" t="e">
        <f>ORÇAMENTO!L40</f>
        <v>#VALUE!</v>
      </c>
      <c r="BT31" s="246" t="e">
        <f>SUM(BP31:BS31)</f>
        <v>#VALUE!</v>
      </c>
      <c r="BU31" s="246">
        <f>AQ31</f>
        <v>0</v>
      </c>
      <c r="BV31" s="246" t="e">
        <f>AD31*(AU31/(1+AG31))</f>
        <v>#VALUE!</v>
      </c>
      <c r="BW31" s="246" t="e">
        <f>AC31*(AU31/(1+AG31))</f>
        <v>#VALUE!</v>
      </c>
      <c r="BX31" s="246" t="e">
        <f>AB31*(AU31/(1+AG31))</f>
        <v>#VALUE!</v>
      </c>
      <c r="BY31" s="246" t="e">
        <f>AA31*(AU31/(1+AG31))</f>
        <v>#VALUE!</v>
      </c>
      <c r="BZ31" s="246">
        <f>Y31*D31</f>
        <v>0</v>
      </c>
      <c r="CA31" s="246" t="e">
        <f>AU31-SUM(BT31:BZ31)</f>
        <v>#VALUE!</v>
      </c>
      <c r="CB31" s="340" t="e">
        <f t="shared" si="47"/>
        <v>#VALUE!</v>
      </c>
    </row>
    <row r="32" spans="2:83" ht="43.5" hidden="1" customHeight="1" x14ac:dyDescent="0.3">
      <c r="B32" s="55"/>
      <c r="C32" s="70" t="s">
        <v>614</v>
      </c>
      <c r="D32" s="56"/>
      <c r="E32" s="56"/>
      <c r="F32" s="56"/>
      <c r="G32" s="346"/>
      <c r="H32" s="56"/>
      <c r="I32" s="56"/>
      <c r="J32" s="76"/>
      <c r="K32" s="56"/>
      <c r="L32" s="56"/>
      <c r="M32" s="56"/>
      <c r="N32" s="56"/>
      <c r="O32" s="56"/>
      <c r="P32" s="56"/>
      <c r="Q32" s="56"/>
      <c r="R32" s="56"/>
      <c r="S32" s="56"/>
      <c r="T32" s="56"/>
      <c r="U32" s="57"/>
      <c r="X32" s="214" t="s">
        <v>413</v>
      </c>
      <c r="Y32" s="214" t="s">
        <v>415</v>
      </c>
      <c r="Z32" s="214" t="s">
        <v>416</v>
      </c>
      <c r="AA32" s="220" t="s">
        <v>417</v>
      </c>
      <c r="AB32" s="220" t="s">
        <v>418</v>
      </c>
      <c r="AC32" s="220" t="s">
        <v>419</v>
      </c>
      <c r="AD32" s="220" t="s">
        <v>420</v>
      </c>
      <c r="AE32" s="220" t="s">
        <v>322</v>
      </c>
      <c r="AF32" s="220" t="s">
        <v>323</v>
      </c>
      <c r="AG32" s="220" t="s">
        <v>38</v>
      </c>
      <c r="AI32" s="221" t="str">
        <f>AI16</f>
        <v>De 10 a 34 caixas</v>
      </c>
      <c r="AJ32" s="222" t="str">
        <f>AJ16</f>
        <v>De 35 a 142 caixas</v>
      </c>
      <c r="AK32" s="223" t="str">
        <f>AK16</f>
        <v>De 143 a 258 caixas</v>
      </c>
      <c r="AL32" s="224" t="str">
        <f>AL16</f>
        <v>De 259 a 435 caixas</v>
      </c>
      <c r="AM32" s="225" t="str">
        <f>AM16</f>
        <v>De 436 a 650 caixas</v>
      </c>
      <c r="CB32" s="340">
        <f t="shared" si="47"/>
        <v>0</v>
      </c>
    </row>
    <row r="33" spans="2:80" ht="18.95" hidden="1" customHeight="1" x14ac:dyDescent="0.25">
      <c r="B33" s="55"/>
      <c r="C33" s="77" t="str">
        <f>IF('1. DADOS'!$A39="","",'1. DADOS'!$A39)</f>
        <v>LAVA ROUPAS PRATT MULTIAÇÃO (20 x 500 g)</v>
      </c>
      <c r="D33" s="216"/>
      <c r="E33" s="242">
        <f>O33</f>
        <v>64.86</v>
      </c>
      <c r="F33" s="73" t="str">
        <f>IFERROR(IF(D33&lt;&gt;"",1-G33/E33,""),"")</f>
        <v/>
      </c>
      <c r="G33" s="345" t="str">
        <f>IFERROR(CHOOSE($Y$7,O33,P33,Q33,R33,S33),"")</f>
        <v/>
      </c>
      <c r="H33" s="331">
        <f ca="1">IF(DESTINO="Revenda",BB33,IF(IE="",0,BN33))</f>
        <v>0</v>
      </c>
      <c r="I33" s="56"/>
      <c r="J33" s="240" t="str">
        <f ca="1">IFERROR(AS33,"")</f>
        <v/>
      </c>
      <c r="K33" s="56"/>
      <c r="L33" s="212" t="str">
        <f ca="1">IFERROR(G33*D33+J33+H33,"")</f>
        <v/>
      </c>
      <c r="M33" s="211" t="str">
        <f ca="1">IFERROR(ROUND(L33/(D33*20),2),"")</f>
        <v/>
      </c>
      <c r="N33" s="56"/>
      <c r="O33" s="213">
        <f t="shared" ref="O33:S36" si="48">AI33</f>
        <v>64.86</v>
      </c>
      <c r="P33" s="213">
        <f t="shared" si="48"/>
        <v>46.55</v>
      </c>
      <c r="Q33" s="213">
        <f t="shared" si="48"/>
        <v>46.55</v>
      </c>
      <c r="R33" s="213">
        <f t="shared" si="48"/>
        <v>46.55</v>
      </c>
      <c r="S33" s="213">
        <f t="shared" si="48"/>
        <v>46.55</v>
      </c>
      <c r="T33" s="56"/>
      <c r="U33" s="57"/>
      <c r="X33" s="92">
        <f>'1. DADOS'!D39</f>
        <v>10.199999999999999</v>
      </c>
      <c r="Y33" s="92">
        <f>'1. DADOS'!C39</f>
        <v>20.239999999999998</v>
      </c>
      <c r="Z33" s="218">
        <f>'1. DADOS'!E39</f>
        <v>0.1</v>
      </c>
      <c r="AA33" s="218">
        <f>'1. DADOS'!F39</f>
        <v>0.1</v>
      </c>
      <c r="AB33" s="218">
        <f>D.FIN</f>
        <v>0</v>
      </c>
      <c r="AC33" s="218">
        <f>D.ADM_AT</f>
        <v>8.0933333333333329E-2</v>
      </c>
      <c r="AD33" s="218">
        <f>D.COM</f>
        <v>0.05</v>
      </c>
      <c r="AE33" s="218">
        <f>'1. DADOS'!$K$19</f>
        <v>0.12</v>
      </c>
      <c r="AF33" s="218">
        <f>PIS</f>
        <v>9.2499999999999999E-2</v>
      </c>
      <c r="AG33" s="218">
        <f>'1. DADOS'!O39</f>
        <v>0.05</v>
      </c>
      <c r="AI33" s="92">
        <f>IF($AK$10,ROUND((($Y33*(1+'1. DADOS'!S39))/(1-SUM(PEDIDO!$Z33:$AF33)))*(1+$AG33),2),"")</f>
        <v>64.86</v>
      </c>
      <c r="AJ33" s="92">
        <f>IF($AK$10,ROUND((($Y33*(1+'1. DADOS'!T39))/(1-SUM(PEDIDO!$Z33:$AF33)))*(1+$AG33),2),"")</f>
        <v>46.55</v>
      </c>
      <c r="AK33" s="92">
        <f>IF($AK$10,ROUND((($Y33*(1+'1. DADOS'!U39))/(1-SUM(PEDIDO!$Z33:$AF33)))*(1+$AG33),2),"")</f>
        <v>46.55</v>
      </c>
      <c r="AL33" s="92">
        <f>IF($AK$10,ROUND((($Y33*(1+'1. DADOS'!V39))/(1-SUM(PEDIDO!$Z33:$AF33)))*(1+$AG33),2),"")</f>
        <v>46.55</v>
      </c>
      <c r="AM33" s="92">
        <f>IF($AK$10,ROUND((($Y33*(1+'1. DADOS'!W39))/(1-SUM(PEDIDO!$Z33:$AF33)))*(1+$AG33),2),"")</f>
        <v>46.55</v>
      </c>
      <c r="AO33" s="218" t="e">
        <f>CHOOSE($Y$7,'1. DADOS'!S39,'1. DADOS'!T39,'1. DADOS'!U39,'1. DADOS'!V39,'1. DADOS'!W39)</f>
        <v>#VALUE!</v>
      </c>
      <c r="AQ33" s="237" t="e">
        <f ca="1">_xlfn.IFS($AB$7=1,0,$AB$7=2,$AF$6,AND($AB$7=3,$Y$7&lt;5),$AF$5,AND($AB$7=3,$Y$7=5),$AF$6)*AR33</f>
        <v>#NAME?</v>
      </c>
      <c r="AR33" s="238">
        <f>X33*D33</f>
        <v>0</v>
      </c>
      <c r="AS33" s="237" t="e">
        <f ca="1">($AQ33*(1+$AO33))/(1-SUM($Z33:$AF33))*(1+AG33)</f>
        <v>#NAME?</v>
      </c>
      <c r="AU33" s="92" t="e">
        <f ca="1">D33*G33+J33</f>
        <v>#VALUE!</v>
      </c>
      <c r="AW33" s="92" t="str">
        <f>IFERROR(VLOOKUP('1. DADOS'!M38,CLASS_FISCAL,VLOOKUP(ESTADO,MVA_COLUNA,2,FALSE),FALSE)/100+1,"")</f>
        <v/>
      </c>
      <c r="AX33" s="92" t="e">
        <f ca="1">AU33/(1+AG33)</f>
        <v>#VALUE!</v>
      </c>
      <c r="AY33" s="92" t="e">
        <f ca="1">AX33*AE33</f>
        <v>#VALUE!</v>
      </c>
      <c r="AZ33" s="92" t="e">
        <f ca="1">AX33*AG33</f>
        <v>#VALUE!</v>
      </c>
      <c r="BA33" s="243">
        <f>IFERROR(VLOOKUP(ESTADO,REL_ICMS,5,FALSE),"")</f>
        <v>0.18</v>
      </c>
      <c r="BB33" s="92">
        <f ca="1">ROUND(IFERROR(IF(AW33=1,0,AU33*AW33*BA33-AY33),0),2)</f>
        <v>0</v>
      </c>
      <c r="BD33" s="92" t="e">
        <f ca="1">AX33</f>
        <v>#VALUE!</v>
      </c>
      <c r="BE33" s="92" t="e">
        <f ca="1">BD33*AE33</f>
        <v>#VALUE!</v>
      </c>
      <c r="BF33" s="92" t="e">
        <f ca="1">BD33*AG33</f>
        <v>#VALUE!</v>
      </c>
      <c r="BH33" s="92" t="e">
        <f ca="1">BN33+AU33</f>
        <v>#VALUE!</v>
      </c>
      <c r="BI33" s="92" t="e">
        <f ca="1">BH33*AE33</f>
        <v>#VALUE!</v>
      </c>
      <c r="BJ33" s="92" t="e">
        <f ca="1">BH33-BH33/(1+AG33)</f>
        <v>#VALUE!</v>
      </c>
      <c r="BK33" s="243">
        <f>VLOOKUP(ESTADO,'2.IMPOSTOS'!$Z$46:$AD$72,5,FALSE)</f>
        <v>0.18</v>
      </c>
      <c r="BL33" s="92" t="e">
        <f ca="1">(AU33/(1+AG33))*(1-AE33)</f>
        <v>#VALUE!</v>
      </c>
      <c r="BM33" s="92" t="e">
        <f ca="1">BL33/(1-BK33)</f>
        <v>#VALUE!</v>
      </c>
      <c r="BN33" s="92" t="e">
        <f ca="1">BM33*(1+AG33)-AU33</f>
        <v>#VALUE!</v>
      </c>
      <c r="BP33" s="246">
        <f ca="1">H33</f>
        <v>0</v>
      </c>
      <c r="BQ33" s="246" t="e">
        <f ca="1">AU33-AU33/(1+AG33)</f>
        <v>#VALUE!</v>
      </c>
      <c r="BR33" s="246" t="e">
        <f ca="1">(AU33/(1+AG33))*AF33</f>
        <v>#VALUE!</v>
      </c>
      <c r="BS33" s="246">
        <f>ORÇAMENTO!L46</f>
        <v>0</v>
      </c>
      <c r="BT33" s="246" t="e">
        <f ca="1">SUM(BP33:BS33)</f>
        <v>#VALUE!</v>
      </c>
      <c r="BU33" s="246" t="e">
        <f ca="1">AQ33</f>
        <v>#NAME?</v>
      </c>
      <c r="BV33" s="246" t="e">
        <f ca="1">AD33*(AU33/(1+AG33))</f>
        <v>#VALUE!</v>
      </c>
      <c r="BW33" s="246" t="e">
        <f ca="1">AC33*(AU33/(1+AG33))</f>
        <v>#VALUE!</v>
      </c>
      <c r="BX33" s="246" t="e">
        <f ca="1">AB33*(AU33/(1+AG33))</f>
        <v>#VALUE!</v>
      </c>
      <c r="BY33" s="246" t="e">
        <f ca="1">AA33*(AU33/(1+AG33))</f>
        <v>#VALUE!</v>
      </c>
      <c r="BZ33" s="246">
        <f>Y33*D33</f>
        <v>0</v>
      </c>
      <c r="CA33" s="246" t="e">
        <f ca="1">AU33-SUM(BT33:BZ33)</f>
        <v>#VALUE!</v>
      </c>
      <c r="CB33" s="340" t="e">
        <f t="shared" ca="1" si="47"/>
        <v>#VALUE!</v>
      </c>
    </row>
    <row r="34" spans="2:80" ht="18.95" hidden="1" customHeight="1" x14ac:dyDescent="0.25">
      <c r="B34" s="55"/>
      <c r="C34" s="77" t="str">
        <f>IF('1. DADOS'!$A40="","",'1. DADOS'!$A40)</f>
        <v>LAVA ROUPAS PRATT MULTIAÇÃO (20 x 1.000 g)</v>
      </c>
      <c r="D34" s="216"/>
      <c r="E34" s="242">
        <f>O34</f>
        <v>108.63</v>
      </c>
      <c r="F34" s="73" t="str">
        <f>IFERROR(IF(D34&lt;&gt;"",1-G34/E34,""),"")</f>
        <v/>
      </c>
      <c r="G34" s="345" t="str">
        <f>IFERROR(CHOOSE($Y$7,O34,P34,Q34,R34,S34),"")</f>
        <v/>
      </c>
      <c r="H34" s="331">
        <f>IF(DESTINO="Revenda",BB34,IF(IE="",0,BN34))</f>
        <v>0</v>
      </c>
      <c r="I34" s="56"/>
      <c r="J34" s="240" t="str">
        <f ca="1">IFERROR(AS34,"")</f>
        <v/>
      </c>
      <c r="K34" s="56"/>
      <c r="L34" s="212" t="str">
        <f ca="1">IFERROR(G34*D34+J34+H34,"")</f>
        <v/>
      </c>
      <c r="M34" s="211" t="str">
        <f ca="1">IFERROR(ROUND(L34/(D34*20),2),"")</f>
        <v/>
      </c>
      <c r="N34" s="56"/>
      <c r="O34" s="213">
        <f t="shared" si="48"/>
        <v>108.63</v>
      </c>
      <c r="P34" s="213">
        <f t="shared" si="48"/>
        <v>77.59</v>
      </c>
      <c r="Q34" s="213">
        <f t="shared" si="48"/>
        <v>77.59</v>
      </c>
      <c r="R34" s="213">
        <f t="shared" si="48"/>
        <v>77.59</v>
      </c>
      <c r="S34" s="213">
        <f t="shared" si="48"/>
        <v>77.59</v>
      </c>
      <c r="T34" s="56"/>
      <c r="U34" s="57"/>
      <c r="X34" s="92">
        <f>'1. DADOS'!D40</f>
        <v>20.2</v>
      </c>
      <c r="Y34" s="92">
        <f>'1. DADOS'!C40</f>
        <v>33.74</v>
      </c>
      <c r="Z34" s="218">
        <f>'1. DADOS'!E40</f>
        <v>0.1</v>
      </c>
      <c r="AA34" s="218">
        <f>'1. DADOS'!F40</f>
        <v>0.1</v>
      </c>
      <c r="AB34" s="218">
        <f>D.FIN</f>
        <v>0</v>
      </c>
      <c r="AC34" s="218">
        <f>D.ADM_AT</f>
        <v>8.0933333333333329E-2</v>
      </c>
      <c r="AD34" s="218">
        <f>D.COM</f>
        <v>0.05</v>
      </c>
      <c r="AE34" s="218">
        <f>'1. DADOS'!$K$19</f>
        <v>0.12</v>
      </c>
      <c r="AF34" s="218">
        <f>PIS</f>
        <v>9.2499999999999999E-2</v>
      </c>
      <c r="AG34" s="218">
        <f>'1. DADOS'!O40</f>
        <v>0.05</v>
      </c>
      <c r="AI34" s="92">
        <f>IF($AK$10,ROUND((($Y34*(1+'1. DADOS'!S40))/(1-SUM(PEDIDO!$Z34:$AF34)))*(1+$AG34),2),"")</f>
        <v>108.63</v>
      </c>
      <c r="AJ34" s="92">
        <f>IF($AK$10,ROUND((($Y34*(1+'1. DADOS'!T40))/(1-SUM(PEDIDO!$Z34:$AF34)))*(1+$AG34),2),"")</f>
        <v>77.59</v>
      </c>
      <c r="AK34" s="92">
        <f>IF($AK$10,ROUND((($Y34*(1+'1. DADOS'!U40))/(1-SUM(PEDIDO!$Z34:$AF34)))*(1+$AG34),2),"")</f>
        <v>77.59</v>
      </c>
      <c r="AL34" s="92">
        <f>IF($AK$10,ROUND((($Y34*(1+'1. DADOS'!V40))/(1-SUM(PEDIDO!$Z34:$AF34)))*(1+$AG34),2),"")</f>
        <v>77.59</v>
      </c>
      <c r="AM34" s="92">
        <f>IF($AK$10,ROUND((($Y34*(1+'1. DADOS'!W40))/(1-SUM(PEDIDO!$Z34:$AF34)))*(1+$AG34),2),"")</f>
        <v>77.59</v>
      </c>
      <c r="AO34" s="218" t="e">
        <f>CHOOSE($Y$7,'1. DADOS'!S40,'1. DADOS'!T40,'1. DADOS'!U40,'1. DADOS'!V40,'1. DADOS'!W40)</f>
        <v>#VALUE!</v>
      </c>
      <c r="AQ34" s="237" t="e">
        <f ca="1">_xlfn.IFS($AB$7=1,0,$AB$7=2,$AF$6,AND($AB$7=3,$Y$7&lt;5),$AF$5,AND($AB$7=3,$Y$7=5),$AF$6)*AR34</f>
        <v>#NAME?</v>
      </c>
      <c r="AR34" s="238">
        <f>X34*D34</f>
        <v>0</v>
      </c>
      <c r="AS34" s="237" t="e">
        <f ca="1">($AQ34*(1+$AO34))/(1-SUM($Z34:$AF34))*(1+AG34)</f>
        <v>#NAME?</v>
      </c>
      <c r="AU34" s="92" t="e">
        <f ca="1">D34*G34+J34</f>
        <v>#VALUE!</v>
      </c>
      <c r="AW34" s="92">
        <f>IFERROR(VLOOKUP('1. DADOS'!M39,CLASS_FISCAL,VLOOKUP(ESTADO,MVA_COLUNA,2,FALSE),FALSE)/100+1,"")</f>
        <v>1</v>
      </c>
      <c r="AX34" s="92" t="e">
        <f ca="1">AU34/(1+AG34)</f>
        <v>#VALUE!</v>
      </c>
      <c r="AY34" s="92" t="e">
        <f ca="1">AX34*AE34</f>
        <v>#VALUE!</v>
      </c>
      <c r="AZ34" s="92" t="e">
        <f ca="1">AX34*AG34</f>
        <v>#VALUE!</v>
      </c>
      <c r="BA34" s="243">
        <f>IFERROR(VLOOKUP(ESTADO,REL_ICMS,5,FALSE),"")</f>
        <v>0.18</v>
      </c>
      <c r="BB34" s="92">
        <f>ROUND(IFERROR(IF(AW34=1,0,AU34*AW34*BA34-AY34),0),2)</f>
        <v>0</v>
      </c>
      <c r="BD34" s="92" t="e">
        <f ca="1">AX34</f>
        <v>#VALUE!</v>
      </c>
      <c r="BE34" s="92" t="e">
        <f ca="1">BD34*AE34</f>
        <v>#VALUE!</v>
      </c>
      <c r="BF34" s="92" t="e">
        <f ca="1">BD34*AG34</f>
        <v>#VALUE!</v>
      </c>
      <c r="BH34" s="92" t="e">
        <f ca="1">BN34+AU34</f>
        <v>#VALUE!</v>
      </c>
      <c r="BI34" s="92" t="e">
        <f ca="1">BH34*AE34</f>
        <v>#VALUE!</v>
      </c>
      <c r="BJ34" s="92" t="e">
        <f ca="1">BH34-BH34/(1+AG34)</f>
        <v>#VALUE!</v>
      </c>
      <c r="BK34" s="243">
        <f>VLOOKUP(ESTADO,'2.IMPOSTOS'!$Z$46:$AD$72,5,FALSE)</f>
        <v>0.18</v>
      </c>
      <c r="BL34" s="92" t="e">
        <f ca="1">(AU34/(1+AG34))*(1-AE34)</f>
        <v>#VALUE!</v>
      </c>
      <c r="BM34" s="92" t="e">
        <f ca="1">BL34/(1-BK34)</f>
        <v>#VALUE!</v>
      </c>
      <c r="BN34" s="92" t="e">
        <f ca="1">BM34*(1+AG34)-AU34</f>
        <v>#VALUE!</v>
      </c>
      <c r="BP34" s="246">
        <f>H34</f>
        <v>0</v>
      </c>
      <c r="BQ34" s="246" t="e">
        <f ca="1">AU34-AU34/(1+AG34)</f>
        <v>#VALUE!</v>
      </c>
      <c r="BR34" s="246" t="e">
        <f ca="1">(AU34/(1+AG34))*AF34</f>
        <v>#VALUE!</v>
      </c>
      <c r="BS34" s="246">
        <f>ORÇAMENTO!L47</f>
        <v>0</v>
      </c>
      <c r="BT34" s="246" t="e">
        <f ca="1">SUM(BP34:BS34)</f>
        <v>#VALUE!</v>
      </c>
      <c r="BU34" s="246" t="e">
        <f ca="1">AQ34</f>
        <v>#NAME?</v>
      </c>
      <c r="BV34" s="246" t="e">
        <f ca="1">AD34*(AU34/(1+AG34))</f>
        <v>#VALUE!</v>
      </c>
      <c r="BW34" s="246" t="e">
        <f ca="1">AC34*(AU34/(1+AG34))</f>
        <v>#VALUE!</v>
      </c>
      <c r="BX34" s="246" t="e">
        <f ca="1">AB34*(AU34/(1+AG34))</f>
        <v>#VALUE!</v>
      </c>
      <c r="BY34" s="246" t="e">
        <f ca="1">AA34*(AU34/(1+AG34))</f>
        <v>#VALUE!</v>
      </c>
      <c r="BZ34" s="246">
        <f>Y34*D34</f>
        <v>0</v>
      </c>
      <c r="CA34" s="246" t="e">
        <f ca="1">AU34-SUM(BT34:BZ34)</f>
        <v>#VALUE!</v>
      </c>
      <c r="CB34" s="340" t="e">
        <f t="shared" ca="1" si="47"/>
        <v>#VALUE!</v>
      </c>
    </row>
    <row r="35" spans="2:80" ht="18.95" hidden="1" customHeight="1" x14ac:dyDescent="0.25">
      <c r="B35" s="55"/>
      <c r="C35" s="77" t="str">
        <f>IF('1. DADOS'!$A41="","",'1. DADOS'!$A41)</f>
        <v/>
      </c>
      <c r="D35" s="78"/>
      <c r="E35" s="71"/>
      <c r="F35" s="72"/>
      <c r="G35" s="71"/>
      <c r="H35" s="71"/>
      <c r="I35" s="56"/>
      <c r="J35" s="74"/>
      <c r="K35" s="56"/>
      <c r="L35" s="71"/>
      <c r="M35" s="71"/>
      <c r="N35" s="56"/>
      <c r="O35" s="213">
        <f t="shared" si="48"/>
        <v>96.78</v>
      </c>
      <c r="P35" s="213">
        <f t="shared" si="48"/>
        <v>69.13</v>
      </c>
      <c r="Q35" s="213">
        <f t="shared" si="48"/>
        <v>69.13</v>
      </c>
      <c r="R35" s="213">
        <f t="shared" si="48"/>
        <v>69.13</v>
      </c>
      <c r="S35" s="213">
        <f t="shared" si="48"/>
        <v>69.13</v>
      </c>
      <c r="T35" s="56"/>
      <c r="U35" s="57"/>
      <c r="X35" s="92">
        <f>'1. DADOS'!D40</f>
        <v>20.2</v>
      </c>
      <c r="Y35" s="92">
        <f>'1. DADOS'!C40</f>
        <v>33.74</v>
      </c>
      <c r="Z35" s="218">
        <f>'1. DADOS'!E40</f>
        <v>0.1</v>
      </c>
      <c r="AA35" s="218">
        <f>'1. DADOS'!F40</f>
        <v>0.1</v>
      </c>
      <c r="AB35" s="218">
        <f>D.FIN</f>
        <v>0</v>
      </c>
      <c r="AC35" s="218">
        <f>D.ADM</f>
        <v>2.5000000000000001E-2</v>
      </c>
      <c r="AD35" s="218">
        <f>D.COM</f>
        <v>0.05</v>
      </c>
      <c r="AE35" s="218">
        <f>'1. DADOS'!$K$19</f>
        <v>0.12</v>
      </c>
      <c r="AF35" s="218">
        <f>PIS</f>
        <v>9.2499999999999999E-2</v>
      </c>
      <c r="AG35" s="218">
        <f>'1. DADOS'!O40</f>
        <v>0.05</v>
      </c>
      <c r="AI35" s="92">
        <f>IF($AK$10,ROUND((($Y35*(1+'1. DADOS'!S40))/(1-SUM(PEDIDO!$Z35:$AF35)))*(1+$AG35),2),"")</f>
        <v>96.78</v>
      </c>
      <c r="AJ35" s="92">
        <f>IF($AK$10,ROUND((($Y35*(1+'1. DADOS'!T40))/(1-SUM(PEDIDO!$Z35:$AF35)))*(1+$AG35),2),"")</f>
        <v>69.13</v>
      </c>
      <c r="AK35" s="92">
        <f>IF($AK$10,ROUND((($Y35*(1+'1. DADOS'!U40))/(1-SUM(PEDIDO!$Z35:$AF35)))*(1+$AG35),2),"")</f>
        <v>69.13</v>
      </c>
      <c r="AL35" s="92">
        <f>IF($AK$10,ROUND((($Y35*(1+'1. DADOS'!V40))/(1-SUM(PEDIDO!$Z35:$AF35)))*(1+$AG35),2),"")</f>
        <v>69.13</v>
      </c>
      <c r="AM35" s="92">
        <f>IF($AK$10,ROUND((($Y35*(1+'1. DADOS'!W40))/(1-SUM(PEDIDO!$Z35:$AF35)))*(1+$AG35),2),"")</f>
        <v>69.13</v>
      </c>
      <c r="AO35" s="218" t="e">
        <f>CHOOSE($Y$7,'1. DADOS'!S40,'1. DADOS'!T40,'1. DADOS'!U40,'1. DADOS'!V40,'1. DADOS'!W40)</f>
        <v>#VALUE!</v>
      </c>
      <c r="AQ35" s="237" t="e">
        <f ca="1">_xlfn.IFS($AB$7=1,0,$AB$7=2,$AF$6,AND($AB$7=3,$Y$7&lt;5),$AF$5,AND($AB$7=3,$Y$7=5),$AF$6)*AR35</f>
        <v>#NAME?</v>
      </c>
      <c r="AR35" s="238">
        <f>X35*D35</f>
        <v>0</v>
      </c>
      <c r="AS35" s="237" t="e">
        <f ca="1">($AQ35*(1+$AO35))/(1-SUM($Z35:$AF35))*(1+AG35)</f>
        <v>#NAME?</v>
      </c>
      <c r="AU35" s="92">
        <f>D35*G35+J35</f>
        <v>0</v>
      </c>
      <c r="AW35" s="92">
        <f>IFERROR(VLOOKUP('1. DADOS'!M40,CLASS_FISCAL,VLOOKUP(ESTADO,MVA_COLUNA,2,FALSE),FALSE)/100+1,"")</f>
        <v>1</v>
      </c>
      <c r="AX35" s="92">
        <f>AU35/(1+AG35)</f>
        <v>0</v>
      </c>
      <c r="AY35" s="92">
        <f>AX35*AE35</f>
        <v>0</v>
      </c>
      <c r="AZ35" s="92">
        <f>AX35*AG35</f>
        <v>0</v>
      </c>
      <c r="BA35" s="243">
        <f>IFERROR(VLOOKUP(ESTADO,REL_ICMS,5,FALSE),"")</f>
        <v>0.18</v>
      </c>
      <c r="BB35" s="92">
        <f>ROUND(IFERROR(IF(AW35=1,0,AU35*AW35*BA35-AY35),0),2)</f>
        <v>0</v>
      </c>
      <c r="BD35" s="92">
        <f>AX35</f>
        <v>0</v>
      </c>
      <c r="BE35" s="92">
        <f>BD35*AE35</f>
        <v>0</v>
      </c>
      <c r="BF35" s="92">
        <f>BD35*AG35</f>
        <v>0</v>
      </c>
      <c r="BH35" s="92">
        <f>BN35+AU35</f>
        <v>0</v>
      </c>
      <c r="BI35" s="92">
        <f>BH35*AE35</f>
        <v>0</v>
      </c>
      <c r="BJ35" s="92">
        <f>BH35-BH35/(1+AG35)</f>
        <v>0</v>
      </c>
      <c r="BK35" s="243">
        <f>VLOOKUP(ESTADO,'2.IMPOSTOS'!$Z$46:$AD$72,5,FALSE)</f>
        <v>0.18</v>
      </c>
      <c r="BL35" s="92">
        <f>(AU35/(1+AG35))*(1-AE35)</f>
        <v>0</v>
      </c>
      <c r="BM35" s="92">
        <f>BL35/(1-BK35)</f>
        <v>0</v>
      </c>
      <c r="BN35" s="92">
        <f>BM35*(1+AG35)-AU35</f>
        <v>0</v>
      </c>
      <c r="BP35" s="246">
        <f>H35</f>
        <v>0</v>
      </c>
      <c r="BQ35" s="246">
        <f>AU35-AU35/(1+AG35)</f>
        <v>0</v>
      </c>
      <c r="BR35" s="246">
        <f>(AU35/(1+AG35))*AF35</f>
        <v>0</v>
      </c>
      <c r="BS35" s="246">
        <f>ORÇAMENTO!L48</f>
        <v>0</v>
      </c>
      <c r="BT35" s="246">
        <f>SUM(BP35:BS35)</f>
        <v>0</v>
      </c>
      <c r="BU35" s="246" t="e">
        <f ca="1">AQ35</f>
        <v>#NAME?</v>
      </c>
      <c r="BV35" s="246">
        <f>AD35*(AU35/(1+AG35))</f>
        <v>0</v>
      </c>
      <c r="BW35" s="246">
        <f>AC35*(AU35/(1+AG35))</f>
        <v>0</v>
      </c>
      <c r="BX35" s="246">
        <f>AB35*(AU35/(1+AG35))</f>
        <v>0</v>
      </c>
      <c r="BY35" s="246">
        <f>AA35*(AU35/(1+AG35))</f>
        <v>0</v>
      </c>
      <c r="BZ35" s="246">
        <f>Y35*D35</f>
        <v>0</v>
      </c>
      <c r="CA35" s="246" t="e">
        <f ca="1">AU35-SUM(BT35:BZ35)</f>
        <v>#NAME?</v>
      </c>
      <c r="CB35" s="340" t="e">
        <f t="shared" ca="1" si="47"/>
        <v>#NAME?</v>
      </c>
    </row>
    <row r="36" spans="2:80" ht="18.95" hidden="1" customHeight="1" x14ac:dyDescent="0.25">
      <c r="B36" s="55"/>
      <c r="C36" s="77" t="str">
        <f>IF('1. DADOS'!$A42="","",'1. DADOS'!$A42)</f>
        <v/>
      </c>
      <c r="D36" s="78"/>
      <c r="E36" s="71"/>
      <c r="F36" s="72"/>
      <c r="G36" s="71"/>
      <c r="H36" s="71"/>
      <c r="I36" s="56"/>
      <c r="J36" s="74"/>
      <c r="K36" s="56"/>
      <c r="L36" s="71"/>
      <c r="M36" s="71"/>
      <c r="N36" s="56"/>
      <c r="O36" s="213" t="e">
        <f t="shared" si="48"/>
        <v>#VALUE!</v>
      </c>
      <c r="P36" s="213" t="e">
        <f t="shared" si="48"/>
        <v>#VALUE!</v>
      </c>
      <c r="Q36" s="213" t="e">
        <f t="shared" si="48"/>
        <v>#VALUE!</v>
      </c>
      <c r="R36" s="213" t="e">
        <f t="shared" si="48"/>
        <v>#VALUE!</v>
      </c>
      <c r="S36" s="213" t="e">
        <f t="shared" si="48"/>
        <v>#VALUE!</v>
      </c>
      <c r="T36" s="56"/>
      <c r="U36" s="57"/>
      <c r="X36" s="92">
        <f>'1. DADOS'!D41</f>
        <v>0</v>
      </c>
      <c r="Y36" s="92">
        <f>'1. DADOS'!C41</f>
        <v>0</v>
      </c>
      <c r="Z36" s="218">
        <f>'1. DADOS'!E41</f>
        <v>0</v>
      </c>
      <c r="AA36" s="218">
        <f>'1. DADOS'!F41</f>
        <v>0</v>
      </c>
      <c r="AB36" s="218">
        <f>D.FIN</f>
        <v>0</v>
      </c>
      <c r="AC36" s="218">
        <f>D.ADM</f>
        <v>2.5000000000000001E-2</v>
      </c>
      <c r="AD36" s="218">
        <f>D.COM</f>
        <v>0.05</v>
      </c>
      <c r="AE36" s="218">
        <f>'1. DADOS'!$K$19</f>
        <v>0.12</v>
      </c>
      <c r="AF36" s="218">
        <f>PIS</f>
        <v>9.2499999999999999E-2</v>
      </c>
      <c r="AG36" s="218" t="str">
        <f>'1. DADOS'!O41</f>
        <v/>
      </c>
      <c r="AI36" s="92" t="e">
        <f>IF($AK$10,ROUND((($Y36*(1+'1. DADOS'!S41))/(1-SUM(PEDIDO!$Z36:$AF36)))*(1+$AG36),2),"")</f>
        <v>#VALUE!</v>
      </c>
      <c r="AJ36" s="92" t="e">
        <f>IF($AK$10,ROUND((($Y36*(1+'1. DADOS'!T41))/(1-SUM(PEDIDO!$Z36:$AF36)))*(1+$AG36),2),"")</f>
        <v>#VALUE!</v>
      </c>
      <c r="AK36" s="92" t="e">
        <f>IF($AK$10,ROUND((($Y36*(1+'1. DADOS'!U41))/(1-SUM(PEDIDO!$Z36:$AF36)))*(1+$AG36),2),"")</f>
        <v>#VALUE!</v>
      </c>
      <c r="AL36" s="92" t="e">
        <f>IF($AK$10,ROUND((($Y36*(1+'1. DADOS'!V41))/(1-SUM(PEDIDO!$Z36:$AF36)))*(1+$AG36),2),"")</f>
        <v>#VALUE!</v>
      </c>
      <c r="AM36" s="92" t="e">
        <f>IF($AK$10,ROUND((($Y36*(1+'1. DADOS'!W41))/(1-SUM(PEDIDO!$Z36:$AF36)))*(1+$AG36),2),"")</f>
        <v>#VALUE!</v>
      </c>
      <c r="AO36" s="218" t="e">
        <f>CHOOSE($Y$7,'1. DADOS'!S41,'1. DADOS'!T41,'1. DADOS'!U41,'1. DADOS'!V41,'1. DADOS'!W41)</f>
        <v>#VALUE!</v>
      </c>
      <c r="AQ36" s="237" t="e">
        <f ca="1">_xlfn.IFS($AB$7=1,0,$AB$7=2,$AF$6,AND($AB$7=3,$Y$7&lt;5),$AF$5,AND($AB$7=3,$Y$7=5),$AF$6)*AR36</f>
        <v>#NAME?</v>
      </c>
      <c r="AR36" s="238">
        <f>X36*D36</f>
        <v>0</v>
      </c>
      <c r="AS36" s="237" t="e">
        <f ca="1">($AQ36*(1+$AO36))/(1-SUM($Z36:$AF36))*(1+AG36)</f>
        <v>#NAME?</v>
      </c>
      <c r="AU36" s="92">
        <f>D36*G36+J36</f>
        <v>0</v>
      </c>
      <c r="AW36" s="92" t="str">
        <f>IFERROR(VLOOKUP('1. DADOS'!M41,CLASS_FISCAL,VLOOKUP(ESTADO,MVA_COLUNA,2,FALSE),FALSE)/100+1,"")</f>
        <v/>
      </c>
      <c r="AX36" s="92" t="e">
        <f>AU36/(1+AG36)</f>
        <v>#VALUE!</v>
      </c>
      <c r="AY36" s="92" t="e">
        <f>AX36*AE36</f>
        <v>#VALUE!</v>
      </c>
      <c r="AZ36" s="92" t="e">
        <f>AX36*AG36</f>
        <v>#VALUE!</v>
      </c>
      <c r="BA36" s="243">
        <f>IFERROR(VLOOKUP(ESTADO,REL_ICMS,5,FALSE),"")</f>
        <v>0.18</v>
      </c>
      <c r="BB36" s="92">
        <f>ROUND(IFERROR(IF(AW36=1,0,AU36*AW36*BA36-AY36),0),2)</f>
        <v>0</v>
      </c>
      <c r="BD36" s="92" t="e">
        <f>AX36</f>
        <v>#VALUE!</v>
      </c>
      <c r="BE36" s="92" t="e">
        <f>BD36*AE36</f>
        <v>#VALUE!</v>
      </c>
      <c r="BF36" s="92" t="e">
        <f>BD36*AG36</f>
        <v>#VALUE!</v>
      </c>
      <c r="BH36" s="92" t="e">
        <f>BN36+AU36</f>
        <v>#VALUE!</v>
      </c>
      <c r="BI36" s="92" t="e">
        <f>BH36*AE36</f>
        <v>#VALUE!</v>
      </c>
      <c r="BJ36" s="92" t="e">
        <f>BH36-BH36/(1+AG36)</f>
        <v>#VALUE!</v>
      </c>
      <c r="BK36" s="243">
        <f>VLOOKUP(ESTADO,'2.IMPOSTOS'!$Z$46:$AD$72,5,FALSE)</f>
        <v>0.18</v>
      </c>
      <c r="BL36" s="92" t="e">
        <f>(AU36/(1+AG36))*(1-AE36)</f>
        <v>#VALUE!</v>
      </c>
      <c r="BM36" s="92" t="e">
        <f>BL36/(1-BK36)</f>
        <v>#VALUE!</v>
      </c>
      <c r="BN36" s="92" t="e">
        <f>BM36*(1+AG36)-AU36</f>
        <v>#VALUE!</v>
      </c>
      <c r="BP36" s="246">
        <f>H36</f>
        <v>0</v>
      </c>
      <c r="BQ36" s="246" t="e">
        <f>AU36-AU36/(1+AG36)</f>
        <v>#VALUE!</v>
      </c>
      <c r="BR36" s="246" t="e">
        <f>(AU36/(1+AG36))*AF36</f>
        <v>#VALUE!</v>
      </c>
      <c r="BS36" s="246">
        <f>ORÇAMENTO!L49</f>
        <v>0</v>
      </c>
      <c r="BT36" s="246" t="e">
        <f>SUM(BP36:BS36)</f>
        <v>#VALUE!</v>
      </c>
      <c r="BU36" s="246" t="e">
        <f ca="1">AQ36</f>
        <v>#NAME?</v>
      </c>
      <c r="BV36" s="246" t="e">
        <f>AD36*(AU36/(1+AG36))</f>
        <v>#VALUE!</v>
      </c>
      <c r="BW36" s="246" t="e">
        <f>AC36*(AU36/(1+AG36))</f>
        <v>#VALUE!</v>
      </c>
      <c r="BX36" s="246" t="e">
        <f>AB36*(AU36/(1+AG36))</f>
        <v>#VALUE!</v>
      </c>
      <c r="BY36" s="246" t="e">
        <f>AA36*(AU36/(1+AG36))</f>
        <v>#VALUE!</v>
      </c>
      <c r="BZ36" s="246">
        <f>Y36*D36</f>
        <v>0</v>
      </c>
      <c r="CA36" s="246" t="e">
        <f>AU36-SUM(BT36:BZ36)</f>
        <v>#VALUE!</v>
      </c>
      <c r="CB36" s="340" t="e">
        <f t="shared" si="47"/>
        <v>#VALUE!</v>
      </c>
    </row>
    <row r="37" spans="2:80" ht="3.75" hidden="1" customHeight="1" x14ac:dyDescent="0.25">
      <c r="B37" s="55"/>
      <c r="C37" s="56"/>
      <c r="D37" s="83"/>
      <c r="E37" s="56"/>
      <c r="F37" s="56"/>
      <c r="G37" s="56"/>
      <c r="H37" s="56"/>
      <c r="I37" s="56"/>
      <c r="J37" s="83"/>
      <c r="K37" s="56"/>
      <c r="L37" s="83"/>
      <c r="M37" s="56"/>
      <c r="N37" s="56"/>
      <c r="O37" s="56"/>
      <c r="P37" s="56"/>
      <c r="Q37" s="56"/>
      <c r="R37" s="56"/>
      <c r="S37" s="56"/>
      <c r="T37" s="56"/>
      <c r="U37" s="57"/>
    </row>
    <row r="38" spans="2:80" ht="18.95" customHeight="1" x14ac:dyDescent="0.25">
      <c r="B38" s="55"/>
      <c r="D38" s="84">
        <f>SUM(D27:D31,D19:D25,D17,D33:D34)</f>
        <v>0</v>
      </c>
      <c r="E38" s="56"/>
      <c r="F38" s="56"/>
      <c r="G38" s="56"/>
      <c r="H38" s="56"/>
      <c r="I38" s="56"/>
      <c r="J38" s="85">
        <f>SUM(J27:J30,J19:J25,J17)</f>
        <v>0</v>
      </c>
      <c r="K38" s="56"/>
      <c r="L38" s="85">
        <f>SUM(L27:L30,L19:L25,L17)</f>
        <v>0</v>
      </c>
      <c r="M38" s="56"/>
      <c r="N38" s="56"/>
      <c r="O38" s="56"/>
      <c r="P38" s="56"/>
      <c r="Q38" s="56"/>
      <c r="R38" s="56"/>
      <c r="S38" s="56"/>
      <c r="T38" s="56"/>
      <c r="U38" s="57"/>
    </row>
    <row r="39" spans="2:80" ht="8.25" customHeight="1" x14ac:dyDescent="0.25">
      <c r="B39" s="55"/>
      <c r="D39" s="56"/>
      <c r="E39" s="56"/>
      <c r="F39" s="56"/>
      <c r="G39" s="56"/>
      <c r="H39" s="56"/>
      <c r="I39" s="56"/>
      <c r="J39" s="56"/>
      <c r="K39" s="56"/>
      <c r="L39" s="56"/>
      <c r="M39" s="56"/>
      <c r="N39" s="56"/>
      <c r="O39" s="56"/>
      <c r="P39" s="56"/>
      <c r="Q39" s="56"/>
      <c r="R39" s="56"/>
      <c r="S39" s="56"/>
      <c r="T39" s="56"/>
      <c r="U39" s="57"/>
    </row>
    <row r="40" spans="2:80" ht="23.25" customHeight="1" x14ac:dyDescent="0.35">
      <c r="B40" s="55"/>
      <c r="C40" s="82" t="s">
        <v>294</v>
      </c>
      <c r="D40" s="82"/>
      <c r="E40" s="82"/>
      <c r="F40" s="86"/>
      <c r="G40" s="82"/>
      <c r="H40" s="87"/>
      <c r="I40" s="82"/>
      <c r="J40" s="82"/>
      <c r="K40" s="82"/>
      <c r="L40" s="358">
        <f>L38</f>
        <v>0</v>
      </c>
      <c r="M40" s="358"/>
      <c r="N40" s="56"/>
      <c r="O40" s="89" t="str">
        <f>IFERROR(J38/L38,"")</f>
        <v/>
      </c>
      <c r="P40" s="91" t="str">
        <f>IF(O40="",""," frete no pedido")</f>
        <v/>
      </c>
      <c r="Q40" s="90"/>
      <c r="R40" s="88"/>
      <c r="S40" s="88"/>
      <c r="T40" s="56"/>
      <c r="U40" s="57"/>
    </row>
    <row r="41" spans="2:80" ht="15.75" thickBot="1" x14ac:dyDescent="0.3">
      <c r="B41" s="60"/>
      <c r="C41" s="61"/>
      <c r="D41" s="61"/>
      <c r="E41" s="61"/>
      <c r="F41" s="61"/>
      <c r="G41" s="61"/>
      <c r="H41" s="61"/>
      <c r="I41" s="61"/>
      <c r="J41" s="61"/>
      <c r="K41" s="61"/>
      <c r="L41" s="61"/>
      <c r="M41" s="61"/>
      <c r="N41" s="61"/>
      <c r="O41" s="61"/>
      <c r="P41" s="61"/>
      <c r="Q41" s="61"/>
      <c r="R41" s="61"/>
      <c r="S41" s="61"/>
      <c r="T41" s="61"/>
      <c r="U41" s="62"/>
    </row>
    <row r="42" spans="2:80" ht="15.75" thickTop="1" x14ac:dyDescent="0.25"/>
    <row r="43" spans="2:80" x14ac:dyDescent="0.25">
      <c r="AC43" s="344"/>
    </row>
    <row r="44" spans="2:80" x14ac:dyDescent="0.25">
      <c r="AC44" s="24"/>
    </row>
    <row r="45" spans="2:80" x14ac:dyDescent="0.25">
      <c r="AC45" s="344"/>
    </row>
  </sheetData>
  <sheetProtection password="D9D0" sheet="1" objects="1" scenarios="1"/>
  <mergeCells count="6">
    <mergeCell ref="L40:M40"/>
    <mergeCell ref="D4:H4"/>
    <mergeCell ref="D9:E10"/>
    <mergeCell ref="O14:S14"/>
    <mergeCell ref="D7:E7"/>
    <mergeCell ref="G7:H7"/>
  </mergeCells>
  <conditionalFormatting sqref="D3">
    <cfRule type="expression" dxfId="90" priority="72">
      <formula>$V$7</formula>
    </cfRule>
  </conditionalFormatting>
  <conditionalFormatting sqref="L3">
    <cfRule type="expression" dxfId="89" priority="71">
      <formula>$V$7</formula>
    </cfRule>
  </conditionalFormatting>
  <conditionalFormatting sqref="M3">
    <cfRule type="expression" dxfId="88" priority="66">
      <formula>$V$7</formula>
    </cfRule>
  </conditionalFormatting>
  <conditionalFormatting sqref="O17">
    <cfRule type="expression" dxfId="87" priority="64">
      <formula>$Y$7=1</formula>
    </cfRule>
  </conditionalFormatting>
  <conditionalFormatting sqref="O16">
    <cfRule type="expression" dxfId="86" priority="61">
      <formula>$Y$7=1</formula>
    </cfRule>
  </conditionalFormatting>
  <conditionalFormatting sqref="P17">
    <cfRule type="expression" dxfId="85" priority="60">
      <formula>$Y$7=2</formula>
    </cfRule>
  </conditionalFormatting>
  <conditionalFormatting sqref="P16">
    <cfRule type="expression" dxfId="84" priority="55">
      <formula>$Y$7=2</formula>
    </cfRule>
  </conditionalFormatting>
  <conditionalFormatting sqref="Q16">
    <cfRule type="expression" dxfId="83" priority="54">
      <formula>$Y$7=3</formula>
    </cfRule>
  </conditionalFormatting>
  <conditionalFormatting sqref="Q17">
    <cfRule type="expression" dxfId="82" priority="51">
      <formula>$Y$7=3</formula>
    </cfRule>
  </conditionalFormatting>
  <conditionalFormatting sqref="R16">
    <cfRule type="expression" dxfId="81" priority="48">
      <formula>$Y$7=4</formula>
    </cfRule>
  </conditionalFormatting>
  <conditionalFormatting sqref="R17">
    <cfRule type="expression" dxfId="80" priority="45">
      <formula>$Y$7=4</formula>
    </cfRule>
  </conditionalFormatting>
  <conditionalFormatting sqref="R18">
    <cfRule type="expression" dxfId="79" priority="42">
      <formula>$Y$7=4</formula>
    </cfRule>
  </conditionalFormatting>
  <conditionalFormatting sqref="R26">
    <cfRule type="expression" dxfId="78" priority="41">
      <formula>$Y$7=4</formula>
    </cfRule>
  </conditionalFormatting>
  <conditionalFormatting sqref="R19:R20 R22:R25">
    <cfRule type="expression" dxfId="77" priority="40">
      <formula>$Y$7=4</formula>
    </cfRule>
  </conditionalFormatting>
  <conditionalFormatting sqref="R27:R30">
    <cfRule type="expression" dxfId="76" priority="39">
      <formula>$Y$7=4</formula>
    </cfRule>
  </conditionalFormatting>
  <conditionalFormatting sqref="Q18">
    <cfRule type="expression" dxfId="75" priority="38">
      <formula>$Y$7=3</formula>
    </cfRule>
  </conditionalFormatting>
  <conditionalFormatting sqref="Q26">
    <cfRule type="expression" dxfId="74" priority="37">
      <formula>$Y$7=3</formula>
    </cfRule>
  </conditionalFormatting>
  <conditionalFormatting sqref="Q19:Q20 Q22:Q25">
    <cfRule type="expression" dxfId="73" priority="35">
      <formula>$Y$7=3</formula>
    </cfRule>
  </conditionalFormatting>
  <conditionalFormatting sqref="Q27:Q30">
    <cfRule type="expression" dxfId="72" priority="34">
      <formula>$Y$7=3</formula>
    </cfRule>
  </conditionalFormatting>
  <conditionalFormatting sqref="P18">
    <cfRule type="expression" dxfId="71" priority="33">
      <formula>$Y$7=2</formula>
    </cfRule>
  </conditionalFormatting>
  <conditionalFormatting sqref="P26">
    <cfRule type="expression" dxfId="70" priority="32">
      <formula>$Y$7=2</formula>
    </cfRule>
  </conditionalFormatting>
  <conditionalFormatting sqref="P19:P20 P22:P25">
    <cfRule type="expression" dxfId="69" priority="31">
      <formula>$Y$7=2</formula>
    </cfRule>
  </conditionalFormatting>
  <conditionalFormatting sqref="P27:P30">
    <cfRule type="expression" dxfId="68" priority="30">
      <formula>$Y$7=2</formula>
    </cfRule>
  </conditionalFormatting>
  <conditionalFormatting sqref="O18">
    <cfRule type="expression" dxfId="67" priority="29">
      <formula>$Y$7=1</formula>
    </cfRule>
  </conditionalFormatting>
  <conditionalFormatting sqref="O26">
    <cfRule type="expression" dxfId="66" priority="28">
      <formula>$Y$7=1</formula>
    </cfRule>
  </conditionalFormatting>
  <conditionalFormatting sqref="O19:O20 O22:O25">
    <cfRule type="expression" dxfId="65" priority="27">
      <formula>$Y$7=1</formula>
    </cfRule>
  </conditionalFormatting>
  <conditionalFormatting sqref="O27:O30">
    <cfRule type="expression" dxfId="64" priority="26">
      <formula>$Y$7=1</formula>
    </cfRule>
  </conditionalFormatting>
  <conditionalFormatting sqref="S16">
    <cfRule type="expression" dxfId="63" priority="25">
      <formula>$Y$7=5</formula>
    </cfRule>
  </conditionalFormatting>
  <conditionalFormatting sqref="S17">
    <cfRule type="expression" dxfId="62" priority="24">
      <formula>$Y$7=5</formula>
    </cfRule>
  </conditionalFormatting>
  <conditionalFormatting sqref="S19:S20 S22:S25">
    <cfRule type="expression" dxfId="61" priority="23">
      <formula>$Y$7=5</formula>
    </cfRule>
  </conditionalFormatting>
  <conditionalFormatting sqref="S27:S30">
    <cfRule type="expression" dxfId="60" priority="22">
      <formula>$Y$7=5</formula>
    </cfRule>
  </conditionalFormatting>
  <conditionalFormatting sqref="S18">
    <cfRule type="expression" dxfId="59" priority="21">
      <formula>$Y$7=5</formula>
    </cfRule>
  </conditionalFormatting>
  <conditionalFormatting sqref="S26">
    <cfRule type="expression" dxfId="58" priority="20">
      <formula>$Y$7=5</formula>
    </cfRule>
  </conditionalFormatting>
  <conditionalFormatting sqref="R31">
    <cfRule type="expression" dxfId="57" priority="19">
      <formula>$Y$7=4</formula>
    </cfRule>
  </conditionalFormatting>
  <conditionalFormatting sqref="Q31">
    <cfRule type="expression" dxfId="56" priority="18">
      <formula>$Y$7=3</formula>
    </cfRule>
  </conditionalFormatting>
  <conditionalFormatting sqref="P31">
    <cfRule type="expression" dxfId="55" priority="17">
      <formula>$Y$7=2</formula>
    </cfRule>
  </conditionalFormatting>
  <conditionalFormatting sqref="O31">
    <cfRule type="expression" dxfId="54" priority="16">
      <formula>$Y$7=1</formula>
    </cfRule>
  </conditionalFormatting>
  <conditionalFormatting sqref="S31">
    <cfRule type="expression" dxfId="53" priority="15">
      <formula>$Y$7=5</formula>
    </cfRule>
  </conditionalFormatting>
  <conditionalFormatting sqref="R33:R36">
    <cfRule type="expression" dxfId="52" priority="14">
      <formula>$Y$7=4</formula>
    </cfRule>
  </conditionalFormatting>
  <conditionalFormatting sqref="Q33:Q36">
    <cfRule type="expression" dxfId="51" priority="13">
      <formula>$Y$7=3</formula>
    </cfRule>
  </conditionalFormatting>
  <conditionalFormatting sqref="P33:P36">
    <cfRule type="expression" dxfId="50" priority="12">
      <formula>$Y$7=2</formula>
    </cfRule>
  </conditionalFormatting>
  <conditionalFormatting sqref="O33:O36">
    <cfRule type="expression" dxfId="49" priority="11">
      <formula>$Y$7=1</formula>
    </cfRule>
  </conditionalFormatting>
  <conditionalFormatting sqref="S33:S36">
    <cfRule type="expression" dxfId="48" priority="10">
      <formula>$Y$7=5</formula>
    </cfRule>
  </conditionalFormatting>
  <conditionalFormatting sqref="R21">
    <cfRule type="expression" dxfId="47" priority="9">
      <formula>$Y$7=4</formula>
    </cfRule>
  </conditionalFormatting>
  <conditionalFormatting sqref="Q21">
    <cfRule type="expression" dxfId="46" priority="8">
      <formula>$Y$7=3</formula>
    </cfRule>
  </conditionalFormatting>
  <conditionalFormatting sqref="P21">
    <cfRule type="expression" dxfId="45" priority="7">
      <formula>$Y$7=2</formula>
    </cfRule>
  </conditionalFormatting>
  <conditionalFormatting sqref="O21">
    <cfRule type="expression" dxfId="44" priority="6">
      <formula>$Y$7=1</formula>
    </cfRule>
  </conditionalFormatting>
  <conditionalFormatting sqref="S21">
    <cfRule type="expression" dxfId="43" priority="5">
      <formula>$Y$7=5</formula>
    </cfRule>
  </conditionalFormatting>
  <conditionalFormatting sqref="D7">
    <cfRule type="expression" dxfId="42" priority="3">
      <formula>$F$51="CPF"</formula>
    </cfRule>
    <cfRule type="expression" dxfId="41" priority="4">
      <formula>$F$51="1.8. CNPJ"</formula>
    </cfRule>
  </conditionalFormatting>
  <conditionalFormatting sqref="G7">
    <cfRule type="expression" dxfId="40" priority="1">
      <formula>$F$51="CPF"</formula>
    </cfRule>
    <cfRule type="expression" dxfId="39" priority="2">
      <formula>$F$51="1.8. CNPJ"</formula>
    </cfRule>
  </conditionalFormatting>
  <dataValidations count="6">
    <dataValidation allowBlank="1" showInputMessage="1" showErrorMessage="1" promptTitle="NOME DO CLIENTE" prompt="Insira o nome que o cliente foi cadastrado no sistema Indeba" sqref="D4"/>
    <dataValidation type="list" allowBlank="1" showInputMessage="1" showErrorMessage="1" sqref="W4">
      <formula1>"Revenda,Cliente Final"</formula1>
    </dataValidation>
    <dataValidation type="list" allowBlank="1" showInputMessage="1" showErrorMessage="1" sqref="S9">
      <formula1>ESTADOS</formula1>
    </dataValidation>
    <dataValidation allowBlank="1" showInputMessage="1" showErrorMessage="1" promptTitle="CÓDIGO DO CLIENTE" prompt="Inserir o código de cadastrao do cliente no Grupo Indeba." sqref="L4:M4"/>
    <dataValidation type="list" allowBlank="1" showInputMessage="1" showErrorMessage="1" sqref="S11">
      <formula1>INDIRECT(ESTADO)</formula1>
    </dataValidation>
    <dataValidation type="list" allowBlank="1" showInputMessage="1" showErrorMessage="1" sqref="C14">
      <formula1>FAIXAS</formula1>
    </dataValidation>
  </dataValidations>
  <pageMargins left="0.23622047244094491" right="0.23622047244094491" top="0.35433070866141736" bottom="0.35433070866141736" header="0.31496062992125984" footer="0.31496062992125984"/>
  <pageSetup paperSize="9" scale="75"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Caixa de grupo 3">
              <controlPr defaultSize="0" autoFill="0" autoPict="0">
                <anchor>
                  <from>
                    <xdr:col>11</xdr:col>
                    <xdr:colOff>47625</xdr:colOff>
                    <xdr:row>5</xdr:row>
                    <xdr:rowOff>104775</xdr:rowOff>
                  </from>
                  <to>
                    <xdr:col>14</xdr:col>
                    <xdr:colOff>381000</xdr:colOff>
                    <xdr:row>10</xdr:row>
                    <xdr:rowOff>28575</xdr:rowOff>
                  </to>
                </anchor>
              </controlPr>
            </control>
          </mc:Choice>
        </mc:AlternateContent>
        <mc:AlternateContent xmlns:mc="http://schemas.openxmlformats.org/markup-compatibility/2006">
          <mc:Choice Requires="x14">
            <control shapeId="1036" r:id="rId5" name="Botão de opção 12">
              <controlPr defaultSize="0" autoFill="0" autoLine="0" autoPict="0">
                <anchor moveWithCells="1">
                  <from>
                    <xdr:col>11</xdr:col>
                    <xdr:colOff>219075</xdr:colOff>
                    <xdr:row>6</xdr:row>
                    <xdr:rowOff>142875</xdr:rowOff>
                  </from>
                  <to>
                    <xdr:col>12</xdr:col>
                    <xdr:colOff>104775</xdr:colOff>
                    <xdr:row>7</xdr:row>
                    <xdr:rowOff>152400</xdr:rowOff>
                  </to>
                </anchor>
              </controlPr>
            </control>
          </mc:Choice>
        </mc:AlternateContent>
        <mc:AlternateContent xmlns:mc="http://schemas.openxmlformats.org/markup-compatibility/2006">
          <mc:Choice Requires="x14">
            <control shapeId="1039" r:id="rId6" name="Botão de opção 15">
              <controlPr defaultSize="0" autoFill="0" autoLine="0" autoPict="0">
                <anchor moveWithCells="1">
                  <from>
                    <xdr:col>11</xdr:col>
                    <xdr:colOff>219075</xdr:colOff>
                    <xdr:row>7</xdr:row>
                    <xdr:rowOff>171450</xdr:rowOff>
                  </from>
                  <to>
                    <xdr:col>12</xdr:col>
                    <xdr:colOff>104775</xdr:colOff>
                    <xdr:row>8</xdr:row>
                    <xdr:rowOff>180975</xdr:rowOff>
                  </to>
                </anchor>
              </controlPr>
            </control>
          </mc:Choice>
        </mc:AlternateContent>
        <mc:AlternateContent xmlns:mc="http://schemas.openxmlformats.org/markup-compatibility/2006">
          <mc:Choice Requires="x14">
            <control shapeId="1040" r:id="rId7" name="Botão de opção 16">
              <controlPr defaultSize="0" autoFill="0" autoLine="0" autoPict="0">
                <anchor moveWithCells="1">
                  <from>
                    <xdr:col>11</xdr:col>
                    <xdr:colOff>219075</xdr:colOff>
                    <xdr:row>9</xdr:row>
                    <xdr:rowOff>19050</xdr:rowOff>
                  </from>
                  <to>
                    <xdr:col>12</xdr:col>
                    <xdr:colOff>104775</xdr:colOff>
                    <xdr:row>9</xdr:row>
                    <xdr:rowOff>219075</xdr:rowOff>
                  </to>
                </anchor>
              </controlPr>
            </control>
          </mc:Choice>
        </mc:AlternateContent>
        <mc:AlternateContent xmlns:mc="http://schemas.openxmlformats.org/markup-compatibility/2006">
          <mc:Choice Requires="x14">
            <control shapeId="1046" r:id="rId8" name="Drop-down 22">
              <controlPr defaultSize="0" autoLine="0" autoPict="0">
                <anchor moveWithCells="1">
                  <from>
                    <xdr:col>6</xdr:col>
                    <xdr:colOff>133350</xdr:colOff>
                    <xdr:row>8</xdr:row>
                    <xdr:rowOff>114300</xdr:rowOff>
                  </from>
                  <to>
                    <xdr:col>9</xdr:col>
                    <xdr:colOff>457200</xdr:colOff>
                    <xdr:row>9</xdr:row>
                    <xdr:rowOff>114300</xdr:rowOff>
                  </to>
                </anchor>
              </controlPr>
            </control>
          </mc:Choice>
        </mc:AlternateContent>
        <mc:AlternateContent xmlns:mc="http://schemas.openxmlformats.org/markup-compatibility/2006">
          <mc:Choice Requires="x14">
            <control shapeId="1049" r:id="rId9" name="Botão de opção 25">
              <controlPr defaultSize="0" autoFill="0" autoLine="0" autoPict="0">
                <anchor moveWithCells="1">
                  <from>
                    <xdr:col>12</xdr:col>
                    <xdr:colOff>314325</xdr:colOff>
                    <xdr:row>6</xdr:row>
                    <xdr:rowOff>161925</xdr:rowOff>
                  </from>
                  <to>
                    <xdr:col>14</xdr:col>
                    <xdr:colOff>142875</xdr:colOff>
                    <xdr:row>7</xdr:row>
                    <xdr:rowOff>171450</xdr:rowOff>
                  </to>
                </anchor>
              </controlPr>
            </control>
          </mc:Choice>
        </mc:AlternateContent>
        <mc:AlternateContent xmlns:mc="http://schemas.openxmlformats.org/markup-compatibility/2006">
          <mc:Choice Requires="x14">
            <control shapeId="1054" r:id="rId10" name="Botão de opção 30">
              <controlPr defaultSize="0" autoFill="0" autoLine="0" autoPict="0">
                <anchor moveWithCells="1">
                  <from>
                    <xdr:col>12</xdr:col>
                    <xdr:colOff>323850</xdr:colOff>
                    <xdr:row>7</xdr:row>
                    <xdr:rowOff>161925</xdr:rowOff>
                  </from>
                  <to>
                    <xdr:col>14</xdr:col>
                    <xdr:colOff>152400</xdr:colOff>
                    <xdr:row>8</xdr:row>
                    <xdr:rowOff>171450</xdr:rowOff>
                  </to>
                </anchor>
              </controlPr>
            </control>
          </mc:Choice>
        </mc:AlternateContent>
        <mc:AlternateContent xmlns:mc="http://schemas.openxmlformats.org/markup-compatibility/2006">
          <mc:Choice Requires="x14">
            <control shapeId="1056" r:id="rId11" name="Option Button 32">
              <controlPr defaultSize="0" autoFill="0" autoLine="0" autoPict="0">
                <anchor moveWithCells="1">
                  <from>
                    <xdr:col>12</xdr:col>
                    <xdr:colOff>323850</xdr:colOff>
                    <xdr:row>9</xdr:row>
                    <xdr:rowOff>0</xdr:rowOff>
                  </from>
                  <to>
                    <xdr:col>14</xdr:col>
                    <xdr:colOff>152400</xdr:colOff>
                    <xdr:row>9</xdr:row>
                    <xdr:rowOff>200025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pageSetUpPr fitToPage="1"/>
  </sheetPr>
  <dimension ref="B1:AU68"/>
  <sheetViews>
    <sheetView showGridLines="0" topLeftCell="A22" zoomScale="140" zoomScaleNormal="140" workbookViewId="0">
      <selection activeCell="AH55" sqref="AH55"/>
    </sheetView>
  </sheetViews>
  <sheetFormatPr defaultRowHeight="15" x14ac:dyDescent="0.25"/>
  <cols>
    <col min="1" max="1" width="1.5703125" style="247" customWidth="1"/>
    <col min="2" max="2" width="1.85546875" style="247" customWidth="1"/>
    <col min="3" max="3" width="38" style="247" customWidth="1"/>
    <col min="4" max="4" width="1.42578125" style="247" customWidth="1"/>
    <col min="5" max="5" width="9.85546875" style="247" customWidth="1"/>
    <col min="6" max="6" width="1.42578125" style="247" customWidth="1"/>
    <col min="7" max="7" width="8.28515625" style="247" customWidth="1"/>
    <col min="8" max="8" width="9.28515625" style="247" customWidth="1"/>
    <col min="9" max="9" width="1" style="247" customWidth="1"/>
    <col min="10" max="10" width="10.85546875" style="247" hidden="1" customWidth="1"/>
    <col min="11" max="12" width="11.140625" style="247" hidden="1" customWidth="1"/>
    <col min="13" max="13" width="11.7109375" style="247" customWidth="1"/>
    <col min="14" max="14" width="10.5703125" style="247" customWidth="1"/>
    <col min="15" max="15" width="1.42578125" style="247" customWidth="1"/>
    <col min="16" max="16" width="10.7109375" style="247" customWidth="1"/>
    <col min="17" max="17" width="1.42578125" style="247" customWidth="1"/>
    <col min="18" max="18" width="14.42578125" style="247" customWidth="1"/>
    <col min="19" max="19" width="2" style="247" customWidth="1"/>
    <col min="20" max="20" width="2.28515625" style="247" customWidth="1"/>
    <col min="21" max="21" width="11.28515625" style="247" hidden="1" customWidth="1"/>
    <col min="22" max="22" width="10.5703125" style="247" bestFit="1" customWidth="1"/>
    <col min="23" max="23" width="12.42578125" style="247" customWidth="1"/>
    <col min="24" max="24" width="10.85546875" style="247" bestFit="1" customWidth="1"/>
    <col min="25" max="25" width="9.140625" style="247"/>
    <col min="26" max="26" width="10.85546875" style="247" customWidth="1"/>
    <col min="27" max="27" width="10.28515625" style="247" customWidth="1"/>
    <col min="28" max="29" width="9.140625" style="247"/>
    <col min="30" max="30" width="6" style="247" bestFit="1" customWidth="1"/>
    <col min="31" max="31" width="9.42578125" style="247" bestFit="1" customWidth="1"/>
    <col min="32" max="32" width="16.5703125" style="247" bestFit="1" customWidth="1"/>
    <col min="33" max="33" width="6" style="247" customWidth="1"/>
    <col min="34" max="34" width="31.42578125" style="247" bestFit="1" customWidth="1"/>
    <col min="35" max="50" width="9.140625" style="247"/>
    <col min="51" max="52" width="9.28515625" style="247" bestFit="1" customWidth="1"/>
    <col min="53" max="53" width="9.5703125" style="247" bestFit="1" customWidth="1"/>
    <col min="54" max="55" width="9.28515625" style="247" bestFit="1" customWidth="1"/>
    <col min="56" max="57" width="9.5703125" style="247" bestFit="1" customWidth="1"/>
    <col min="58" max="60" width="9.28515625" style="247" bestFit="1" customWidth="1"/>
    <col min="61" max="62" width="9.5703125" style="247" bestFit="1" customWidth="1"/>
    <col min="63" max="63" width="9.28515625" style="247" bestFit="1" customWidth="1"/>
    <col min="64" max="64" width="9.5703125" style="247" bestFit="1" customWidth="1"/>
    <col min="65" max="65" width="9.28515625" style="247" bestFit="1" customWidth="1"/>
    <col min="66" max="67" width="9.5703125" style="247" bestFit="1" customWidth="1"/>
    <col min="68" max="69" width="9.28515625" style="247" bestFit="1" customWidth="1"/>
    <col min="70" max="264" width="9.140625" style="247"/>
    <col min="265" max="265" width="1.5703125" style="247" customWidth="1"/>
    <col min="266" max="266" width="1.85546875" style="247" customWidth="1"/>
    <col min="267" max="267" width="32.85546875" style="247" customWidth="1"/>
    <col min="268" max="268" width="1.42578125" style="247" customWidth="1"/>
    <col min="269" max="269" width="8.5703125" style="247" customWidth="1"/>
    <col min="270" max="270" width="1.42578125" style="247" customWidth="1"/>
    <col min="271" max="271" width="18" style="247" customWidth="1"/>
    <col min="272" max="272" width="1.42578125" style="247" customWidth="1"/>
    <col min="273" max="273" width="8.28515625" style="247" customWidth="1"/>
    <col min="274" max="274" width="1.42578125" style="247" customWidth="1"/>
    <col min="275" max="275" width="14.42578125" style="247" customWidth="1"/>
    <col min="276" max="276" width="2" style="247" customWidth="1"/>
    <col min="277" max="277" width="2.28515625" style="247" customWidth="1"/>
    <col min="278" max="278" width="0" style="247" hidden="1" customWidth="1"/>
    <col min="279" max="280" width="9.5703125" style="247" bestFit="1" customWidth="1"/>
    <col min="281" max="520" width="9.140625" style="247"/>
    <col min="521" max="521" width="1.5703125" style="247" customWidth="1"/>
    <col min="522" max="522" width="1.85546875" style="247" customWidth="1"/>
    <col min="523" max="523" width="32.85546875" style="247" customWidth="1"/>
    <col min="524" max="524" width="1.42578125" style="247" customWidth="1"/>
    <col min="525" max="525" width="8.5703125" style="247" customWidth="1"/>
    <col min="526" max="526" width="1.42578125" style="247" customWidth="1"/>
    <col min="527" max="527" width="18" style="247" customWidth="1"/>
    <col min="528" max="528" width="1.42578125" style="247" customWidth="1"/>
    <col min="529" max="529" width="8.28515625" style="247" customWidth="1"/>
    <col min="530" max="530" width="1.42578125" style="247" customWidth="1"/>
    <col min="531" max="531" width="14.42578125" style="247" customWidth="1"/>
    <col min="532" max="532" width="2" style="247" customWidth="1"/>
    <col min="533" max="533" width="2.28515625" style="247" customWidth="1"/>
    <col min="534" max="534" width="0" style="247" hidden="1" customWidth="1"/>
    <col min="535" max="536" width="9.5703125" style="247" bestFit="1" customWidth="1"/>
    <col min="537" max="776" width="9.140625" style="247"/>
    <col min="777" max="777" width="1.5703125" style="247" customWidth="1"/>
    <col min="778" max="778" width="1.85546875" style="247" customWidth="1"/>
    <col min="779" max="779" width="32.85546875" style="247" customWidth="1"/>
    <col min="780" max="780" width="1.42578125" style="247" customWidth="1"/>
    <col min="781" max="781" width="8.5703125" style="247" customWidth="1"/>
    <col min="782" max="782" width="1.42578125" style="247" customWidth="1"/>
    <col min="783" max="783" width="18" style="247" customWidth="1"/>
    <col min="784" max="784" width="1.42578125" style="247" customWidth="1"/>
    <col min="785" max="785" width="8.28515625" style="247" customWidth="1"/>
    <col min="786" max="786" width="1.42578125" style="247" customWidth="1"/>
    <col min="787" max="787" width="14.42578125" style="247" customWidth="1"/>
    <col min="788" max="788" width="2" style="247" customWidth="1"/>
    <col min="789" max="789" width="2.28515625" style="247" customWidth="1"/>
    <col min="790" max="790" width="0" style="247" hidden="1" customWidth="1"/>
    <col min="791" max="792" width="9.5703125" style="247" bestFit="1" customWidth="1"/>
    <col min="793" max="1032" width="9.140625" style="247"/>
    <col min="1033" max="1033" width="1.5703125" style="247" customWidth="1"/>
    <col min="1034" max="1034" width="1.85546875" style="247" customWidth="1"/>
    <col min="1035" max="1035" width="32.85546875" style="247" customWidth="1"/>
    <col min="1036" max="1036" width="1.42578125" style="247" customWidth="1"/>
    <col min="1037" max="1037" width="8.5703125" style="247" customWidth="1"/>
    <col min="1038" max="1038" width="1.42578125" style="247" customWidth="1"/>
    <col min="1039" max="1039" width="18" style="247" customWidth="1"/>
    <col min="1040" max="1040" width="1.42578125" style="247" customWidth="1"/>
    <col min="1041" max="1041" width="8.28515625" style="247" customWidth="1"/>
    <col min="1042" max="1042" width="1.42578125" style="247" customWidth="1"/>
    <col min="1043" max="1043" width="14.42578125" style="247" customWidth="1"/>
    <col min="1044" max="1044" width="2" style="247" customWidth="1"/>
    <col min="1045" max="1045" width="2.28515625" style="247" customWidth="1"/>
    <col min="1046" max="1046" width="0" style="247" hidden="1" customWidth="1"/>
    <col min="1047" max="1048" width="9.5703125" style="247" bestFit="1" customWidth="1"/>
    <col min="1049" max="1288" width="9.140625" style="247"/>
    <col min="1289" max="1289" width="1.5703125" style="247" customWidth="1"/>
    <col min="1290" max="1290" width="1.85546875" style="247" customWidth="1"/>
    <col min="1291" max="1291" width="32.85546875" style="247" customWidth="1"/>
    <col min="1292" max="1292" width="1.42578125" style="247" customWidth="1"/>
    <col min="1293" max="1293" width="8.5703125" style="247" customWidth="1"/>
    <col min="1294" max="1294" width="1.42578125" style="247" customWidth="1"/>
    <col min="1295" max="1295" width="18" style="247" customWidth="1"/>
    <col min="1296" max="1296" width="1.42578125" style="247" customWidth="1"/>
    <col min="1297" max="1297" width="8.28515625" style="247" customWidth="1"/>
    <col min="1298" max="1298" width="1.42578125" style="247" customWidth="1"/>
    <col min="1299" max="1299" width="14.42578125" style="247" customWidth="1"/>
    <col min="1300" max="1300" width="2" style="247" customWidth="1"/>
    <col min="1301" max="1301" width="2.28515625" style="247" customWidth="1"/>
    <col min="1302" max="1302" width="0" style="247" hidden="1" customWidth="1"/>
    <col min="1303" max="1304" width="9.5703125" style="247" bestFit="1" customWidth="1"/>
    <col min="1305" max="1544" width="9.140625" style="247"/>
    <col min="1545" max="1545" width="1.5703125" style="247" customWidth="1"/>
    <col min="1546" max="1546" width="1.85546875" style="247" customWidth="1"/>
    <col min="1547" max="1547" width="32.85546875" style="247" customWidth="1"/>
    <col min="1548" max="1548" width="1.42578125" style="247" customWidth="1"/>
    <col min="1549" max="1549" width="8.5703125" style="247" customWidth="1"/>
    <col min="1550" max="1550" width="1.42578125" style="247" customWidth="1"/>
    <col min="1551" max="1551" width="18" style="247" customWidth="1"/>
    <col min="1552" max="1552" width="1.42578125" style="247" customWidth="1"/>
    <col min="1553" max="1553" width="8.28515625" style="247" customWidth="1"/>
    <col min="1554" max="1554" width="1.42578125" style="247" customWidth="1"/>
    <col min="1555" max="1555" width="14.42578125" style="247" customWidth="1"/>
    <col min="1556" max="1556" width="2" style="247" customWidth="1"/>
    <col min="1557" max="1557" width="2.28515625" style="247" customWidth="1"/>
    <col min="1558" max="1558" width="0" style="247" hidden="1" customWidth="1"/>
    <col min="1559" max="1560" width="9.5703125" style="247" bestFit="1" customWidth="1"/>
    <col min="1561" max="1800" width="9.140625" style="247"/>
    <col min="1801" max="1801" width="1.5703125" style="247" customWidth="1"/>
    <col min="1802" max="1802" width="1.85546875" style="247" customWidth="1"/>
    <col min="1803" max="1803" width="32.85546875" style="247" customWidth="1"/>
    <col min="1804" max="1804" width="1.42578125" style="247" customWidth="1"/>
    <col min="1805" max="1805" width="8.5703125" style="247" customWidth="1"/>
    <col min="1806" max="1806" width="1.42578125" style="247" customWidth="1"/>
    <col min="1807" max="1807" width="18" style="247" customWidth="1"/>
    <col min="1808" max="1808" width="1.42578125" style="247" customWidth="1"/>
    <col min="1809" max="1809" width="8.28515625" style="247" customWidth="1"/>
    <col min="1810" max="1810" width="1.42578125" style="247" customWidth="1"/>
    <col min="1811" max="1811" width="14.42578125" style="247" customWidth="1"/>
    <col min="1812" max="1812" width="2" style="247" customWidth="1"/>
    <col min="1813" max="1813" width="2.28515625" style="247" customWidth="1"/>
    <col min="1814" max="1814" width="0" style="247" hidden="1" customWidth="1"/>
    <col min="1815" max="1816" width="9.5703125" style="247" bestFit="1" customWidth="1"/>
    <col min="1817" max="2056" width="9.140625" style="247"/>
    <col min="2057" max="2057" width="1.5703125" style="247" customWidth="1"/>
    <col min="2058" max="2058" width="1.85546875" style="247" customWidth="1"/>
    <col min="2059" max="2059" width="32.85546875" style="247" customWidth="1"/>
    <col min="2060" max="2060" width="1.42578125" style="247" customWidth="1"/>
    <col min="2061" max="2061" width="8.5703125" style="247" customWidth="1"/>
    <col min="2062" max="2062" width="1.42578125" style="247" customWidth="1"/>
    <col min="2063" max="2063" width="18" style="247" customWidth="1"/>
    <col min="2064" max="2064" width="1.42578125" style="247" customWidth="1"/>
    <col min="2065" max="2065" width="8.28515625" style="247" customWidth="1"/>
    <col min="2066" max="2066" width="1.42578125" style="247" customWidth="1"/>
    <col min="2067" max="2067" width="14.42578125" style="247" customWidth="1"/>
    <col min="2068" max="2068" width="2" style="247" customWidth="1"/>
    <col min="2069" max="2069" width="2.28515625" style="247" customWidth="1"/>
    <col min="2070" max="2070" width="0" style="247" hidden="1" customWidth="1"/>
    <col min="2071" max="2072" width="9.5703125" style="247" bestFit="1" customWidth="1"/>
    <col min="2073" max="2312" width="9.140625" style="247"/>
    <col min="2313" max="2313" width="1.5703125" style="247" customWidth="1"/>
    <col min="2314" max="2314" width="1.85546875" style="247" customWidth="1"/>
    <col min="2315" max="2315" width="32.85546875" style="247" customWidth="1"/>
    <col min="2316" max="2316" width="1.42578125" style="247" customWidth="1"/>
    <col min="2317" max="2317" width="8.5703125" style="247" customWidth="1"/>
    <col min="2318" max="2318" width="1.42578125" style="247" customWidth="1"/>
    <col min="2319" max="2319" width="18" style="247" customWidth="1"/>
    <col min="2320" max="2320" width="1.42578125" style="247" customWidth="1"/>
    <col min="2321" max="2321" width="8.28515625" style="247" customWidth="1"/>
    <col min="2322" max="2322" width="1.42578125" style="247" customWidth="1"/>
    <col min="2323" max="2323" width="14.42578125" style="247" customWidth="1"/>
    <col min="2324" max="2324" width="2" style="247" customWidth="1"/>
    <col min="2325" max="2325" width="2.28515625" style="247" customWidth="1"/>
    <col min="2326" max="2326" width="0" style="247" hidden="1" customWidth="1"/>
    <col min="2327" max="2328" width="9.5703125" style="247" bestFit="1" customWidth="1"/>
    <col min="2329" max="2568" width="9.140625" style="247"/>
    <col min="2569" max="2569" width="1.5703125" style="247" customWidth="1"/>
    <col min="2570" max="2570" width="1.85546875" style="247" customWidth="1"/>
    <col min="2571" max="2571" width="32.85546875" style="247" customWidth="1"/>
    <col min="2572" max="2572" width="1.42578125" style="247" customWidth="1"/>
    <col min="2573" max="2573" width="8.5703125" style="247" customWidth="1"/>
    <col min="2574" max="2574" width="1.42578125" style="247" customWidth="1"/>
    <col min="2575" max="2575" width="18" style="247" customWidth="1"/>
    <col min="2576" max="2576" width="1.42578125" style="247" customWidth="1"/>
    <col min="2577" max="2577" width="8.28515625" style="247" customWidth="1"/>
    <col min="2578" max="2578" width="1.42578125" style="247" customWidth="1"/>
    <col min="2579" max="2579" width="14.42578125" style="247" customWidth="1"/>
    <col min="2580" max="2580" width="2" style="247" customWidth="1"/>
    <col min="2581" max="2581" width="2.28515625" style="247" customWidth="1"/>
    <col min="2582" max="2582" width="0" style="247" hidden="1" customWidth="1"/>
    <col min="2583" max="2584" width="9.5703125" style="247" bestFit="1" customWidth="1"/>
    <col min="2585" max="2824" width="9.140625" style="247"/>
    <col min="2825" max="2825" width="1.5703125" style="247" customWidth="1"/>
    <col min="2826" max="2826" width="1.85546875" style="247" customWidth="1"/>
    <col min="2827" max="2827" width="32.85546875" style="247" customWidth="1"/>
    <col min="2828" max="2828" width="1.42578125" style="247" customWidth="1"/>
    <col min="2829" max="2829" width="8.5703125" style="247" customWidth="1"/>
    <col min="2830" max="2830" width="1.42578125" style="247" customWidth="1"/>
    <col min="2831" max="2831" width="18" style="247" customWidth="1"/>
    <col min="2832" max="2832" width="1.42578125" style="247" customWidth="1"/>
    <col min="2833" max="2833" width="8.28515625" style="247" customWidth="1"/>
    <col min="2834" max="2834" width="1.42578125" style="247" customWidth="1"/>
    <col min="2835" max="2835" width="14.42578125" style="247" customWidth="1"/>
    <col min="2836" max="2836" width="2" style="247" customWidth="1"/>
    <col min="2837" max="2837" width="2.28515625" style="247" customWidth="1"/>
    <col min="2838" max="2838" width="0" style="247" hidden="1" customWidth="1"/>
    <col min="2839" max="2840" width="9.5703125" style="247" bestFit="1" customWidth="1"/>
    <col min="2841" max="3080" width="9.140625" style="247"/>
    <col min="3081" max="3081" width="1.5703125" style="247" customWidth="1"/>
    <col min="3082" max="3082" width="1.85546875" style="247" customWidth="1"/>
    <col min="3083" max="3083" width="32.85546875" style="247" customWidth="1"/>
    <col min="3084" max="3084" width="1.42578125" style="247" customWidth="1"/>
    <col min="3085" max="3085" width="8.5703125" style="247" customWidth="1"/>
    <col min="3086" max="3086" width="1.42578125" style="247" customWidth="1"/>
    <col min="3087" max="3087" width="18" style="247" customWidth="1"/>
    <col min="3088" max="3088" width="1.42578125" style="247" customWidth="1"/>
    <col min="3089" max="3089" width="8.28515625" style="247" customWidth="1"/>
    <col min="3090" max="3090" width="1.42578125" style="247" customWidth="1"/>
    <col min="3091" max="3091" width="14.42578125" style="247" customWidth="1"/>
    <col min="3092" max="3092" width="2" style="247" customWidth="1"/>
    <col min="3093" max="3093" width="2.28515625" style="247" customWidth="1"/>
    <col min="3094" max="3094" width="0" style="247" hidden="1" customWidth="1"/>
    <col min="3095" max="3096" width="9.5703125" style="247" bestFit="1" customWidth="1"/>
    <col min="3097" max="3336" width="9.140625" style="247"/>
    <col min="3337" max="3337" width="1.5703125" style="247" customWidth="1"/>
    <col min="3338" max="3338" width="1.85546875" style="247" customWidth="1"/>
    <col min="3339" max="3339" width="32.85546875" style="247" customWidth="1"/>
    <col min="3340" max="3340" width="1.42578125" style="247" customWidth="1"/>
    <col min="3341" max="3341" width="8.5703125" style="247" customWidth="1"/>
    <col min="3342" max="3342" width="1.42578125" style="247" customWidth="1"/>
    <col min="3343" max="3343" width="18" style="247" customWidth="1"/>
    <col min="3344" max="3344" width="1.42578125" style="247" customWidth="1"/>
    <col min="3345" max="3345" width="8.28515625" style="247" customWidth="1"/>
    <col min="3346" max="3346" width="1.42578125" style="247" customWidth="1"/>
    <col min="3347" max="3347" width="14.42578125" style="247" customWidth="1"/>
    <col min="3348" max="3348" width="2" style="247" customWidth="1"/>
    <col min="3349" max="3349" width="2.28515625" style="247" customWidth="1"/>
    <col min="3350" max="3350" width="0" style="247" hidden="1" customWidth="1"/>
    <col min="3351" max="3352" width="9.5703125" style="247" bestFit="1" customWidth="1"/>
    <col min="3353" max="3592" width="9.140625" style="247"/>
    <col min="3593" max="3593" width="1.5703125" style="247" customWidth="1"/>
    <col min="3594" max="3594" width="1.85546875" style="247" customWidth="1"/>
    <col min="3595" max="3595" width="32.85546875" style="247" customWidth="1"/>
    <col min="3596" max="3596" width="1.42578125" style="247" customWidth="1"/>
    <col min="3597" max="3597" width="8.5703125" style="247" customWidth="1"/>
    <col min="3598" max="3598" width="1.42578125" style="247" customWidth="1"/>
    <col min="3599" max="3599" width="18" style="247" customWidth="1"/>
    <col min="3600" max="3600" width="1.42578125" style="247" customWidth="1"/>
    <col min="3601" max="3601" width="8.28515625" style="247" customWidth="1"/>
    <col min="3602" max="3602" width="1.42578125" style="247" customWidth="1"/>
    <col min="3603" max="3603" width="14.42578125" style="247" customWidth="1"/>
    <col min="3604" max="3604" width="2" style="247" customWidth="1"/>
    <col min="3605" max="3605" width="2.28515625" style="247" customWidth="1"/>
    <col min="3606" max="3606" width="0" style="247" hidden="1" customWidth="1"/>
    <col min="3607" max="3608" width="9.5703125" style="247" bestFit="1" customWidth="1"/>
    <col min="3609" max="3848" width="9.140625" style="247"/>
    <col min="3849" max="3849" width="1.5703125" style="247" customWidth="1"/>
    <col min="3850" max="3850" width="1.85546875" style="247" customWidth="1"/>
    <col min="3851" max="3851" width="32.85546875" style="247" customWidth="1"/>
    <col min="3852" max="3852" width="1.42578125" style="247" customWidth="1"/>
    <col min="3853" max="3853" width="8.5703125" style="247" customWidth="1"/>
    <col min="3854" max="3854" width="1.42578125" style="247" customWidth="1"/>
    <col min="3855" max="3855" width="18" style="247" customWidth="1"/>
    <col min="3856" max="3856" width="1.42578125" style="247" customWidth="1"/>
    <col min="3857" max="3857" width="8.28515625" style="247" customWidth="1"/>
    <col min="3858" max="3858" width="1.42578125" style="247" customWidth="1"/>
    <col min="3859" max="3859" width="14.42578125" style="247" customWidth="1"/>
    <col min="3860" max="3860" width="2" style="247" customWidth="1"/>
    <col min="3861" max="3861" width="2.28515625" style="247" customWidth="1"/>
    <col min="3862" max="3862" width="0" style="247" hidden="1" customWidth="1"/>
    <col min="3863" max="3864" width="9.5703125" style="247" bestFit="1" customWidth="1"/>
    <col min="3865" max="4104" width="9.140625" style="247"/>
    <col min="4105" max="4105" width="1.5703125" style="247" customWidth="1"/>
    <col min="4106" max="4106" width="1.85546875" style="247" customWidth="1"/>
    <col min="4107" max="4107" width="32.85546875" style="247" customWidth="1"/>
    <col min="4108" max="4108" width="1.42578125" style="247" customWidth="1"/>
    <col min="4109" max="4109" width="8.5703125" style="247" customWidth="1"/>
    <col min="4110" max="4110" width="1.42578125" style="247" customWidth="1"/>
    <col min="4111" max="4111" width="18" style="247" customWidth="1"/>
    <col min="4112" max="4112" width="1.42578125" style="247" customWidth="1"/>
    <col min="4113" max="4113" width="8.28515625" style="247" customWidth="1"/>
    <col min="4114" max="4114" width="1.42578125" style="247" customWidth="1"/>
    <col min="4115" max="4115" width="14.42578125" style="247" customWidth="1"/>
    <col min="4116" max="4116" width="2" style="247" customWidth="1"/>
    <col min="4117" max="4117" width="2.28515625" style="247" customWidth="1"/>
    <col min="4118" max="4118" width="0" style="247" hidden="1" customWidth="1"/>
    <col min="4119" max="4120" width="9.5703125" style="247" bestFit="1" customWidth="1"/>
    <col min="4121" max="4360" width="9.140625" style="247"/>
    <col min="4361" max="4361" width="1.5703125" style="247" customWidth="1"/>
    <col min="4362" max="4362" width="1.85546875" style="247" customWidth="1"/>
    <col min="4363" max="4363" width="32.85546875" style="247" customWidth="1"/>
    <col min="4364" max="4364" width="1.42578125" style="247" customWidth="1"/>
    <col min="4365" max="4365" width="8.5703125" style="247" customWidth="1"/>
    <col min="4366" max="4366" width="1.42578125" style="247" customWidth="1"/>
    <col min="4367" max="4367" width="18" style="247" customWidth="1"/>
    <col min="4368" max="4368" width="1.42578125" style="247" customWidth="1"/>
    <col min="4369" max="4369" width="8.28515625" style="247" customWidth="1"/>
    <col min="4370" max="4370" width="1.42578125" style="247" customWidth="1"/>
    <col min="4371" max="4371" width="14.42578125" style="247" customWidth="1"/>
    <col min="4372" max="4372" width="2" style="247" customWidth="1"/>
    <col min="4373" max="4373" width="2.28515625" style="247" customWidth="1"/>
    <col min="4374" max="4374" width="0" style="247" hidden="1" customWidth="1"/>
    <col min="4375" max="4376" width="9.5703125" style="247" bestFit="1" customWidth="1"/>
    <col min="4377" max="4616" width="9.140625" style="247"/>
    <col min="4617" max="4617" width="1.5703125" style="247" customWidth="1"/>
    <col min="4618" max="4618" width="1.85546875" style="247" customWidth="1"/>
    <col min="4619" max="4619" width="32.85546875" style="247" customWidth="1"/>
    <col min="4620" max="4620" width="1.42578125" style="247" customWidth="1"/>
    <col min="4621" max="4621" width="8.5703125" style="247" customWidth="1"/>
    <col min="4622" max="4622" width="1.42578125" style="247" customWidth="1"/>
    <col min="4623" max="4623" width="18" style="247" customWidth="1"/>
    <col min="4624" max="4624" width="1.42578125" style="247" customWidth="1"/>
    <col min="4625" max="4625" width="8.28515625" style="247" customWidth="1"/>
    <col min="4626" max="4626" width="1.42578125" style="247" customWidth="1"/>
    <col min="4627" max="4627" width="14.42578125" style="247" customWidth="1"/>
    <col min="4628" max="4628" width="2" style="247" customWidth="1"/>
    <col min="4629" max="4629" width="2.28515625" style="247" customWidth="1"/>
    <col min="4630" max="4630" width="0" style="247" hidden="1" customWidth="1"/>
    <col min="4631" max="4632" width="9.5703125" style="247" bestFit="1" customWidth="1"/>
    <col min="4633" max="4872" width="9.140625" style="247"/>
    <col min="4873" max="4873" width="1.5703125" style="247" customWidth="1"/>
    <col min="4874" max="4874" width="1.85546875" style="247" customWidth="1"/>
    <col min="4875" max="4875" width="32.85546875" style="247" customWidth="1"/>
    <col min="4876" max="4876" width="1.42578125" style="247" customWidth="1"/>
    <col min="4877" max="4877" width="8.5703125" style="247" customWidth="1"/>
    <col min="4878" max="4878" width="1.42578125" style="247" customWidth="1"/>
    <col min="4879" max="4879" width="18" style="247" customWidth="1"/>
    <col min="4880" max="4880" width="1.42578125" style="247" customWidth="1"/>
    <col min="4881" max="4881" width="8.28515625" style="247" customWidth="1"/>
    <col min="4882" max="4882" width="1.42578125" style="247" customWidth="1"/>
    <col min="4883" max="4883" width="14.42578125" style="247" customWidth="1"/>
    <col min="4884" max="4884" width="2" style="247" customWidth="1"/>
    <col min="4885" max="4885" width="2.28515625" style="247" customWidth="1"/>
    <col min="4886" max="4886" width="0" style="247" hidden="1" customWidth="1"/>
    <col min="4887" max="4888" width="9.5703125" style="247" bestFit="1" customWidth="1"/>
    <col min="4889" max="5128" width="9.140625" style="247"/>
    <col min="5129" max="5129" width="1.5703125" style="247" customWidth="1"/>
    <col min="5130" max="5130" width="1.85546875" style="247" customWidth="1"/>
    <col min="5131" max="5131" width="32.85546875" style="247" customWidth="1"/>
    <col min="5132" max="5132" width="1.42578125" style="247" customWidth="1"/>
    <col min="5133" max="5133" width="8.5703125" style="247" customWidth="1"/>
    <col min="5134" max="5134" width="1.42578125" style="247" customWidth="1"/>
    <col min="5135" max="5135" width="18" style="247" customWidth="1"/>
    <col min="5136" max="5136" width="1.42578125" style="247" customWidth="1"/>
    <col min="5137" max="5137" width="8.28515625" style="247" customWidth="1"/>
    <col min="5138" max="5138" width="1.42578125" style="247" customWidth="1"/>
    <col min="5139" max="5139" width="14.42578125" style="247" customWidth="1"/>
    <col min="5140" max="5140" width="2" style="247" customWidth="1"/>
    <col min="5141" max="5141" width="2.28515625" style="247" customWidth="1"/>
    <col min="5142" max="5142" width="0" style="247" hidden="1" customWidth="1"/>
    <col min="5143" max="5144" width="9.5703125" style="247" bestFit="1" customWidth="1"/>
    <col min="5145" max="5384" width="9.140625" style="247"/>
    <col min="5385" max="5385" width="1.5703125" style="247" customWidth="1"/>
    <col min="5386" max="5386" width="1.85546875" style="247" customWidth="1"/>
    <col min="5387" max="5387" width="32.85546875" style="247" customWidth="1"/>
    <col min="5388" max="5388" width="1.42578125" style="247" customWidth="1"/>
    <col min="5389" max="5389" width="8.5703125" style="247" customWidth="1"/>
    <col min="5390" max="5390" width="1.42578125" style="247" customWidth="1"/>
    <col min="5391" max="5391" width="18" style="247" customWidth="1"/>
    <col min="5392" max="5392" width="1.42578125" style="247" customWidth="1"/>
    <col min="5393" max="5393" width="8.28515625" style="247" customWidth="1"/>
    <col min="5394" max="5394" width="1.42578125" style="247" customWidth="1"/>
    <col min="5395" max="5395" width="14.42578125" style="247" customWidth="1"/>
    <col min="5396" max="5396" width="2" style="247" customWidth="1"/>
    <col min="5397" max="5397" width="2.28515625" style="247" customWidth="1"/>
    <col min="5398" max="5398" width="0" style="247" hidden="1" customWidth="1"/>
    <col min="5399" max="5400" width="9.5703125" style="247" bestFit="1" customWidth="1"/>
    <col min="5401" max="5640" width="9.140625" style="247"/>
    <col min="5641" max="5641" width="1.5703125" style="247" customWidth="1"/>
    <col min="5642" max="5642" width="1.85546875" style="247" customWidth="1"/>
    <col min="5643" max="5643" width="32.85546875" style="247" customWidth="1"/>
    <col min="5644" max="5644" width="1.42578125" style="247" customWidth="1"/>
    <col min="5645" max="5645" width="8.5703125" style="247" customWidth="1"/>
    <col min="5646" max="5646" width="1.42578125" style="247" customWidth="1"/>
    <col min="5647" max="5647" width="18" style="247" customWidth="1"/>
    <col min="5648" max="5648" width="1.42578125" style="247" customWidth="1"/>
    <col min="5649" max="5649" width="8.28515625" style="247" customWidth="1"/>
    <col min="5650" max="5650" width="1.42578125" style="247" customWidth="1"/>
    <col min="5651" max="5651" width="14.42578125" style="247" customWidth="1"/>
    <col min="5652" max="5652" width="2" style="247" customWidth="1"/>
    <col min="5653" max="5653" width="2.28515625" style="247" customWidth="1"/>
    <col min="5654" max="5654" width="0" style="247" hidden="1" customWidth="1"/>
    <col min="5655" max="5656" width="9.5703125" style="247" bestFit="1" customWidth="1"/>
    <col min="5657" max="5896" width="9.140625" style="247"/>
    <col min="5897" max="5897" width="1.5703125" style="247" customWidth="1"/>
    <col min="5898" max="5898" width="1.85546875" style="247" customWidth="1"/>
    <col min="5899" max="5899" width="32.85546875" style="247" customWidth="1"/>
    <col min="5900" max="5900" width="1.42578125" style="247" customWidth="1"/>
    <col min="5901" max="5901" width="8.5703125" style="247" customWidth="1"/>
    <col min="5902" max="5902" width="1.42578125" style="247" customWidth="1"/>
    <col min="5903" max="5903" width="18" style="247" customWidth="1"/>
    <col min="5904" max="5904" width="1.42578125" style="247" customWidth="1"/>
    <col min="5905" max="5905" width="8.28515625" style="247" customWidth="1"/>
    <col min="5906" max="5906" width="1.42578125" style="247" customWidth="1"/>
    <col min="5907" max="5907" width="14.42578125" style="247" customWidth="1"/>
    <col min="5908" max="5908" width="2" style="247" customWidth="1"/>
    <col min="5909" max="5909" width="2.28515625" style="247" customWidth="1"/>
    <col min="5910" max="5910" width="0" style="247" hidden="1" customWidth="1"/>
    <col min="5911" max="5912" width="9.5703125" style="247" bestFit="1" customWidth="1"/>
    <col min="5913" max="6152" width="9.140625" style="247"/>
    <col min="6153" max="6153" width="1.5703125" style="247" customWidth="1"/>
    <col min="6154" max="6154" width="1.85546875" style="247" customWidth="1"/>
    <col min="6155" max="6155" width="32.85546875" style="247" customWidth="1"/>
    <col min="6156" max="6156" width="1.42578125" style="247" customWidth="1"/>
    <col min="6157" max="6157" width="8.5703125" style="247" customWidth="1"/>
    <col min="6158" max="6158" width="1.42578125" style="247" customWidth="1"/>
    <col min="6159" max="6159" width="18" style="247" customWidth="1"/>
    <col min="6160" max="6160" width="1.42578125" style="247" customWidth="1"/>
    <col min="6161" max="6161" width="8.28515625" style="247" customWidth="1"/>
    <col min="6162" max="6162" width="1.42578125" style="247" customWidth="1"/>
    <col min="6163" max="6163" width="14.42578125" style="247" customWidth="1"/>
    <col min="6164" max="6164" width="2" style="247" customWidth="1"/>
    <col min="6165" max="6165" width="2.28515625" style="247" customWidth="1"/>
    <col min="6166" max="6166" width="0" style="247" hidden="1" customWidth="1"/>
    <col min="6167" max="6168" width="9.5703125" style="247" bestFit="1" customWidth="1"/>
    <col min="6169" max="6408" width="9.140625" style="247"/>
    <col min="6409" max="6409" width="1.5703125" style="247" customWidth="1"/>
    <col min="6410" max="6410" width="1.85546875" style="247" customWidth="1"/>
    <col min="6411" max="6411" width="32.85546875" style="247" customWidth="1"/>
    <col min="6412" max="6412" width="1.42578125" style="247" customWidth="1"/>
    <col min="6413" max="6413" width="8.5703125" style="247" customWidth="1"/>
    <col min="6414" max="6414" width="1.42578125" style="247" customWidth="1"/>
    <col min="6415" max="6415" width="18" style="247" customWidth="1"/>
    <col min="6416" max="6416" width="1.42578125" style="247" customWidth="1"/>
    <col min="6417" max="6417" width="8.28515625" style="247" customWidth="1"/>
    <col min="6418" max="6418" width="1.42578125" style="247" customWidth="1"/>
    <col min="6419" max="6419" width="14.42578125" style="247" customWidth="1"/>
    <col min="6420" max="6420" width="2" style="247" customWidth="1"/>
    <col min="6421" max="6421" width="2.28515625" style="247" customWidth="1"/>
    <col min="6422" max="6422" width="0" style="247" hidden="1" customWidth="1"/>
    <col min="6423" max="6424" width="9.5703125" style="247" bestFit="1" customWidth="1"/>
    <col min="6425" max="6664" width="9.140625" style="247"/>
    <col min="6665" max="6665" width="1.5703125" style="247" customWidth="1"/>
    <col min="6666" max="6666" width="1.85546875" style="247" customWidth="1"/>
    <col min="6667" max="6667" width="32.85546875" style="247" customWidth="1"/>
    <col min="6668" max="6668" width="1.42578125" style="247" customWidth="1"/>
    <col min="6669" max="6669" width="8.5703125" style="247" customWidth="1"/>
    <col min="6670" max="6670" width="1.42578125" style="247" customWidth="1"/>
    <col min="6671" max="6671" width="18" style="247" customWidth="1"/>
    <col min="6672" max="6672" width="1.42578125" style="247" customWidth="1"/>
    <col min="6673" max="6673" width="8.28515625" style="247" customWidth="1"/>
    <col min="6674" max="6674" width="1.42578125" style="247" customWidth="1"/>
    <col min="6675" max="6675" width="14.42578125" style="247" customWidth="1"/>
    <col min="6676" max="6676" width="2" style="247" customWidth="1"/>
    <col min="6677" max="6677" width="2.28515625" style="247" customWidth="1"/>
    <col min="6678" max="6678" width="0" style="247" hidden="1" customWidth="1"/>
    <col min="6679" max="6680" width="9.5703125" style="247" bestFit="1" customWidth="1"/>
    <col min="6681" max="6920" width="9.140625" style="247"/>
    <col min="6921" max="6921" width="1.5703125" style="247" customWidth="1"/>
    <col min="6922" max="6922" width="1.85546875" style="247" customWidth="1"/>
    <col min="6923" max="6923" width="32.85546875" style="247" customWidth="1"/>
    <col min="6924" max="6924" width="1.42578125" style="247" customWidth="1"/>
    <col min="6925" max="6925" width="8.5703125" style="247" customWidth="1"/>
    <col min="6926" max="6926" width="1.42578125" style="247" customWidth="1"/>
    <col min="6927" max="6927" width="18" style="247" customWidth="1"/>
    <col min="6928" max="6928" width="1.42578125" style="247" customWidth="1"/>
    <col min="6929" max="6929" width="8.28515625" style="247" customWidth="1"/>
    <col min="6930" max="6930" width="1.42578125" style="247" customWidth="1"/>
    <col min="6931" max="6931" width="14.42578125" style="247" customWidth="1"/>
    <col min="6932" max="6932" width="2" style="247" customWidth="1"/>
    <col min="6933" max="6933" width="2.28515625" style="247" customWidth="1"/>
    <col min="6934" max="6934" width="0" style="247" hidden="1" customWidth="1"/>
    <col min="6935" max="6936" width="9.5703125" style="247" bestFit="1" customWidth="1"/>
    <col min="6937" max="7176" width="9.140625" style="247"/>
    <col min="7177" max="7177" width="1.5703125" style="247" customWidth="1"/>
    <col min="7178" max="7178" width="1.85546875" style="247" customWidth="1"/>
    <col min="7179" max="7179" width="32.85546875" style="247" customWidth="1"/>
    <col min="7180" max="7180" width="1.42578125" style="247" customWidth="1"/>
    <col min="7181" max="7181" width="8.5703125" style="247" customWidth="1"/>
    <col min="7182" max="7182" width="1.42578125" style="247" customWidth="1"/>
    <col min="7183" max="7183" width="18" style="247" customWidth="1"/>
    <col min="7184" max="7184" width="1.42578125" style="247" customWidth="1"/>
    <col min="7185" max="7185" width="8.28515625" style="247" customWidth="1"/>
    <col min="7186" max="7186" width="1.42578125" style="247" customWidth="1"/>
    <col min="7187" max="7187" width="14.42578125" style="247" customWidth="1"/>
    <col min="7188" max="7188" width="2" style="247" customWidth="1"/>
    <col min="7189" max="7189" width="2.28515625" style="247" customWidth="1"/>
    <col min="7190" max="7190" width="0" style="247" hidden="1" customWidth="1"/>
    <col min="7191" max="7192" width="9.5703125" style="247" bestFit="1" customWidth="1"/>
    <col min="7193" max="7432" width="9.140625" style="247"/>
    <col min="7433" max="7433" width="1.5703125" style="247" customWidth="1"/>
    <col min="7434" max="7434" width="1.85546875" style="247" customWidth="1"/>
    <col min="7435" max="7435" width="32.85546875" style="247" customWidth="1"/>
    <col min="7436" max="7436" width="1.42578125" style="247" customWidth="1"/>
    <col min="7437" max="7437" width="8.5703125" style="247" customWidth="1"/>
    <col min="7438" max="7438" width="1.42578125" style="247" customWidth="1"/>
    <col min="7439" max="7439" width="18" style="247" customWidth="1"/>
    <col min="7440" max="7440" width="1.42578125" style="247" customWidth="1"/>
    <col min="7441" max="7441" width="8.28515625" style="247" customWidth="1"/>
    <col min="7442" max="7442" width="1.42578125" style="247" customWidth="1"/>
    <col min="7443" max="7443" width="14.42578125" style="247" customWidth="1"/>
    <col min="7444" max="7444" width="2" style="247" customWidth="1"/>
    <col min="7445" max="7445" width="2.28515625" style="247" customWidth="1"/>
    <col min="7446" max="7446" width="0" style="247" hidden="1" customWidth="1"/>
    <col min="7447" max="7448" width="9.5703125" style="247" bestFit="1" customWidth="1"/>
    <col min="7449" max="7688" width="9.140625" style="247"/>
    <col min="7689" max="7689" width="1.5703125" style="247" customWidth="1"/>
    <col min="7690" max="7690" width="1.85546875" style="247" customWidth="1"/>
    <col min="7691" max="7691" width="32.85546875" style="247" customWidth="1"/>
    <col min="7692" max="7692" width="1.42578125" style="247" customWidth="1"/>
    <col min="7693" max="7693" width="8.5703125" style="247" customWidth="1"/>
    <col min="7694" max="7694" width="1.42578125" style="247" customWidth="1"/>
    <col min="7695" max="7695" width="18" style="247" customWidth="1"/>
    <col min="7696" max="7696" width="1.42578125" style="247" customWidth="1"/>
    <col min="7697" max="7697" width="8.28515625" style="247" customWidth="1"/>
    <col min="7698" max="7698" width="1.42578125" style="247" customWidth="1"/>
    <col min="7699" max="7699" width="14.42578125" style="247" customWidth="1"/>
    <col min="7700" max="7700" width="2" style="247" customWidth="1"/>
    <col min="7701" max="7701" width="2.28515625" style="247" customWidth="1"/>
    <col min="7702" max="7702" width="0" style="247" hidden="1" customWidth="1"/>
    <col min="7703" max="7704" width="9.5703125" style="247" bestFit="1" customWidth="1"/>
    <col min="7705" max="7944" width="9.140625" style="247"/>
    <col min="7945" max="7945" width="1.5703125" style="247" customWidth="1"/>
    <col min="7946" max="7946" width="1.85546875" style="247" customWidth="1"/>
    <col min="7947" max="7947" width="32.85546875" style="247" customWidth="1"/>
    <col min="7948" max="7948" width="1.42578125" style="247" customWidth="1"/>
    <col min="7949" max="7949" width="8.5703125" style="247" customWidth="1"/>
    <col min="7950" max="7950" width="1.42578125" style="247" customWidth="1"/>
    <col min="7951" max="7951" width="18" style="247" customWidth="1"/>
    <col min="7952" max="7952" width="1.42578125" style="247" customWidth="1"/>
    <col min="7953" max="7953" width="8.28515625" style="247" customWidth="1"/>
    <col min="7954" max="7954" width="1.42578125" style="247" customWidth="1"/>
    <col min="7955" max="7955" width="14.42578125" style="247" customWidth="1"/>
    <col min="7956" max="7956" width="2" style="247" customWidth="1"/>
    <col min="7957" max="7957" width="2.28515625" style="247" customWidth="1"/>
    <col min="7958" max="7958" width="0" style="247" hidden="1" customWidth="1"/>
    <col min="7959" max="7960" width="9.5703125" style="247" bestFit="1" customWidth="1"/>
    <col min="7961" max="8200" width="9.140625" style="247"/>
    <col min="8201" max="8201" width="1.5703125" style="247" customWidth="1"/>
    <col min="8202" max="8202" width="1.85546875" style="247" customWidth="1"/>
    <col min="8203" max="8203" width="32.85546875" style="247" customWidth="1"/>
    <col min="8204" max="8204" width="1.42578125" style="247" customWidth="1"/>
    <col min="8205" max="8205" width="8.5703125" style="247" customWidth="1"/>
    <col min="8206" max="8206" width="1.42578125" style="247" customWidth="1"/>
    <col min="8207" max="8207" width="18" style="247" customWidth="1"/>
    <col min="8208" max="8208" width="1.42578125" style="247" customWidth="1"/>
    <col min="8209" max="8209" width="8.28515625" style="247" customWidth="1"/>
    <col min="8210" max="8210" width="1.42578125" style="247" customWidth="1"/>
    <col min="8211" max="8211" width="14.42578125" style="247" customWidth="1"/>
    <col min="8212" max="8212" width="2" style="247" customWidth="1"/>
    <col min="8213" max="8213" width="2.28515625" style="247" customWidth="1"/>
    <col min="8214" max="8214" width="0" style="247" hidden="1" customWidth="1"/>
    <col min="8215" max="8216" width="9.5703125" style="247" bestFit="1" customWidth="1"/>
    <col min="8217" max="8456" width="9.140625" style="247"/>
    <col min="8457" max="8457" width="1.5703125" style="247" customWidth="1"/>
    <col min="8458" max="8458" width="1.85546875" style="247" customWidth="1"/>
    <col min="8459" max="8459" width="32.85546875" style="247" customWidth="1"/>
    <col min="8460" max="8460" width="1.42578125" style="247" customWidth="1"/>
    <col min="8461" max="8461" width="8.5703125" style="247" customWidth="1"/>
    <col min="8462" max="8462" width="1.42578125" style="247" customWidth="1"/>
    <col min="8463" max="8463" width="18" style="247" customWidth="1"/>
    <col min="8464" max="8464" width="1.42578125" style="247" customWidth="1"/>
    <col min="8465" max="8465" width="8.28515625" style="247" customWidth="1"/>
    <col min="8466" max="8466" width="1.42578125" style="247" customWidth="1"/>
    <col min="8467" max="8467" width="14.42578125" style="247" customWidth="1"/>
    <col min="8468" max="8468" width="2" style="247" customWidth="1"/>
    <col min="8469" max="8469" width="2.28515625" style="247" customWidth="1"/>
    <col min="8470" max="8470" width="0" style="247" hidden="1" customWidth="1"/>
    <col min="8471" max="8472" width="9.5703125" style="247" bestFit="1" customWidth="1"/>
    <col min="8473" max="8712" width="9.140625" style="247"/>
    <col min="8713" max="8713" width="1.5703125" style="247" customWidth="1"/>
    <col min="8714" max="8714" width="1.85546875" style="247" customWidth="1"/>
    <col min="8715" max="8715" width="32.85546875" style="247" customWidth="1"/>
    <col min="8716" max="8716" width="1.42578125" style="247" customWidth="1"/>
    <col min="8717" max="8717" width="8.5703125" style="247" customWidth="1"/>
    <col min="8718" max="8718" width="1.42578125" style="247" customWidth="1"/>
    <col min="8719" max="8719" width="18" style="247" customWidth="1"/>
    <col min="8720" max="8720" width="1.42578125" style="247" customWidth="1"/>
    <col min="8721" max="8721" width="8.28515625" style="247" customWidth="1"/>
    <col min="8722" max="8722" width="1.42578125" style="247" customWidth="1"/>
    <col min="8723" max="8723" width="14.42578125" style="247" customWidth="1"/>
    <col min="8724" max="8724" width="2" style="247" customWidth="1"/>
    <col min="8725" max="8725" width="2.28515625" style="247" customWidth="1"/>
    <col min="8726" max="8726" width="0" style="247" hidden="1" customWidth="1"/>
    <col min="8727" max="8728" width="9.5703125" style="247" bestFit="1" customWidth="1"/>
    <col min="8729" max="8968" width="9.140625" style="247"/>
    <col min="8969" max="8969" width="1.5703125" style="247" customWidth="1"/>
    <col min="8970" max="8970" width="1.85546875" style="247" customWidth="1"/>
    <col min="8971" max="8971" width="32.85546875" style="247" customWidth="1"/>
    <col min="8972" max="8972" width="1.42578125" style="247" customWidth="1"/>
    <col min="8973" max="8973" width="8.5703125" style="247" customWidth="1"/>
    <col min="8974" max="8974" width="1.42578125" style="247" customWidth="1"/>
    <col min="8975" max="8975" width="18" style="247" customWidth="1"/>
    <col min="8976" max="8976" width="1.42578125" style="247" customWidth="1"/>
    <col min="8977" max="8977" width="8.28515625" style="247" customWidth="1"/>
    <col min="8978" max="8978" width="1.42578125" style="247" customWidth="1"/>
    <col min="8979" max="8979" width="14.42578125" style="247" customWidth="1"/>
    <col min="8980" max="8980" width="2" style="247" customWidth="1"/>
    <col min="8981" max="8981" width="2.28515625" style="247" customWidth="1"/>
    <col min="8982" max="8982" width="0" style="247" hidden="1" customWidth="1"/>
    <col min="8983" max="8984" width="9.5703125" style="247" bestFit="1" customWidth="1"/>
    <col min="8985" max="9224" width="9.140625" style="247"/>
    <col min="9225" max="9225" width="1.5703125" style="247" customWidth="1"/>
    <col min="9226" max="9226" width="1.85546875" style="247" customWidth="1"/>
    <col min="9227" max="9227" width="32.85546875" style="247" customWidth="1"/>
    <col min="9228" max="9228" width="1.42578125" style="247" customWidth="1"/>
    <col min="9229" max="9229" width="8.5703125" style="247" customWidth="1"/>
    <col min="9230" max="9230" width="1.42578125" style="247" customWidth="1"/>
    <col min="9231" max="9231" width="18" style="247" customWidth="1"/>
    <col min="9232" max="9232" width="1.42578125" style="247" customWidth="1"/>
    <col min="9233" max="9233" width="8.28515625" style="247" customWidth="1"/>
    <col min="9234" max="9234" width="1.42578125" style="247" customWidth="1"/>
    <col min="9235" max="9235" width="14.42578125" style="247" customWidth="1"/>
    <col min="9236" max="9236" width="2" style="247" customWidth="1"/>
    <col min="9237" max="9237" width="2.28515625" style="247" customWidth="1"/>
    <col min="9238" max="9238" width="0" style="247" hidden="1" customWidth="1"/>
    <col min="9239" max="9240" width="9.5703125" style="247" bestFit="1" customWidth="1"/>
    <col min="9241" max="9480" width="9.140625" style="247"/>
    <col min="9481" max="9481" width="1.5703125" style="247" customWidth="1"/>
    <col min="9482" max="9482" width="1.85546875" style="247" customWidth="1"/>
    <col min="9483" max="9483" width="32.85546875" style="247" customWidth="1"/>
    <col min="9484" max="9484" width="1.42578125" style="247" customWidth="1"/>
    <col min="9485" max="9485" width="8.5703125" style="247" customWidth="1"/>
    <col min="9486" max="9486" width="1.42578125" style="247" customWidth="1"/>
    <col min="9487" max="9487" width="18" style="247" customWidth="1"/>
    <col min="9488" max="9488" width="1.42578125" style="247" customWidth="1"/>
    <col min="9489" max="9489" width="8.28515625" style="247" customWidth="1"/>
    <col min="9490" max="9490" width="1.42578125" style="247" customWidth="1"/>
    <col min="9491" max="9491" width="14.42578125" style="247" customWidth="1"/>
    <col min="9492" max="9492" width="2" style="247" customWidth="1"/>
    <col min="9493" max="9493" width="2.28515625" style="247" customWidth="1"/>
    <col min="9494" max="9494" width="0" style="247" hidden="1" customWidth="1"/>
    <col min="9495" max="9496" width="9.5703125" style="247" bestFit="1" customWidth="1"/>
    <col min="9497" max="9736" width="9.140625" style="247"/>
    <col min="9737" max="9737" width="1.5703125" style="247" customWidth="1"/>
    <col min="9738" max="9738" width="1.85546875" style="247" customWidth="1"/>
    <col min="9739" max="9739" width="32.85546875" style="247" customWidth="1"/>
    <col min="9740" max="9740" width="1.42578125" style="247" customWidth="1"/>
    <col min="9741" max="9741" width="8.5703125" style="247" customWidth="1"/>
    <col min="9742" max="9742" width="1.42578125" style="247" customWidth="1"/>
    <col min="9743" max="9743" width="18" style="247" customWidth="1"/>
    <col min="9744" max="9744" width="1.42578125" style="247" customWidth="1"/>
    <col min="9745" max="9745" width="8.28515625" style="247" customWidth="1"/>
    <col min="9746" max="9746" width="1.42578125" style="247" customWidth="1"/>
    <col min="9747" max="9747" width="14.42578125" style="247" customWidth="1"/>
    <col min="9748" max="9748" width="2" style="247" customWidth="1"/>
    <col min="9749" max="9749" width="2.28515625" style="247" customWidth="1"/>
    <col min="9750" max="9750" width="0" style="247" hidden="1" customWidth="1"/>
    <col min="9751" max="9752" width="9.5703125" style="247" bestFit="1" customWidth="1"/>
    <col min="9753" max="9992" width="9.140625" style="247"/>
    <col min="9993" max="9993" width="1.5703125" style="247" customWidth="1"/>
    <col min="9994" max="9994" width="1.85546875" style="247" customWidth="1"/>
    <col min="9995" max="9995" width="32.85546875" style="247" customWidth="1"/>
    <col min="9996" max="9996" width="1.42578125" style="247" customWidth="1"/>
    <col min="9997" max="9997" width="8.5703125" style="247" customWidth="1"/>
    <col min="9998" max="9998" width="1.42578125" style="247" customWidth="1"/>
    <col min="9999" max="9999" width="18" style="247" customWidth="1"/>
    <col min="10000" max="10000" width="1.42578125" style="247" customWidth="1"/>
    <col min="10001" max="10001" width="8.28515625" style="247" customWidth="1"/>
    <col min="10002" max="10002" width="1.42578125" style="247" customWidth="1"/>
    <col min="10003" max="10003" width="14.42578125" style="247" customWidth="1"/>
    <col min="10004" max="10004" width="2" style="247" customWidth="1"/>
    <col min="10005" max="10005" width="2.28515625" style="247" customWidth="1"/>
    <col min="10006" max="10006" width="0" style="247" hidden="1" customWidth="1"/>
    <col min="10007" max="10008" width="9.5703125" style="247" bestFit="1" customWidth="1"/>
    <col min="10009" max="10248" width="9.140625" style="247"/>
    <col min="10249" max="10249" width="1.5703125" style="247" customWidth="1"/>
    <col min="10250" max="10250" width="1.85546875" style="247" customWidth="1"/>
    <col min="10251" max="10251" width="32.85546875" style="247" customWidth="1"/>
    <col min="10252" max="10252" width="1.42578125" style="247" customWidth="1"/>
    <col min="10253" max="10253" width="8.5703125" style="247" customWidth="1"/>
    <col min="10254" max="10254" width="1.42578125" style="247" customWidth="1"/>
    <col min="10255" max="10255" width="18" style="247" customWidth="1"/>
    <col min="10256" max="10256" width="1.42578125" style="247" customWidth="1"/>
    <col min="10257" max="10257" width="8.28515625" style="247" customWidth="1"/>
    <col min="10258" max="10258" width="1.42578125" style="247" customWidth="1"/>
    <col min="10259" max="10259" width="14.42578125" style="247" customWidth="1"/>
    <col min="10260" max="10260" width="2" style="247" customWidth="1"/>
    <col min="10261" max="10261" width="2.28515625" style="247" customWidth="1"/>
    <col min="10262" max="10262" width="0" style="247" hidden="1" customWidth="1"/>
    <col min="10263" max="10264" width="9.5703125" style="247" bestFit="1" customWidth="1"/>
    <col min="10265" max="10504" width="9.140625" style="247"/>
    <col min="10505" max="10505" width="1.5703125" style="247" customWidth="1"/>
    <col min="10506" max="10506" width="1.85546875" style="247" customWidth="1"/>
    <col min="10507" max="10507" width="32.85546875" style="247" customWidth="1"/>
    <col min="10508" max="10508" width="1.42578125" style="247" customWidth="1"/>
    <col min="10509" max="10509" width="8.5703125" style="247" customWidth="1"/>
    <col min="10510" max="10510" width="1.42578125" style="247" customWidth="1"/>
    <col min="10511" max="10511" width="18" style="247" customWidth="1"/>
    <col min="10512" max="10512" width="1.42578125" style="247" customWidth="1"/>
    <col min="10513" max="10513" width="8.28515625" style="247" customWidth="1"/>
    <col min="10514" max="10514" width="1.42578125" style="247" customWidth="1"/>
    <col min="10515" max="10515" width="14.42578125" style="247" customWidth="1"/>
    <col min="10516" max="10516" width="2" style="247" customWidth="1"/>
    <col min="10517" max="10517" width="2.28515625" style="247" customWidth="1"/>
    <col min="10518" max="10518" width="0" style="247" hidden="1" customWidth="1"/>
    <col min="10519" max="10520" width="9.5703125" style="247" bestFit="1" customWidth="1"/>
    <col min="10521" max="10760" width="9.140625" style="247"/>
    <col min="10761" max="10761" width="1.5703125" style="247" customWidth="1"/>
    <col min="10762" max="10762" width="1.85546875" style="247" customWidth="1"/>
    <col min="10763" max="10763" width="32.85546875" style="247" customWidth="1"/>
    <col min="10764" max="10764" width="1.42578125" style="247" customWidth="1"/>
    <col min="10765" max="10765" width="8.5703125" style="247" customWidth="1"/>
    <col min="10766" max="10766" width="1.42578125" style="247" customWidth="1"/>
    <col min="10767" max="10767" width="18" style="247" customWidth="1"/>
    <col min="10768" max="10768" width="1.42578125" style="247" customWidth="1"/>
    <col min="10769" max="10769" width="8.28515625" style="247" customWidth="1"/>
    <col min="10770" max="10770" width="1.42578125" style="247" customWidth="1"/>
    <col min="10771" max="10771" width="14.42578125" style="247" customWidth="1"/>
    <col min="10772" max="10772" width="2" style="247" customWidth="1"/>
    <col min="10773" max="10773" width="2.28515625" style="247" customWidth="1"/>
    <col min="10774" max="10774" width="0" style="247" hidden="1" customWidth="1"/>
    <col min="10775" max="10776" width="9.5703125" style="247" bestFit="1" customWidth="1"/>
    <col min="10777" max="11016" width="9.140625" style="247"/>
    <col min="11017" max="11017" width="1.5703125" style="247" customWidth="1"/>
    <col min="11018" max="11018" width="1.85546875" style="247" customWidth="1"/>
    <col min="11019" max="11019" width="32.85546875" style="247" customWidth="1"/>
    <col min="11020" max="11020" width="1.42578125" style="247" customWidth="1"/>
    <col min="11021" max="11021" width="8.5703125" style="247" customWidth="1"/>
    <col min="11022" max="11022" width="1.42578125" style="247" customWidth="1"/>
    <col min="11023" max="11023" width="18" style="247" customWidth="1"/>
    <col min="11024" max="11024" width="1.42578125" style="247" customWidth="1"/>
    <col min="11025" max="11025" width="8.28515625" style="247" customWidth="1"/>
    <col min="11026" max="11026" width="1.42578125" style="247" customWidth="1"/>
    <col min="11027" max="11027" width="14.42578125" style="247" customWidth="1"/>
    <col min="11028" max="11028" width="2" style="247" customWidth="1"/>
    <col min="11029" max="11029" width="2.28515625" style="247" customWidth="1"/>
    <col min="11030" max="11030" width="0" style="247" hidden="1" customWidth="1"/>
    <col min="11031" max="11032" width="9.5703125" style="247" bestFit="1" customWidth="1"/>
    <col min="11033" max="11272" width="9.140625" style="247"/>
    <col min="11273" max="11273" width="1.5703125" style="247" customWidth="1"/>
    <col min="11274" max="11274" width="1.85546875" style="247" customWidth="1"/>
    <col min="11275" max="11275" width="32.85546875" style="247" customWidth="1"/>
    <col min="11276" max="11276" width="1.42578125" style="247" customWidth="1"/>
    <col min="11277" max="11277" width="8.5703125" style="247" customWidth="1"/>
    <col min="11278" max="11278" width="1.42578125" style="247" customWidth="1"/>
    <col min="11279" max="11279" width="18" style="247" customWidth="1"/>
    <col min="11280" max="11280" width="1.42578125" style="247" customWidth="1"/>
    <col min="11281" max="11281" width="8.28515625" style="247" customWidth="1"/>
    <col min="11282" max="11282" width="1.42578125" style="247" customWidth="1"/>
    <col min="11283" max="11283" width="14.42578125" style="247" customWidth="1"/>
    <col min="11284" max="11284" width="2" style="247" customWidth="1"/>
    <col min="11285" max="11285" width="2.28515625" style="247" customWidth="1"/>
    <col min="11286" max="11286" width="0" style="247" hidden="1" customWidth="1"/>
    <col min="11287" max="11288" width="9.5703125" style="247" bestFit="1" customWidth="1"/>
    <col min="11289" max="11528" width="9.140625" style="247"/>
    <col min="11529" max="11529" width="1.5703125" style="247" customWidth="1"/>
    <col min="11530" max="11530" width="1.85546875" style="247" customWidth="1"/>
    <col min="11531" max="11531" width="32.85546875" style="247" customWidth="1"/>
    <col min="11532" max="11532" width="1.42578125" style="247" customWidth="1"/>
    <col min="11533" max="11533" width="8.5703125" style="247" customWidth="1"/>
    <col min="11534" max="11534" width="1.42578125" style="247" customWidth="1"/>
    <col min="11535" max="11535" width="18" style="247" customWidth="1"/>
    <col min="11536" max="11536" width="1.42578125" style="247" customWidth="1"/>
    <col min="11537" max="11537" width="8.28515625" style="247" customWidth="1"/>
    <col min="11538" max="11538" width="1.42578125" style="247" customWidth="1"/>
    <col min="11539" max="11539" width="14.42578125" style="247" customWidth="1"/>
    <col min="11540" max="11540" width="2" style="247" customWidth="1"/>
    <col min="11541" max="11541" width="2.28515625" style="247" customWidth="1"/>
    <col min="11542" max="11542" width="0" style="247" hidden="1" customWidth="1"/>
    <col min="11543" max="11544" width="9.5703125" style="247" bestFit="1" customWidth="1"/>
    <col min="11545" max="11784" width="9.140625" style="247"/>
    <col min="11785" max="11785" width="1.5703125" style="247" customWidth="1"/>
    <col min="11786" max="11786" width="1.85546875" style="247" customWidth="1"/>
    <col min="11787" max="11787" width="32.85546875" style="247" customWidth="1"/>
    <col min="11788" max="11788" width="1.42578125" style="247" customWidth="1"/>
    <col min="11789" max="11789" width="8.5703125" style="247" customWidth="1"/>
    <col min="11790" max="11790" width="1.42578125" style="247" customWidth="1"/>
    <col min="11791" max="11791" width="18" style="247" customWidth="1"/>
    <col min="11792" max="11792" width="1.42578125" style="247" customWidth="1"/>
    <col min="11793" max="11793" width="8.28515625" style="247" customWidth="1"/>
    <col min="11794" max="11794" width="1.42578125" style="247" customWidth="1"/>
    <col min="11795" max="11795" width="14.42578125" style="247" customWidth="1"/>
    <col min="11796" max="11796" width="2" style="247" customWidth="1"/>
    <col min="11797" max="11797" width="2.28515625" style="247" customWidth="1"/>
    <col min="11798" max="11798" width="0" style="247" hidden="1" customWidth="1"/>
    <col min="11799" max="11800" width="9.5703125" style="247" bestFit="1" customWidth="1"/>
    <col min="11801" max="12040" width="9.140625" style="247"/>
    <col min="12041" max="12041" width="1.5703125" style="247" customWidth="1"/>
    <col min="12042" max="12042" width="1.85546875" style="247" customWidth="1"/>
    <col min="12043" max="12043" width="32.85546875" style="247" customWidth="1"/>
    <col min="12044" max="12044" width="1.42578125" style="247" customWidth="1"/>
    <col min="12045" max="12045" width="8.5703125" style="247" customWidth="1"/>
    <col min="12046" max="12046" width="1.42578125" style="247" customWidth="1"/>
    <col min="12047" max="12047" width="18" style="247" customWidth="1"/>
    <col min="12048" max="12048" width="1.42578125" style="247" customWidth="1"/>
    <col min="12049" max="12049" width="8.28515625" style="247" customWidth="1"/>
    <col min="12050" max="12050" width="1.42578125" style="247" customWidth="1"/>
    <col min="12051" max="12051" width="14.42578125" style="247" customWidth="1"/>
    <col min="12052" max="12052" width="2" style="247" customWidth="1"/>
    <col min="12053" max="12053" width="2.28515625" style="247" customWidth="1"/>
    <col min="12054" max="12054" width="0" style="247" hidden="1" customWidth="1"/>
    <col min="12055" max="12056" width="9.5703125" style="247" bestFit="1" customWidth="1"/>
    <col min="12057" max="12296" width="9.140625" style="247"/>
    <col min="12297" max="12297" width="1.5703125" style="247" customWidth="1"/>
    <col min="12298" max="12298" width="1.85546875" style="247" customWidth="1"/>
    <col min="12299" max="12299" width="32.85546875" style="247" customWidth="1"/>
    <col min="12300" max="12300" width="1.42578125" style="247" customWidth="1"/>
    <col min="12301" max="12301" width="8.5703125" style="247" customWidth="1"/>
    <col min="12302" max="12302" width="1.42578125" style="247" customWidth="1"/>
    <col min="12303" max="12303" width="18" style="247" customWidth="1"/>
    <col min="12304" max="12304" width="1.42578125" style="247" customWidth="1"/>
    <col min="12305" max="12305" width="8.28515625" style="247" customWidth="1"/>
    <col min="12306" max="12306" width="1.42578125" style="247" customWidth="1"/>
    <col min="12307" max="12307" width="14.42578125" style="247" customWidth="1"/>
    <col min="12308" max="12308" width="2" style="247" customWidth="1"/>
    <col min="12309" max="12309" width="2.28515625" style="247" customWidth="1"/>
    <col min="12310" max="12310" width="0" style="247" hidden="1" customWidth="1"/>
    <col min="12311" max="12312" width="9.5703125" style="247" bestFit="1" customWidth="1"/>
    <col min="12313" max="12552" width="9.140625" style="247"/>
    <col min="12553" max="12553" width="1.5703125" style="247" customWidth="1"/>
    <col min="12554" max="12554" width="1.85546875" style="247" customWidth="1"/>
    <col min="12555" max="12555" width="32.85546875" style="247" customWidth="1"/>
    <col min="12556" max="12556" width="1.42578125" style="247" customWidth="1"/>
    <col min="12557" max="12557" width="8.5703125" style="247" customWidth="1"/>
    <col min="12558" max="12558" width="1.42578125" style="247" customWidth="1"/>
    <col min="12559" max="12559" width="18" style="247" customWidth="1"/>
    <col min="12560" max="12560" width="1.42578125" style="247" customWidth="1"/>
    <col min="12561" max="12561" width="8.28515625" style="247" customWidth="1"/>
    <col min="12562" max="12562" width="1.42578125" style="247" customWidth="1"/>
    <col min="12563" max="12563" width="14.42578125" style="247" customWidth="1"/>
    <col min="12564" max="12564" width="2" style="247" customWidth="1"/>
    <col min="12565" max="12565" width="2.28515625" style="247" customWidth="1"/>
    <col min="12566" max="12566" width="0" style="247" hidden="1" customWidth="1"/>
    <col min="12567" max="12568" width="9.5703125" style="247" bestFit="1" customWidth="1"/>
    <col min="12569" max="12808" width="9.140625" style="247"/>
    <col min="12809" max="12809" width="1.5703125" style="247" customWidth="1"/>
    <col min="12810" max="12810" width="1.85546875" style="247" customWidth="1"/>
    <col min="12811" max="12811" width="32.85546875" style="247" customWidth="1"/>
    <col min="12812" max="12812" width="1.42578125" style="247" customWidth="1"/>
    <col min="12813" max="12813" width="8.5703125" style="247" customWidth="1"/>
    <col min="12814" max="12814" width="1.42578125" style="247" customWidth="1"/>
    <col min="12815" max="12815" width="18" style="247" customWidth="1"/>
    <col min="12816" max="12816" width="1.42578125" style="247" customWidth="1"/>
    <col min="12817" max="12817" width="8.28515625" style="247" customWidth="1"/>
    <col min="12818" max="12818" width="1.42578125" style="247" customWidth="1"/>
    <col min="12819" max="12819" width="14.42578125" style="247" customWidth="1"/>
    <col min="12820" max="12820" width="2" style="247" customWidth="1"/>
    <col min="12821" max="12821" width="2.28515625" style="247" customWidth="1"/>
    <col min="12822" max="12822" width="0" style="247" hidden="1" customWidth="1"/>
    <col min="12823" max="12824" width="9.5703125" style="247" bestFit="1" customWidth="1"/>
    <col min="12825" max="13064" width="9.140625" style="247"/>
    <col min="13065" max="13065" width="1.5703125" style="247" customWidth="1"/>
    <col min="13066" max="13066" width="1.85546875" style="247" customWidth="1"/>
    <col min="13067" max="13067" width="32.85546875" style="247" customWidth="1"/>
    <col min="13068" max="13068" width="1.42578125" style="247" customWidth="1"/>
    <col min="13069" max="13069" width="8.5703125" style="247" customWidth="1"/>
    <col min="13070" max="13070" width="1.42578125" style="247" customWidth="1"/>
    <col min="13071" max="13071" width="18" style="247" customWidth="1"/>
    <col min="13072" max="13072" width="1.42578125" style="247" customWidth="1"/>
    <col min="13073" max="13073" width="8.28515625" style="247" customWidth="1"/>
    <col min="13074" max="13074" width="1.42578125" style="247" customWidth="1"/>
    <col min="13075" max="13075" width="14.42578125" style="247" customWidth="1"/>
    <col min="13076" max="13076" width="2" style="247" customWidth="1"/>
    <col min="13077" max="13077" width="2.28515625" style="247" customWidth="1"/>
    <col min="13078" max="13078" width="0" style="247" hidden="1" customWidth="1"/>
    <col min="13079" max="13080" width="9.5703125" style="247" bestFit="1" customWidth="1"/>
    <col min="13081" max="13320" width="9.140625" style="247"/>
    <col min="13321" max="13321" width="1.5703125" style="247" customWidth="1"/>
    <col min="13322" max="13322" width="1.85546875" style="247" customWidth="1"/>
    <col min="13323" max="13323" width="32.85546875" style="247" customWidth="1"/>
    <col min="13324" max="13324" width="1.42578125" style="247" customWidth="1"/>
    <col min="13325" max="13325" width="8.5703125" style="247" customWidth="1"/>
    <col min="13326" max="13326" width="1.42578125" style="247" customWidth="1"/>
    <col min="13327" max="13327" width="18" style="247" customWidth="1"/>
    <col min="13328" max="13328" width="1.42578125" style="247" customWidth="1"/>
    <col min="13329" max="13329" width="8.28515625" style="247" customWidth="1"/>
    <col min="13330" max="13330" width="1.42578125" style="247" customWidth="1"/>
    <col min="13331" max="13331" width="14.42578125" style="247" customWidth="1"/>
    <col min="13332" max="13332" width="2" style="247" customWidth="1"/>
    <col min="13333" max="13333" width="2.28515625" style="247" customWidth="1"/>
    <col min="13334" max="13334" width="0" style="247" hidden="1" customWidth="1"/>
    <col min="13335" max="13336" width="9.5703125" style="247" bestFit="1" customWidth="1"/>
    <col min="13337" max="13576" width="9.140625" style="247"/>
    <col min="13577" max="13577" width="1.5703125" style="247" customWidth="1"/>
    <col min="13578" max="13578" width="1.85546875" style="247" customWidth="1"/>
    <col min="13579" max="13579" width="32.85546875" style="247" customWidth="1"/>
    <col min="13580" max="13580" width="1.42578125" style="247" customWidth="1"/>
    <col min="13581" max="13581" width="8.5703125" style="247" customWidth="1"/>
    <col min="13582" max="13582" width="1.42578125" style="247" customWidth="1"/>
    <col min="13583" max="13583" width="18" style="247" customWidth="1"/>
    <col min="13584" max="13584" width="1.42578125" style="247" customWidth="1"/>
    <col min="13585" max="13585" width="8.28515625" style="247" customWidth="1"/>
    <col min="13586" max="13586" width="1.42578125" style="247" customWidth="1"/>
    <col min="13587" max="13587" width="14.42578125" style="247" customWidth="1"/>
    <col min="13588" max="13588" width="2" style="247" customWidth="1"/>
    <col min="13589" max="13589" width="2.28515625" style="247" customWidth="1"/>
    <col min="13590" max="13590" width="0" style="247" hidden="1" customWidth="1"/>
    <col min="13591" max="13592" width="9.5703125" style="247" bestFit="1" customWidth="1"/>
    <col min="13593" max="13832" width="9.140625" style="247"/>
    <col min="13833" max="13833" width="1.5703125" style="247" customWidth="1"/>
    <col min="13834" max="13834" width="1.85546875" style="247" customWidth="1"/>
    <col min="13835" max="13835" width="32.85546875" style="247" customWidth="1"/>
    <col min="13836" max="13836" width="1.42578125" style="247" customWidth="1"/>
    <col min="13837" max="13837" width="8.5703125" style="247" customWidth="1"/>
    <col min="13838" max="13838" width="1.42578125" style="247" customWidth="1"/>
    <col min="13839" max="13839" width="18" style="247" customWidth="1"/>
    <col min="13840" max="13840" width="1.42578125" style="247" customWidth="1"/>
    <col min="13841" max="13841" width="8.28515625" style="247" customWidth="1"/>
    <col min="13842" max="13842" width="1.42578125" style="247" customWidth="1"/>
    <col min="13843" max="13843" width="14.42578125" style="247" customWidth="1"/>
    <col min="13844" max="13844" width="2" style="247" customWidth="1"/>
    <col min="13845" max="13845" width="2.28515625" style="247" customWidth="1"/>
    <col min="13846" max="13846" width="0" style="247" hidden="1" customWidth="1"/>
    <col min="13847" max="13848" width="9.5703125" style="247" bestFit="1" customWidth="1"/>
    <col min="13849" max="14088" width="9.140625" style="247"/>
    <col min="14089" max="14089" width="1.5703125" style="247" customWidth="1"/>
    <col min="14090" max="14090" width="1.85546875" style="247" customWidth="1"/>
    <col min="14091" max="14091" width="32.85546875" style="247" customWidth="1"/>
    <col min="14092" max="14092" width="1.42578125" style="247" customWidth="1"/>
    <col min="14093" max="14093" width="8.5703125" style="247" customWidth="1"/>
    <col min="14094" max="14094" width="1.42578125" style="247" customWidth="1"/>
    <col min="14095" max="14095" width="18" style="247" customWidth="1"/>
    <col min="14096" max="14096" width="1.42578125" style="247" customWidth="1"/>
    <col min="14097" max="14097" width="8.28515625" style="247" customWidth="1"/>
    <col min="14098" max="14098" width="1.42578125" style="247" customWidth="1"/>
    <col min="14099" max="14099" width="14.42578125" style="247" customWidth="1"/>
    <col min="14100" max="14100" width="2" style="247" customWidth="1"/>
    <col min="14101" max="14101" width="2.28515625" style="247" customWidth="1"/>
    <col min="14102" max="14102" width="0" style="247" hidden="1" customWidth="1"/>
    <col min="14103" max="14104" width="9.5703125" style="247" bestFit="1" customWidth="1"/>
    <col min="14105" max="14344" width="9.140625" style="247"/>
    <col min="14345" max="14345" width="1.5703125" style="247" customWidth="1"/>
    <col min="14346" max="14346" width="1.85546875" style="247" customWidth="1"/>
    <col min="14347" max="14347" width="32.85546875" style="247" customWidth="1"/>
    <col min="14348" max="14348" width="1.42578125" style="247" customWidth="1"/>
    <col min="14349" max="14349" width="8.5703125" style="247" customWidth="1"/>
    <col min="14350" max="14350" width="1.42578125" style="247" customWidth="1"/>
    <col min="14351" max="14351" width="18" style="247" customWidth="1"/>
    <col min="14352" max="14352" width="1.42578125" style="247" customWidth="1"/>
    <col min="14353" max="14353" width="8.28515625" style="247" customWidth="1"/>
    <col min="14354" max="14354" width="1.42578125" style="247" customWidth="1"/>
    <col min="14355" max="14355" width="14.42578125" style="247" customWidth="1"/>
    <col min="14356" max="14356" width="2" style="247" customWidth="1"/>
    <col min="14357" max="14357" width="2.28515625" style="247" customWidth="1"/>
    <col min="14358" max="14358" width="0" style="247" hidden="1" customWidth="1"/>
    <col min="14359" max="14360" width="9.5703125" style="247" bestFit="1" customWidth="1"/>
    <col min="14361" max="14600" width="9.140625" style="247"/>
    <col min="14601" max="14601" width="1.5703125" style="247" customWidth="1"/>
    <col min="14602" max="14602" width="1.85546875" style="247" customWidth="1"/>
    <col min="14603" max="14603" width="32.85546875" style="247" customWidth="1"/>
    <col min="14604" max="14604" width="1.42578125" style="247" customWidth="1"/>
    <col min="14605" max="14605" width="8.5703125" style="247" customWidth="1"/>
    <col min="14606" max="14606" width="1.42578125" style="247" customWidth="1"/>
    <col min="14607" max="14607" width="18" style="247" customWidth="1"/>
    <col min="14608" max="14608" width="1.42578125" style="247" customWidth="1"/>
    <col min="14609" max="14609" width="8.28515625" style="247" customWidth="1"/>
    <col min="14610" max="14610" width="1.42578125" style="247" customWidth="1"/>
    <col min="14611" max="14611" width="14.42578125" style="247" customWidth="1"/>
    <col min="14612" max="14612" width="2" style="247" customWidth="1"/>
    <col min="14613" max="14613" width="2.28515625" style="247" customWidth="1"/>
    <col min="14614" max="14614" width="0" style="247" hidden="1" customWidth="1"/>
    <col min="14615" max="14616" width="9.5703125" style="247" bestFit="1" customWidth="1"/>
    <col min="14617" max="14856" width="9.140625" style="247"/>
    <col min="14857" max="14857" width="1.5703125" style="247" customWidth="1"/>
    <col min="14858" max="14858" width="1.85546875" style="247" customWidth="1"/>
    <col min="14859" max="14859" width="32.85546875" style="247" customWidth="1"/>
    <col min="14860" max="14860" width="1.42578125" style="247" customWidth="1"/>
    <col min="14861" max="14861" width="8.5703125" style="247" customWidth="1"/>
    <col min="14862" max="14862" width="1.42578125" style="247" customWidth="1"/>
    <col min="14863" max="14863" width="18" style="247" customWidth="1"/>
    <col min="14864" max="14864" width="1.42578125" style="247" customWidth="1"/>
    <col min="14865" max="14865" width="8.28515625" style="247" customWidth="1"/>
    <col min="14866" max="14866" width="1.42578125" style="247" customWidth="1"/>
    <col min="14867" max="14867" width="14.42578125" style="247" customWidth="1"/>
    <col min="14868" max="14868" width="2" style="247" customWidth="1"/>
    <col min="14869" max="14869" width="2.28515625" style="247" customWidth="1"/>
    <col min="14870" max="14870" width="0" style="247" hidden="1" customWidth="1"/>
    <col min="14871" max="14872" width="9.5703125" style="247" bestFit="1" customWidth="1"/>
    <col min="14873" max="15112" width="9.140625" style="247"/>
    <col min="15113" max="15113" width="1.5703125" style="247" customWidth="1"/>
    <col min="15114" max="15114" width="1.85546875" style="247" customWidth="1"/>
    <col min="15115" max="15115" width="32.85546875" style="247" customWidth="1"/>
    <col min="15116" max="15116" width="1.42578125" style="247" customWidth="1"/>
    <col min="15117" max="15117" width="8.5703125" style="247" customWidth="1"/>
    <col min="15118" max="15118" width="1.42578125" style="247" customWidth="1"/>
    <col min="15119" max="15119" width="18" style="247" customWidth="1"/>
    <col min="15120" max="15120" width="1.42578125" style="247" customWidth="1"/>
    <col min="15121" max="15121" width="8.28515625" style="247" customWidth="1"/>
    <col min="15122" max="15122" width="1.42578125" style="247" customWidth="1"/>
    <col min="15123" max="15123" width="14.42578125" style="247" customWidth="1"/>
    <col min="15124" max="15124" width="2" style="247" customWidth="1"/>
    <col min="15125" max="15125" width="2.28515625" style="247" customWidth="1"/>
    <col min="15126" max="15126" width="0" style="247" hidden="1" customWidth="1"/>
    <col min="15127" max="15128" width="9.5703125" style="247" bestFit="1" customWidth="1"/>
    <col min="15129" max="15368" width="9.140625" style="247"/>
    <col min="15369" max="15369" width="1.5703125" style="247" customWidth="1"/>
    <col min="15370" max="15370" width="1.85546875" style="247" customWidth="1"/>
    <col min="15371" max="15371" width="32.85546875" style="247" customWidth="1"/>
    <col min="15372" max="15372" width="1.42578125" style="247" customWidth="1"/>
    <col min="15373" max="15373" width="8.5703125" style="247" customWidth="1"/>
    <col min="15374" max="15374" width="1.42578125" style="247" customWidth="1"/>
    <col min="15375" max="15375" width="18" style="247" customWidth="1"/>
    <col min="15376" max="15376" width="1.42578125" style="247" customWidth="1"/>
    <col min="15377" max="15377" width="8.28515625" style="247" customWidth="1"/>
    <col min="15378" max="15378" width="1.42578125" style="247" customWidth="1"/>
    <col min="15379" max="15379" width="14.42578125" style="247" customWidth="1"/>
    <col min="15380" max="15380" width="2" style="247" customWidth="1"/>
    <col min="15381" max="15381" width="2.28515625" style="247" customWidth="1"/>
    <col min="15382" max="15382" width="0" style="247" hidden="1" customWidth="1"/>
    <col min="15383" max="15384" width="9.5703125" style="247" bestFit="1" customWidth="1"/>
    <col min="15385" max="15624" width="9.140625" style="247"/>
    <col min="15625" max="15625" width="1.5703125" style="247" customWidth="1"/>
    <col min="15626" max="15626" width="1.85546875" style="247" customWidth="1"/>
    <col min="15627" max="15627" width="32.85546875" style="247" customWidth="1"/>
    <col min="15628" max="15628" width="1.42578125" style="247" customWidth="1"/>
    <col min="15629" max="15629" width="8.5703125" style="247" customWidth="1"/>
    <col min="15630" max="15630" width="1.42578125" style="247" customWidth="1"/>
    <col min="15631" max="15631" width="18" style="247" customWidth="1"/>
    <col min="15632" max="15632" width="1.42578125" style="247" customWidth="1"/>
    <col min="15633" max="15633" width="8.28515625" style="247" customWidth="1"/>
    <col min="15634" max="15634" width="1.42578125" style="247" customWidth="1"/>
    <col min="15635" max="15635" width="14.42578125" style="247" customWidth="1"/>
    <col min="15636" max="15636" width="2" style="247" customWidth="1"/>
    <col min="15637" max="15637" width="2.28515625" style="247" customWidth="1"/>
    <col min="15638" max="15638" width="0" style="247" hidden="1" customWidth="1"/>
    <col min="15639" max="15640" width="9.5703125" style="247" bestFit="1" customWidth="1"/>
    <col min="15641" max="15880" width="9.140625" style="247"/>
    <col min="15881" max="15881" width="1.5703125" style="247" customWidth="1"/>
    <col min="15882" max="15882" width="1.85546875" style="247" customWidth="1"/>
    <col min="15883" max="15883" width="32.85546875" style="247" customWidth="1"/>
    <col min="15884" max="15884" width="1.42578125" style="247" customWidth="1"/>
    <col min="15885" max="15885" width="8.5703125" style="247" customWidth="1"/>
    <col min="15886" max="15886" width="1.42578125" style="247" customWidth="1"/>
    <col min="15887" max="15887" width="18" style="247" customWidth="1"/>
    <col min="15888" max="15888" width="1.42578125" style="247" customWidth="1"/>
    <col min="15889" max="15889" width="8.28515625" style="247" customWidth="1"/>
    <col min="15890" max="15890" width="1.42578125" style="247" customWidth="1"/>
    <col min="15891" max="15891" width="14.42578125" style="247" customWidth="1"/>
    <col min="15892" max="15892" width="2" style="247" customWidth="1"/>
    <col min="15893" max="15893" width="2.28515625" style="247" customWidth="1"/>
    <col min="15894" max="15894" width="0" style="247" hidden="1" customWidth="1"/>
    <col min="15895" max="15896" width="9.5703125" style="247" bestFit="1" customWidth="1"/>
    <col min="15897" max="16136" width="9.140625" style="247"/>
    <col min="16137" max="16137" width="1.5703125" style="247" customWidth="1"/>
    <col min="16138" max="16138" width="1.85546875" style="247" customWidth="1"/>
    <col min="16139" max="16139" width="32.85546875" style="247" customWidth="1"/>
    <col min="16140" max="16140" width="1.42578125" style="247" customWidth="1"/>
    <col min="16141" max="16141" width="8.5703125" style="247" customWidth="1"/>
    <col min="16142" max="16142" width="1.42578125" style="247" customWidth="1"/>
    <col min="16143" max="16143" width="18" style="247" customWidth="1"/>
    <col min="16144" max="16144" width="1.42578125" style="247" customWidth="1"/>
    <col min="16145" max="16145" width="8.28515625" style="247" customWidth="1"/>
    <col min="16146" max="16146" width="1.42578125" style="247" customWidth="1"/>
    <col min="16147" max="16147" width="14.42578125" style="247" customWidth="1"/>
    <col min="16148" max="16148" width="2" style="247" customWidth="1"/>
    <col min="16149" max="16149" width="2.28515625" style="247" customWidth="1"/>
    <col min="16150" max="16150" width="0" style="247" hidden="1" customWidth="1"/>
    <col min="16151" max="16152" width="9.5703125" style="247" bestFit="1" customWidth="1"/>
    <col min="16153" max="16384" width="9.140625" style="247"/>
  </cols>
  <sheetData>
    <row r="1" spans="2:21" ht="11.25" customHeight="1" x14ac:dyDescent="0.25"/>
    <row r="2" spans="2:21" ht="7.5" customHeight="1" x14ac:dyDescent="0.25">
      <c r="B2" s="248"/>
      <c r="C2" s="249"/>
      <c r="D2" s="249"/>
      <c r="E2" s="249"/>
      <c r="F2" s="249"/>
      <c r="G2" s="249"/>
      <c r="H2" s="249"/>
      <c r="I2" s="249"/>
      <c r="J2" s="249"/>
      <c r="K2" s="249"/>
      <c r="L2" s="249"/>
      <c r="M2" s="249"/>
      <c r="N2" s="249"/>
      <c r="O2" s="249"/>
      <c r="P2" s="249"/>
      <c r="Q2" s="249"/>
      <c r="R2" s="249"/>
      <c r="S2" s="250"/>
    </row>
    <row r="3" spans="2:21" ht="15" customHeight="1" x14ac:dyDescent="0.25">
      <c r="B3" s="251"/>
      <c r="C3" s="376" t="s">
        <v>452</v>
      </c>
      <c r="D3" s="376"/>
      <c r="E3" s="376"/>
      <c r="F3" s="376"/>
      <c r="G3" s="376"/>
      <c r="H3" s="376"/>
      <c r="I3" s="252"/>
      <c r="J3" s="252"/>
      <c r="K3" s="252"/>
      <c r="L3" s="252"/>
      <c r="M3" s="377" t="s">
        <v>639</v>
      </c>
      <c r="N3" s="378"/>
      <c r="O3" s="252"/>
      <c r="P3" s="252"/>
      <c r="Q3" s="252"/>
      <c r="R3" s="253"/>
      <c r="S3" s="254"/>
    </row>
    <row r="4" spans="2:21" ht="15" customHeight="1" x14ac:dyDescent="0.25">
      <c r="B4" s="251"/>
      <c r="C4" s="376"/>
      <c r="D4" s="376"/>
      <c r="E4" s="376"/>
      <c r="F4" s="376"/>
      <c r="G4" s="376"/>
      <c r="H4" s="376"/>
      <c r="I4" s="252"/>
      <c r="J4" s="252"/>
      <c r="K4" s="252"/>
      <c r="L4" s="252"/>
      <c r="M4" s="379"/>
      <c r="N4" s="380"/>
      <c r="O4" s="252"/>
      <c r="P4" s="252"/>
      <c r="Q4" s="252"/>
      <c r="R4" s="253"/>
      <c r="S4" s="254"/>
    </row>
    <row r="5" spans="2:21" ht="15" customHeight="1" x14ac:dyDescent="0.25">
      <c r="B5" s="251"/>
      <c r="C5" s="376"/>
      <c r="D5" s="376"/>
      <c r="E5" s="376"/>
      <c r="F5" s="376"/>
      <c r="G5" s="376"/>
      <c r="H5" s="376"/>
      <c r="I5" s="252"/>
      <c r="J5" s="252"/>
      <c r="K5" s="252"/>
      <c r="L5" s="252"/>
      <c r="M5" s="381"/>
      <c r="N5" s="382"/>
      <c r="O5" s="252"/>
      <c r="P5" s="252"/>
      <c r="Q5" s="252"/>
      <c r="R5" s="253"/>
      <c r="S5" s="254"/>
      <c r="U5" s="255"/>
    </row>
    <row r="6" spans="2:21" ht="9.75" customHeight="1" x14ac:dyDescent="0.25">
      <c r="B6" s="251"/>
      <c r="C6" s="256"/>
      <c r="D6" s="256"/>
      <c r="E6" s="256"/>
      <c r="F6" s="256"/>
      <c r="G6" s="256"/>
      <c r="H6" s="256"/>
      <c r="I6" s="256"/>
      <c r="J6" s="256"/>
      <c r="K6" s="256"/>
      <c r="L6" s="256"/>
      <c r="M6" s="257"/>
      <c r="N6" s="256"/>
      <c r="O6" s="256"/>
      <c r="P6" s="256"/>
      <c r="Q6" s="256"/>
      <c r="R6" s="256"/>
      <c r="S6" s="254"/>
      <c r="U6" s="258" t="s">
        <v>453</v>
      </c>
    </row>
    <row r="7" spans="2:21" ht="18.75" x14ac:dyDescent="0.3">
      <c r="B7" s="251"/>
      <c r="C7" s="259" t="s">
        <v>454</v>
      </c>
      <c r="D7" s="260"/>
      <c r="E7" s="383"/>
      <c r="F7" s="383"/>
      <c r="G7" s="383"/>
      <c r="H7" s="383"/>
      <c r="I7" s="383"/>
      <c r="J7" s="383"/>
      <c r="K7" s="383"/>
      <c r="L7" s="383"/>
      <c r="M7" s="383"/>
      <c r="N7" s="383"/>
      <c r="O7" s="256"/>
      <c r="P7" s="374" t="s">
        <v>634</v>
      </c>
      <c r="Q7" s="374"/>
      <c r="R7" s="374"/>
      <c r="S7" s="254"/>
      <c r="U7" s="261" t="s">
        <v>455</v>
      </c>
    </row>
    <row r="8" spans="2:21" x14ac:dyDescent="0.25">
      <c r="B8" s="251"/>
      <c r="C8" s="384">
        <f>PEDIDO!D4</f>
        <v>0</v>
      </c>
      <c r="D8" s="384"/>
      <c r="E8" s="384"/>
      <c r="F8" s="384"/>
      <c r="G8" s="384"/>
      <c r="H8" s="384"/>
      <c r="I8" s="384"/>
      <c r="J8" s="384"/>
      <c r="K8" s="384"/>
      <c r="L8" s="384"/>
      <c r="M8" s="384"/>
      <c r="N8" s="384"/>
      <c r="O8" s="256"/>
      <c r="R8" s="262">
        <f>PEDIDO!S3</f>
        <v>43435</v>
      </c>
      <c r="S8" s="254"/>
      <c r="U8" s="261" t="s">
        <v>456</v>
      </c>
    </row>
    <row r="9" spans="2:21" ht="5.0999999999999996" customHeight="1" x14ac:dyDescent="0.25">
      <c r="B9" s="251"/>
      <c r="C9" s="263"/>
      <c r="D9" s="263"/>
      <c r="E9" s="263"/>
      <c r="F9" s="256"/>
      <c r="G9" s="256"/>
      <c r="H9" s="256"/>
      <c r="I9" s="256"/>
      <c r="J9" s="256"/>
      <c r="K9" s="256"/>
      <c r="L9" s="256"/>
      <c r="M9" s="256"/>
      <c r="N9" s="256"/>
      <c r="O9" s="256"/>
      <c r="P9" s="256"/>
      <c r="Q9" s="256"/>
      <c r="R9" s="256"/>
      <c r="S9" s="254"/>
      <c r="U9" s="261" t="s">
        <v>457</v>
      </c>
    </row>
    <row r="10" spans="2:21" ht="15.75" x14ac:dyDescent="0.25">
      <c r="B10" s="251"/>
      <c r="C10" s="264" t="str">
        <f>"2.2. "&amp;Y50&amp;" DO CLIENTE:"</f>
        <v>2.2. CNPJ DO CLIENTE:</v>
      </c>
      <c r="D10" s="256"/>
      <c r="E10" s="264" t="s">
        <v>458</v>
      </c>
      <c r="F10" s="260"/>
      <c r="G10" s="260"/>
      <c r="H10" s="260"/>
      <c r="J10" s="265"/>
      <c r="K10" s="265"/>
      <c r="L10" s="260"/>
      <c r="M10" s="373" t="s">
        <v>459</v>
      </c>
      <c r="N10" s="373"/>
      <c r="O10" s="256"/>
      <c r="P10" s="374" t="s">
        <v>460</v>
      </c>
      <c r="Q10" s="374"/>
      <c r="R10" s="374"/>
      <c r="S10" s="254"/>
      <c r="U10" s="255"/>
    </row>
    <row r="11" spans="2:21" x14ac:dyDescent="0.25">
      <c r="B11" s="251"/>
      <c r="C11" s="266">
        <f>PEDIDO!D7</f>
        <v>1</v>
      </c>
      <c r="D11" s="256"/>
      <c r="E11" s="371">
        <f>PEDIDO!G7</f>
        <v>1</v>
      </c>
      <c r="F11" s="371"/>
      <c r="G11" s="371"/>
      <c r="H11" s="371"/>
      <c r="J11" s="267"/>
      <c r="K11" s="267"/>
      <c r="M11" s="372">
        <f>PEDIDO!L4</f>
        <v>0</v>
      </c>
      <c r="N11" s="372"/>
      <c r="O11" s="256"/>
      <c r="R11" s="268">
        <f>PEDIDO!J38</f>
        <v>0</v>
      </c>
      <c r="S11" s="254"/>
      <c r="U11" s="258" t="s">
        <v>461</v>
      </c>
    </row>
    <row r="12" spans="2:21" ht="5.0999999999999996" customHeight="1" x14ac:dyDescent="0.25">
      <c r="B12" s="251"/>
      <c r="C12" s="256"/>
      <c r="D12" s="256"/>
      <c r="E12" s="256"/>
      <c r="F12" s="256"/>
      <c r="G12" s="256"/>
      <c r="H12" s="256"/>
      <c r="I12" s="256"/>
      <c r="J12" s="256"/>
      <c r="K12" s="256"/>
      <c r="L12" s="256"/>
      <c r="M12" s="256"/>
      <c r="N12" s="256"/>
      <c r="O12" s="256"/>
      <c r="P12" s="256"/>
      <c r="Q12" s="256"/>
      <c r="R12" s="256"/>
      <c r="S12" s="254"/>
      <c r="U12" s="269" t="s">
        <v>462</v>
      </c>
    </row>
    <row r="13" spans="2:21" x14ac:dyDescent="0.25">
      <c r="B13" s="251"/>
      <c r="C13" s="264" t="s">
        <v>463</v>
      </c>
      <c r="D13" s="256"/>
      <c r="E13" s="264" t="s">
        <v>464</v>
      </c>
      <c r="F13" s="260"/>
      <c r="G13" s="260"/>
      <c r="H13" s="260"/>
      <c r="I13" s="256"/>
      <c r="J13" s="270"/>
      <c r="K13" s="270"/>
      <c r="L13" s="270"/>
      <c r="M13" s="373" t="s">
        <v>465</v>
      </c>
      <c r="N13" s="373"/>
      <c r="O13" s="256"/>
      <c r="P13" s="374" t="s">
        <v>466</v>
      </c>
      <c r="Q13" s="374"/>
      <c r="R13" s="374"/>
      <c r="S13" s="254"/>
      <c r="U13" s="269" t="s">
        <v>467</v>
      </c>
    </row>
    <row r="14" spans="2:21" x14ac:dyDescent="0.25">
      <c r="B14" s="251"/>
      <c r="C14" s="271" t="s">
        <v>455</v>
      </c>
      <c r="D14" s="256"/>
      <c r="E14" s="272" t="str">
        <f>DESTINO</f>
        <v>Revenda</v>
      </c>
      <c r="F14" s="273"/>
      <c r="G14" s="273"/>
      <c r="H14" s="273"/>
      <c r="I14" s="256"/>
      <c r="J14" s="256"/>
      <c r="K14" s="256"/>
      <c r="L14" s="256"/>
      <c r="M14" s="375" t="str">
        <f>CHOOSE(PEDIDO!Y4,'1. DADOS'!F4,'1. DADOS'!F5,'1. DADOS'!F6,'1. DADOS'!F7,'1. DADOS'!F8,'1. DADOS'!F9)</f>
        <v>Antecipado</v>
      </c>
      <c r="N14" s="375"/>
      <c r="O14" s="256"/>
      <c r="R14" s="274" t="str">
        <f>IF(PEDIDO!M4="","",PEDIDO!M4)</f>
        <v/>
      </c>
      <c r="S14" s="254"/>
      <c r="U14" s="269" t="s">
        <v>468</v>
      </c>
    </row>
    <row r="15" spans="2:21" ht="5.0999999999999996" customHeight="1" x14ac:dyDescent="0.25">
      <c r="B15" s="251"/>
      <c r="C15" s="256"/>
      <c r="D15" s="256"/>
      <c r="E15" s="256"/>
      <c r="F15" s="256"/>
      <c r="G15" s="256"/>
      <c r="H15" s="256"/>
      <c r="I15" s="256"/>
      <c r="J15" s="256"/>
      <c r="K15" s="256"/>
      <c r="L15" s="256"/>
      <c r="M15" s="256"/>
      <c r="N15" s="256"/>
      <c r="O15" s="256"/>
      <c r="P15" s="256"/>
      <c r="Q15" s="256"/>
      <c r="R15" s="256"/>
      <c r="S15" s="254"/>
      <c r="U15" s="269"/>
    </row>
    <row r="16" spans="2:21" x14ac:dyDescent="0.25">
      <c r="B16" s="251"/>
      <c r="C16" s="264" t="s">
        <v>469</v>
      </c>
      <c r="D16" s="256"/>
      <c r="E16" s="264" t="s">
        <v>635</v>
      </c>
      <c r="F16" s="260"/>
      <c r="G16" s="260"/>
      <c r="H16" s="260"/>
      <c r="I16" s="256"/>
      <c r="J16" s="270"/>
      <c r="K16" s="270"/>
      <c r="L16" s="270"/>
      <c r="M16" s="373" t="s">
        <v>636</v>
      </c>
      <c r="N16" s="373"/>
      <c r="O16" s="256"/>
      <c r="P16" s="374" t="s">
        <v>637</v>
      </c>
      <c r="Q16" s="374"/>
      <c r="R16" s="374"/>
      <c r="S16" s="254"/>
      <c r="U16" s="255"/>
    </row>
    <row r="17" spans="2:45" x14ac:dyDescent="0.25">
      <c r="B17" s="251"/>
      <c r="C17" s="275" t="s">
        <v>470</v>
      </c>
      <c r="D17" s="256"/>
      <c r="E17" s="368" t="str">
        <f>CHOOSE(PEDIDO!$AB$7,PEDIDO!$AA$4,PEDIDO!$AA$5,PEDIDO!$AA$6)</f>
        <v>FOB (Coleta na fábrica)</v>
      </c>
      <c r="F17" s="368"/>
      <c r="G17" s="368"/>
      <c r="H17" s="368"/>
      <c r="I17" s="256"/>
      <c r="J17" s="256"/>
      <c r="K17" s="256"/>
      <c r="L17" s="256"/>
      <c r="M17" s="369" t="str">
        <f>PEDIDO!$S$9</f>
        <v>BA</v>
      </c>
      <c r="N17" s="369"/>
      <c r="O17" s="276"/>
      <c r="P17" s="277" t="str">
        <f>CIDADE</f>
        <v>Salvador</v>
      </c>
      <c r="Q17" s="273"/>
      <c r="R17" s="273"/>
      <c r="S17" s="254"/>
    </row>
    <row r="18" spans="2:45" ht="5.0999999999999996" customHeight="1" x14ac:dyDescent="0.25">
      <c r="B18" s="251"/>
      <c r="C18" s="256"/>
      <c r="D18" s="256"/>
      <c r="E18" s="256"/>
      <c r="F18" s="256"/>
      <c r="G18" s="256"/>
      <c r="H18" s="256"/>
      <c r="I18" s="256"/>
      <c r="J18" s="256"/>
      <c r="K18" s="256"/>
      <c r="L18" s="256"/>
      <c r="M18" s="256"/>
      <c r="N18" s="256"/>
      <c r="O18" s="256"/>
      <c r="P18" s="256"/>
      <c r="Q18" s="256"/>
      <c r="R18" s="256"/>
      <c r="S18" s="254"/>
      <c r="U18" s="258" t="s">
        <v>471</v>
      </c>
    </row>
    <row r="19" spans="2:45" x14ac:dyDescent="0.25">
      <c r="B19" s="251"/>
      <c r="C19" s="264" t="s">
        <v>472</v>
      </c>
      <c r="D19" s="264"/>
      <c r="E19" s="264"/>
      <c r="F19" s="264"/>
      <c r="G19" s="264"/>
      <c r="H19" s="264"/>
      <c r="I19" s="264"/>
      <c r="J19" s="264"/>
      <c r="K19" s="264"/>
      <c r="L19" s="264"/>
      <c r="M19" s="264"/>
      <c r="N19" s="264"/>
      <c r="O19" s="264"/>
      <c r="P19" s="264"/>
      <c r="Q19" s="264"/>
      <c r="R19" s="264"/>
      <c r="S19" s="254"/>
      <c r="U19" s="261" t="s">
        <v>473</v>
      </c>
      <c r="AN19" s="278"/>
      <c r="AP19" s="278"/>
    </row>
    <row r="20" spans="2:45" x14ac:dyDescent="0.25">
      <c r="B20" s="251"/>
      <c r="C20" s="279"/>
      <c r="D20" s="279"/>
      <c r="E20" s="279"/>
      <c r="F20" s="279"/>
      <c r="G20" s="279"/>
      <c r="H20" s="279"/>
      <c r="I20" s="279"/>
      <c r="J20" s="279"/>
      <c r="K20" s="279"/>
      <c r="L20" s="279"/>
      <c r="M20" s="279"/>
      <c r="N20" s="279"/>
      <c r="O20" s="279"/>
      <c r="P20" s="279"/>
      <c r="Q20" s="279"/>
      <c r="R20" s="279"/>
      <c r="S20" s="254"/>
      <c r="U20" s="261" t="s">
        <v>474</v>
      </c>
      <c r="AM20" s="280"/>
      <c r="AN20" s="280"/>
      <c r="AO20" s="280"/>
      <c r="AP20" s="280"/>
      <c r="AQ20" s="280"/>
      <c r="AR20" s="280"/>
      <c r="AS20" s="280"/>
    </row>
    <row r="21" spans="2:45" ht="6.75" customHeight="1" x14ac:dyDescent="0.25">
      <c r="B21" s="251"/>
      <c r="C21" s="256"/>
      <c r="D21" s="256"/>
      <c r="E21" s="256"/>
      <c r="F21" s="256"/>
      <c r="G21" s="256"/>
      <c r="H21" s="256"/>
      <c r="I21" s="256"/>
      <c r="J21" s="256"/>
      <c r="K21" s="256"/>
      <c r="L21" s="256"/>
      <c r="M21" s="256"/>
      <c r="N21" s="256"/>
      <c r="O21" s="256"/>
      <c r="P21" s="256"/>
      <c r="Q21" s="256"/>
      <c r="R21" s="256"/>
      <c r="S21" s="254"/>
      <c r="AL21" s="280"/>
      <c r="AM21" s="280"/>
      <c r="AN21" s="280"/>
      <c r="AO21" s="280"/>
      <c r="AP21" s="280"/>
      <c r="AQ21" s="280"/>
      <c r="AR21" s="280"/>
      <c r="AS21" s="280"/>
    </row>
    <row r="22" spans="2:45" ht="20.25" customHeight="1" x14ac:dyDescent="0.3">
      <c r="B22" s="251"/>
      <c r="C22" s="281" t="s">
        <v>475</v>
      </c>
      <c r="D22" s="281"/>
      <c r="E22" s="281"/>
      <c r="F22" s="281"/>
      <c r="G22" s="281"/>
      <c r="H22" s="281"/>
      <c r="I22" s="281"/>
      <c r="J22" s="281"/>
      <c r="K22" s="281"/>
      <c r="L22" s="281"/>
      <c r="M22" s="281"/>
      <c r="N22" s="281"/>
      <c r="O22" s="281"/>
      <c r="P22" s="281"/>
      <c r="Q22" s="281"/>
      <c r="R22" s="281"/>
      <c r="S22" s="254"/>
    </row>
    <row r="23" spans="2:45" s="285" customFormat="1" ht="4.5" customHeight="1" x14ac:dyDescent="0.3">
      <c r="B23" s="282"/>
      <c r="C23" s="283"/>
      <c r="D23" s="283"/>
      <c r="E23" s="283"/>
      <c r="F23" s="283"/>
      <c r="G23" s="283"/>
      <c r="H23" s="283"/>
      <c r="I23" s="283"/>
      <c r="J23" s="283"/>
      <c r="K23" s="283"/>
      <c r="L23" s="283"/>
      <c r="M23" s="283"/>
      <c r="N23" s="283"/>
      <c r="O23" s="283"/>
      <c r="P23" s="283"/>
      <c r="Q23" s="283"/>
      <c r="R23" s="283"/>
      <c r="S23" s="284"/>
    </row>
    <row r="24" spans="2:45" ht="25.5" x14ac:dyDescent="0.25">
      <c r="B24" s="251"/>
      <c r="C24" s="286" t="s">
        <v>312</v>
      </c>
      <c r="D24" s="287"/>
      <c r="E24" s="288" t="s">
        <v>476</v>
      </c>
      <c r="F24" s="287"/>
      <c r="G24" s="332" t="s">
        <v>509</v>
      </c>
      <c r="H24" s="332" t="s">
        <v>510</v>
      </c>
      <c r="I24" s="287"/>
      <c r="J24" s="330" t="s">
        <v>477</v>
      </c>
      <c r="K24" s="330" t="s">
        <v>478</v>
      </c>
      <c r="L24" s="330" t="s">
        <v>479</v>
      </c>
      <c r="M24" s="288" t="s">
        <v>633</v>
      </c>
      <c r="N24" s="289" t="s">
        <v>480</v>
      </c>
      <c r="O24" s="256"/>
      <c r="P24" s="289" t="s">
        <v>437</v>
      </c>
      <c r="Q24" s="256"/>
      <c r="R24" s="289" t="s">
        <v>481</v>
      </c>
      <c r="S24" s="254"/>
    </row>
    <row r="25" spans="2:45" s="299" customFormat="1" ht="43.5" customHeight="1" x14ac:dyDescent="0.25">
      <c r="B25" s="290"/>
      <c r="C25" s="291" t="s">
        <v>290</v>
      </c>
      <c r="D25" s="292"/>
      <c r="E25" s="293"/>
      <c r="F25" s="292"/>
      <c r="G25" s="294"/>
      <c r="H25" s="295"/>
      <c r="I25" s="292"/>
      <c r="J25" s="295"/>
      <c r="K25" s="295"/>
      <c r="L25" s="295"/>
      <c r="M25" s="296"/>
      <c r="N25" s="295"/>
      <c r="O25" s="256"/>
      <c r="P25" s="297"/>
      <c r="Q25" s="256"/>
      <c r="R25" s="296"/>
      <c r="S25" s="298"/>
    </row>
    <row r="26" spans="2:45" s="299" customFormat="1" ht="14.25" customHeight="1" x14ac:dyDescent="0.25">
      <c r="B26" s="290"/>
      <c r="C26" s="300" t="str">
        <f>PEDIDO!C17</f>
        <v>PRATT HIPOCLORITO 1% (caixa 4 x 5L)</v>
      </c>
      <c r="D26" s="292"/>
      <c r="E26" s="293">
        <f>'1. DADOS'!B22</f>
        <v>381199</v>
      </c>
      <c r="F26" s="292"/>
      <c r="G26" s="294">
        <f>PEDIDO!$D17*4</f>
        <v>0</v>
      </c>
      <c r="H26" s="295">
        <f t="shared" ref="H26:H34" si="0">ROUND(IF(G26=0,0,M26/G26),2)</f>
        <v>0</v>
      </c>
      <c r="I26" s="292"/>
      <c r="J26" s="295" t="e">
        <f>IF(AND(DESTINO="Cliente Final",E11=0),K26,PEDIDO!D17*PEDIDO!G17)</f>
        <v>#VALUE!</v>
      </c>
      <c r="K26" s="295" t="e">
        <f ca="1">_xlfn.IFS(AND(DESTINO="Cliente Final",IE=""),PEDIDO!BH17,AND(DESTINO="Cliente Final",IE&lt;&gt;""),PEDIDO!BD17,DESTINO="Revenda",PEDIDO!AX17)</f>
        <v>#NAME?</v>
      </c>
      <c r="L26" s="295" t="e">
        <f>IF(DESTINO="Revenda",PEDIDO!AY17,IF(IE="",PEDIDO!BI17,PEDIDO!BE17))</f>
        <v>#VALUE!</v>
      </c>
      <c r="M26" s="296" t="e">
        <f>IF(DESTINO="Revenda",PEDIDO!AX17,IF(IE="",PEDIDO!BH17,PEDIDO!BD17))</f>
        <v>#VALUE!</v>
      </c>
      <c r="N26" s="295" t="e">
        <f>IF(DESTINO="Revenda",PEDIDO!AZ17,IF(IE="",PEDIDO!BJ17,PEDIDO!BF17))</f>
        <v>#VALUE!</v>
      </c>
      <c r="O26" s="256"/>
      <c r="P26" s="297">
        <f>IF(DESTINO="Revenda",PEDIDO!BB17,0)</f>
        <v>0</v>
      </c>
      <c r="Q26" s="256"/>
      <c r="R26" s="296" t="str">
        <f>IFERROR(IF($C$14="BONIFICAÇÃO",0,M26+P26),"")</f>
        <v/>
      </c>
      <c r="S26" s="298"/>
    </row>
    <row r="27" spans="2:45" s="299" customFormat="1" ht="43.5" customHeight="1" x14ac:dyDescent="0.25">
      <c r="B27" s="290"/>
      <c r="C27" s="291" t="s">
        <v>291</v>
      </c>
      <c r="D27" s="292"/>
      <c r="E27" s="293"/>
      <c r="F27" s="292"/>
      <c r="G27" s="294"/>
      <c r="H27" s="295"/>
      <c r="I27" s="292"/>
      <c r="J27" s="295"/>
      <c r="K27" s="295"/>
      <c r="L27" s="295"/>
      <c r="M27" s="296"/>
      <c r="N27" s="295"/>
      <c r="O27" s="256"/>
      <c r="P27" s="297"/>
      <c r="Q27" s="256"/>
      <c r="R27" s="296"/>
      <c r="S27" s="298"/>
    </row>
    <row r="28" spans="2:45" s="299" customFormat="1" ht="14.25" customHeight="1" x14ac:dyDescent="0.25">
      <c r="B28" s="290"/>
      <c r="C28" s="300" t="str">
        <f>PEDIDO!C19</f>
        <v>PRATT CLOR 2% (caixa 4 x 5L)</v>
      </c>
      <c r="D28" s="292"/>
      <c r="E28" s="293">
        <f>'1. DADOS'!B24</f>
        <v>381193</v>
      </c>
      <c r="F28" s="292"/>
      <c r="G28" s="294">
        <f>PEDIDO!$D19*4</f>
        <v>0</v>
      </c>
      <c r="H28" s="295">
        <f t="shared" si="0"/>
        <v>0</v>
      </c>
      <c r="I28" s="292"/>
      <c r="J28" s="295" t="e">
        <f>IF(AND(DESTINO="Cliente Final",E13=0),K28,PEDIDO!D19*PEDIDO!G19)</f>
        <v>#VALUE!</v>
      </c>
      <c r="K28" s="295" t="e">
        <f ca="1">_xlfn.IFS(AND(DESTINO="Cliente Final",IE=""),PEDIDO!BH19,AND(DESTINO="Cliente Final",IE&lt;&gt;""),PEDIDO!BD19,DESTINO="Revenda",PEDIDO!AX19)</f>
        <v>#NAME?</v>
      </c>
      <c r="L28" s="295" t="e">
        <f>IF(DESTINO="Revenda",PEDIDO!AY19,IF(IE="",PEDIDO!BI19,PEDIDO!BE19))</f>
        <v>#VALUE!</v>
      </c>
      <c r="M28" s="296" t="e">
        <f>IF(DESTINO="Revenda",PEDIDO!AX19,IF(IE="",PEDIDO!BH19,PEDIDO!BD19))</f>
        <v>#VALUE!</v>
      </c>
      <c r="N28" s="295" t="e">
        <f>IF(DESTINO="Revenda",PEDIDO!AZ19,IF(IE="",PEDIDO!BJ19,PEDIDO!BF19))</f>
        <v>#VALUE!</v>
      </c>
      <c r="O28" s="256"/>
      <c r="P28" s="297">
        <f>IF(DESTINO="Revenda",PEDIDO!BB19,0)</f>
        <v>0</v>
      </c>
      <c r="Q28" s="256"/>
      <c r="R28" s="296" t="str">
        <f>IFERROR(IF($C$14="BONIFICAÇÃO",0,M28+P28),"")</f>
        <v/>
      </c>
      <c r="S28" s="298"/>
    </row>
    <row r="29" spans="2:45" s="299" customFormat="1" ht="14.25" customHeight="1" x14ac:dyDescent="0.25">
      <c r="B29" s="290"/>
      <c r="C29" s="300" t="str">
        <f>PEDIDO!C20</f>
        <v>PRATT ULTRA (caixa 4 x 5L)</v>
      </c>
      <c r="D29" s="292"/>
      <c r="E29" s="293">
        <f>'1. DADOS'!B25</f>
        <v>341315</v>
      </c>
      <c r="F29" s="292"/>
      <c r="G29" s="294">
        <f>PEDIDO!$D20*4</f>
        <v>0</v>
      </c>
      <c r="H29" s="295">
        <f t="shared" si="0"/>
        <v>0</v>
      </c>
      <c r="I29" s="292"/>
      <c r="J29" s="295" t="e">
        <f>IF(AND(DESTINO="Cliente Final",E14=0),K29,PEDIDO!D20*PEDIDO!G20)</f>
        <v>#VALUE!</v>
      </c>
      <c r="K29" s="295" t="e">
        <f ca="1">_xlfn.IFS(AND(DESTINO="Cliente Final",IE=""),PEDIDO!BH20,AND(DESTINO="Cliente Final",IE&lt;&gt;""),PEDIDO!BD20,DESTINO="Revenda",PEDIDO!AX20)</f>
        <v>#NAME?</v>
      </c>
      <c r="L29" s="295" t="e">
        <f>IF(DESTINO="Revenda",PEDIDO!AY20,IF(IE="",PEDIDO!BI20,PEDIDO!BE20))</f>
        <v>#VALUE!</v>
      </c>
      <c r="M29" s="296" t="e">
        <f>IF(DESTINO="Revenda",PEDIDO!AX20,IF(IE="",PEDIDO!BH20,PEDIDO!BD20))</f>
        <v>#VALUE!</v>
      </c>
      <c r="N29" s="295" t="e">
        <f>IF(DESTINO="Revenda",PEDIDO!AZ20,IF(IE="",PEDIDO!BJ20,PEDIDO!BF20))</f>
        <v>#VALUE!</v>
      </c>
      <c r="O29" s="256"/>
      <c r="P29" s="297">
        <f>IF(DESTINO="Revenda",PEDIDO!BB20,0)</f>
        <v>0</v>
      </c>
      <c r="Q29" s="256"/>
      <c r="R29" s="296" t="str">
        <f t="shared" ref="R29:R38" si="1">IFERROR(IF($C$14="BONIFICAÇÃO",0,M29+P29),"")</f>
        <v/>
      </c>
      <c r="S29" s="298"/>
    </row>
    <row r="30" spans="2:45" s="299" customFormat="1" ht="14.25" hidden="1" customHeight="1" x14ac:dyDescent="0.25">
      <c r="B30" s="290"/>
      <c r="C30" s="300" t="str">
        <f>PEDIDO!C21</f>
        <v>PRATT ULTRA (caixa 12 x 1L)</v>
      </c>
      <c r="D30" s="292"/>
      <c r="E30" s="293">
        <f>'1. DADOS'!B26</f>
        <v>0</v>
      </c>
      <c r="F30" s="292"/>
      <c r="G30" s="294">
        <f>PEDIDO!$D21*12</f>
        <v>0</v>
      </c>
      <c r="H30" s="295">
        <f>ROUND(IF(G30=0,0,M30/G30),2)</f>
        <v>0</v>
      </c>
      <c r="I30" s="292"/>
      <c r="J30" s="295" t="e">
        <f>IF(AND(DESTINO="Cliente Final",E15=0),K30,PEDIDO!D21*PEDIDO!G21)</f>
        <v>#VALUE!</v>
      </c>
      <c r="K30" s="295" t="e">
        <f ca="1">_xlfn.IFS(AND(DESTINO="Cliente Final",IE=""),PEDIDO!BH21,AND(DESTINO="Cliente Final",IE&lt;&gt;""),PEDIDO!BD21,DESTINO="Revenda",PEDIDO!AX21)</f>
        <v>#NAME?</v>
      </c>
      <c r="L30" s="295" t="e">
        <f>IF(DESTINO="Revenda",PEDIDO!AY21,IF(IE="",PEDIDO!BI21,PEDIDO!BE21))</f>
        <v>#VALUE!</v>
      </c>
      <c r="M30" s="296" t="e">
        <f>IF(DESTINO="Revenda",PEDIDO!AX21,IF(IE="",PEDIDO!BH21,PEDIDO!BD21))</f>
        <v>#VALUE!</v>
      </c>
      <c r="N30" s="295" t="e">
        <f>IF(DESTINO="Revenda",PEDIDO!AZ21,IF(IE="",PEDIDO!BJ21,PEDIDO!BF21))</f>
        <v>#VALUE!</v>
      </c>
      <c r="O30" s="256"/>
      <c r="P30" s="297">
        <f>IF(DESTINO="Revenda",PEDIDO!BB21,0)</f>
        <v>0</v>
      </c>
      <c r="Q30" s="256"/>
      <c r="R30" s="296" t="str">
        <f>IFERROR(IF($C$14="BONIFICAÇÃO",0,M30+P30),"")</f>
        <v/>
      </c>
      <c r="S30" s="298"/>
    </row>
    <row r="31" spans="2:45" s="299" customFormat="1" ht="14.25" customHeight="1" x14ac:dyDescent="0.25">
      <c r="B31" s="290"/>
      <c r="C31" s="300" t="str">
        <f>PEDIDO!C22</f>
        <v>PRATT DETERGENTE NEUTRO (caixa 4 x 5L)</v>
      </c>
      <c r="D31" s="292"/>
      <c r="E31" s="293">
        <f>'1. DADOS'!B27</f>
        <v>341210</v>
      </c>
      <c r="F31" s="292"/>
      <c r="G31" s="294">
        <f>PEDIDO!$D22*4</f>
        <v>0</v>
      </c>
      <c r="H31" s="295">
        <f t="shared" si="0"/>
        <v>0</v>
      </c>
      <c r="I31" s="292"/>
      <c r="J31" s="295" t="e">
        <f>IF(AND(DESTINO="Cliente Final",E15=0),K31,PEDIDO!D22*PEDIDO!G22)</f>
        <v>#VALUE!</v>
      </c>
      <c r="K31" s="295" t="e">
        <f ca="1">_xlfn.IFS(AND(DESTINO="Cliente Final",IE=""),PEDIDO!BH22,AND(DESTINO="Cliente Final",IE&lt;&gt;""),PEDIDO!BD22,DESTINO="Revenda",PEDIDO!AX22)</f>
        <v>#NAME?</v>
      </c>
      <c r="L31" s="295" t="e">
        <f>IF(DESTINO="Revenda",PEDIDO!AY22,IF(IE="",PEDIDO!BI22,PEDIDO!BE22))</f>
        <v>#VALUE!</v>
      </c>
      <c r="M31" s="296" t="e">
        <f>IF(DESTINO="Revenda",PEDIDO!AX22,IF(IE="",PEDIDO!BH22,PEDIDO!BD22))</f>
        <v>#VALUE!</v>
      </c>
      <c r="N31" s="295" t="e">
        <f>IF(DESTINO="Revenda",PEDIDO!AZ22,IF(IE="",PEDIDO!BJ22,PEDIDO!BF22))</f>
        <v>#VALUE!</v>
      </c>
      <c r="O31" s="256"/>
      <c r="P31" s="297">
        <f>IF(DESTINO="Revenda",PEDIDO!BB22,0)</f>
        <v>0</v>
      </c>
      <c r="Q31" s="256"/>
      <c r="R31" s="296" t="str">
        <f t="shared" si="1"/>
        <v/>
      </c>
      <c r="S31" s="298"/>
    </row>
    <row r="32" spans="2:45" s="299" customFormat="1" ht="14.25" customHeight="1" x14ac:dyDescent="0.25">
      <c r="B32" s="290"/>
      <c r="C32" s="300" t="str">
        <f>PEDIDO!C23</f>
        <v>PRATT DESINFETANTE FLORAL (caixa 4 x 5L)</v>
      </c>
      <c r="D32" s="292"/>
      <c r="E32" s="293">
        <f>'1. DADOS'!B28</f>
        <v>381197</v>
      </c>
      <c r="F32" s="292"/>
      <c r="G32" s="294">
        <f>PEDIDO!$D23*4</f>
        <v>0</v>
      </c>
      <c r="H32" s="295">
        <f t="shared" si="0"/>
        <v>0</v>
      </c>
      <c r="I32" s="292"/>
      <c r="J32" s="295" t="e">
        <f>IF(AND(DESTINO="Cliente Final",E16=0),K32,PEDIDO!D23*PEDIDO!G23)</f>
        <v>#VALUE!</v>
      </c>
      <c r="K32" s="295" t="e">
        <f ca="1">_xlfn.IFS(AND(DESTINO="Cliente Final",IE=""),PEDIDO!BH23,AND(DESTINO="Cliente Final",IE&lt;&gt;""),PEDIDO!BD23,DESTINO="Revenda",PEDIDO!AX23)</f>
        <v>#NAME?</v>
      </c>
      <c r="L32" s="295" t="e">
        <f>IF(DESTINO="Revenda",PEDIDO!AY23,IF(IE="",PEDIDO!BI23,PEDIDO!BE23))</f>
        <v>#VALUE!</v>
      </c>
      <c r="M32" s="296" t="e">
        <f>IF(DESTINO="Revenda",PEDIDO!AX23,IF(IE="",PEDIDO!BH23,PEDIDO!BD23))</f>
        <v>#VALUE!</v>
      </c>
      <c r="N32" s="295" t="e">
        <f>IF(DESTINO="Revenda",PEDIDO!AZ23,IF(IE="",PEDIDO!BJ23,PEDIDO!BF23))</f>
        <v>#VALUE!</v>
      </c>
      <c r="O32" s="256"/>
      <c r="P32" s="297">
        <f>IF(DESTINO="Revenda",PEDIDO!BB23,0)</f>
        <v>0</v>
      </c>
      <c r="Q32" s="256"/>
      <c r="R32" s="296" t="str">
        <f t="shared" si="1"/>
        <v/>
      </c>
      <c r="S32" s="298"/>
    </row>
    <row r="33" spans="2:22" s="299" customFormat="1" ht="14.25" customHeight="1" x14ac:dyDescent="0.25">
      <c r="B33" s="290"/>
      <c r="C33" s="300" t="str">
        <f>PEDIDO!C24</f>
        <v>PRATT DESINFETANTE LAVANDA (caixa 4 x 5L)</v>
      </c>
      <c r="D33" s="292"/>
      <c r="E33" s="293">
        <f>'1. DADOS'!B29</f>
        <v>381322</v>
      </c>
      <c r="F33" s="292"/>
      <c r="G33" s="294">
        <f>PEDIDO!$D24*4</f>
        <v>0</v>
      </c>
      <c r="H33" s="295">
        <f t="shared" si="0"/>
        <v>0</v>
      </c>
      <c r="I33" s="292"/>
      <c r="J33" s="295" t="e">
        <f>IF(AND(DESTINO="Cliente Final",E17=0),K33,PEDIDO!D24*PEDIDO!G24)</f>
        <v>#VALUE!</v>
      </c>
      <c r="K33" s="295" t="e">
        <f ca="1">_xlfn.IFS(AND(DESTINO="Cliente Final",IE=""),PEDIDO!BH24,AND(DESTINO="Cliente Final",IE&lt;&gt;""),PEDIDO!BD24,DESTINO="Revenda",PEDIDO!AX24)</f>
        <v>#NAME?</v>
      </c>
      <c r="L33" s="295" t="e">
        <f>IF(DESTINO="Revenda",PEDIDO!AY24,IF(IE="",PEDIDO!BI24,PEDIDO!BE24))</f>
        <v>#VALUE!</v>
      </c>
      <c r="M33" s="296" t="e">
        <f>IF(DESTINO="Revenda",PEDIDO!AX24,IF(IE="",PEDIDO!BH24,PEDIDO!BD24))</f>
        <v>#VALUE!</v>
      </c>
      <c r="N33" s="295" t="e">
        <f>IF(DESTINO="Revenda",PEDIDO!AZ24,IF(IE="",PEDIDO!BJ24,PEDIDO!BF24))</f>
        <v>#VALUE!</v>
      </c>
      <c r="O33" s="256"/>
      <c r="P33" s="297">
        <f>IF(DESTINO="Revenda",PEDIDO!BB24,0)</f>
        <v>0</v>
      </c>
      <c r="Q33" s="256"/>
      <c r="R33" s="296" t="str">
        <f t="shared" si="1"/>
        <v/>
      </c>
      <c r="S33" s="298"/>
    </row>
    <row r="34" spans="2:22" s="299" customFormat="1" ht="14.25" customHeight="1" x14ac:dyDescent="0.25">
      <c r="B34" s="290"/>
      <c r="C34" s="300" t="str">
        <f>PEDIDO!C25</f>
        <v>PRATT DESINFETANTE CITRONELA (caixa 4 x 5L)</v>
      </c>
      <c r="D34" s="292"/>
      <c r="E34" s="293">
        <f>'1. DADOS'!B30</f>
        <v>381195</v>
      </c>
      <c r="F34" s="292"/>
      <c r="G34" s="294">
        <f>PEDIDO!$D25*4</f>
        <v>0</v>
      </c>
      <c r="H34" s="295">
        <f t="shared" si="0"/>
        <v>0</v>
      </c>
      <c r="I34" s="292"/>
      <c r="J34" s="295" t="e">
        <f>IF(AND(DESTINO="Cliente Final",E18=0),K34,PEDIDO!D25*PEDIDO!G25)</f>
        <v>#VALUE!</v>
      </c>
      <c r="K34" s="295" t="e">
        <f ca="1">_xlfn.IFS(AND(DESTINO="Cliente Final",IE=""),PEDIDO!BH25,AND(DESTINO="Cliente Final",IE&lt;&gt;""),PEDIDO!BD25,DESTINO="Revenda",PEDIDO!AX25)</f>
        <v>#NAME?</v>
      </c>
      <c r="L34" s="295" t="e">
        <f>IF(DESTINO="Revenda",PEDIDO!AY25,IF(IE="",PEDIDO!BI25,PEDIDO!BE25))</f>
        <v>#VALUE!</v>
      </c>
      <c r="M34" s="296" t="e">
        <f>IF(DESTINO="Revenda",PEDIDO!AX25,IF(IE="",PEDIDO!BH25,PEDIDO!BD25))</f>
        <v>#VALUE!</v>
      </c>
      <c r="N34" s="295" t="e">
        <f>IF(DESTINO="Revenda",PEDIDO!AZ25,IF(IE="",PEDIDO!BJ25,PEDIDO!BF25))</f>
        <v>#VALUE!</v>
      </c>
      <c r="O34" s="256"/>
      <c r="P34" s="297">
        <f>IF(DESTINO="Revenda",PEDIDO!BB25,0)</f>
        <v>0</v>
      </c>
      <c r="Q34" s="256"/>
      <c r="R34" s="296" t="str">
        <f t="shared" si="1"/>
        <v/>
      </c>
      <c r="S34" s="298"/>
    </row>
    <row r="35" spans="2:22" s="299" customFormat="1" ht="43.5" customHeight="1" x14ac:dyDescent="0.25">
      <c r="B35" s="290"/>
      <c r="C35" s="291" t="str">
        <f>PEDIDO!C26</f>
        <v>LINHA DE HIGIENE PESSOAL</v>
      </c>
      <c r="D35" s="292"/>
      <c r="E35" s="293"/>
      <c r="F35" s="292"/>
      <c r="G35" s="294"/>
      <c r="H35" s="295"/>
      <c r="I35" s="292"/>
      <c r="J35" s="295"/>
      <c r="K35" s="295"/>
      <c r="L35" s="295"/>
      <c r="M35" s="296"/>
      <c r="N35" s="295"/>
      <c r="O35" s="256"/>
      <c r="P35" s="297"/>
      <c r="Q35" s="256"/>
      <c r="R35" s="296"/>
      <c r="S35" s="298"/>
    </row>
    <row r="36" spans="2:22" s="299" customFormat="1" ht="14.25" customHeight="1" x14ac:dyDescent="0.25">
      <c r="B36" s="290"/>
      <c r="C36" s="300" t="str">
        <f>PEDIDO!C27</f>
        <v>LETAHGEL (caixa 6 x 0,8L)</v>
      </c>
      <c r="D36" s="292"/>
      <c r="E36" s="293">
        <f>'1. DADOS'!B32</f>
        <v>380454</v>
      </c>
      <c r="F36" s="292"/>
      <c r="G36" s="294">
        <f>PEDIDO!$D27*6</f>
        <v>0</v>
      </c>
      <c r="H36" s="295">
        <f>ROUND(IF(G36=0,0,M36/G36),2)</f>
        <v>0</v>
      </c>
      <c r="I36" s="292"/>
      <c r="J36" s="295" t="e">
        <f>IF(AND(DESTINO="Cliente Final",E20=0),K36,PEDIDO!D27*PEDIDO!G27)</f>
        <v>#VALUE!</v>
      </c>
      <c r="K36" s="295" t="e">
        <f ca="1">_xlfn.IFS(AND(DESTINO="Cliente Final",IE=""),PEDIDO!BH27,AND(DESTINO="Cliente Final",IE&lt;&gt;""),PEDIDO!BD27,DESTINO="Revenda",PEDIDO!AX27)</f>
        <v>#NAME?</v>
      </c>
      <c r="L36" s="295" t="e">
        <f>IF(DESTINO="Revenda",PEDIDO!AY27,IF(IE="",PEDIDO!BI27,PEDIDO!BE27))</f>
        <v>#VALUE!</v>
      </c>
      <c r="M36" s="296" t="e">
        <f>IF(DESTINO="Revenda",PEDIDO!AX27,IF(IE="",PEDIDO!BH27,PEDIDO!BD27))</f>
        <v>#VALUE!</v>
      </c>
      <c r="N36" s="295" t="e">
        <f>IF(DESTINO="Revenda",PEDIDO!AZ27,IF(IE="",PEDIDO!BJ27,PEDIDO!BF27))</f>
        <v>#VALUE!</v>
      </c>
      <c r="O36" s="256"/>
      <c r="P36" s="297">
        <f>IF(DESTINO="Revenda",PEDIDO!BB27,0)</f>
        <v>0</v>
      </c>
      <c r="Q36" s="256"/>
      <c r="R36" s="296" t="str">
        <f t="shared" si="1"/>
        <v/>
      </c>
      <c r="S36" s="298"/>
    </row>
    <row r="37" spans="2:22" s="299" customFormat="1" ht="14.25" customHeight="1" x14ac:dyDescent="0.25">
      <c r="B37" s="290"/>
      <c r="C37" s="300" t="str">
        <f>PEDIDO!C28</f>
        <v>LETAHGEL (caixa 4 x 5L)</v>
      </c>
      <c r="D37" s="292"/>
      <c r="E37" s="293">
        <f>'1. DADOS'!B33</f>
        <v>380451</v>
      </c>
      <c r="F37" s="292"/>
      <c r="G37" s="294">
        <f>PEDIDO!$D28*4</f>
        <v>0</v>
      </c>
      <c r="H37" s="295">
        <f>ROUND(IF(G37=0,0,M37/G37),2)</f>
        <v>0</v>
      </c>
      <c r="I37" s="292"/>
      <c r="J37" s="295" t="e">
        <f>IF(AND(DESTINO="Cliente Final",E21=0),K37,PEDIDO!D28*PEDIDO!G28)</f>
        <v>#VALUE!</v>
      </c>
      <c r="K37" s="295" t="e">
        <f ca="1">_xlfn.IFS(AND(DESTINO="Cliente Final",IE=""),PEDIDO!BH28,AND(DESTINO="Cliente Final",IE&lt;&gt;""),PEDIDO!BD28,DESTINO="Revenda",PEDIDO!AX28)</f>
        <v>#NAME?</v>
      </c>
      <c r="L37" s="295" t="e">
        <f>IF(DESTINO="Revenda",PEDIDO!AY28,IF(IE="",PEDIDO!BI28,PEDIDO!BE28))</f>
        <v>#VALUE!</v>
      </c>
      <c r="M37" s="296" t="e">
        <f>IF(DESTINO="Revenda",PEDIDO!AX28,IF(IE="",PEDIDO!BH28,PEDIDO!BD28))</f>
        <v>#VALUE!</v>
      </c>
      <c r="N37" s="295" t="e">
        <f>IF(DESTINO="Revenda",PEDIDO!AZ28,IF(IE="",PEDIDO!BJ28,PEDIDO!BF28))</f>
        <v>#VALUE!</v>
      </c>
      <c r="O37" s="256"/>
      <c r="P37" s="297">
        <f>IF(DESTINO="Revenda",PEDIDO!BB28,0)</f>
        <v>0</v>
      </c>
      <c r="Q37" s="256"/>
      <c r="R37" s="296" t="str">
        <f t="shared" si="1"/>
        <v/>
      </c>
      <c r="S37" s="298"/>
    </row>
    <row r="38" spans="2:22" s="299" customFormat="1" x14ac:dyDescent="0.25">
      <c r="B38" s="290"/>
      <c r="C38" s="300" t="str">
        <f>PEDIDO!C29</f>
        <v>PRATT SABONETE ERVA DOCE (caixa 4 x 5L)</v>
      </c>
      <c r="D38" s="292"/>
      <c r="E38" s="293">
        <f>'1. DADOS'!B34</f>
        <v>341215</v>
      </c>
      <c r="F38" s="292"/>
      <c r="G38" s="294">
        <f>PEDIDO!$D29*4</f>
        <v>0</v>
      </c>
      <c r="H38" s="295">
        <f>ROUND(IF(G38=0,0,M38/G38),2)</f>
        <v>0</v>
      </c>
      <c r="I38" s="292"/>
      <c r="J38" s="295" t="e">
        <f>IF(AND(DESTINO="Cliente Final",E22=0),K38,PEDIDO!D29*PEDIDO!G29)</f>
        <v>#VALUE!</v>
      </c>
      <c r="K38" s="295" t="e">
        <f ca="1">_xlfn.IFS(AND(DESTINO="Cliente Final",IE=""),PEDIDO!BH29,AND(DESTINO="Cliente Final",IE&lt;&gt;""),PEDIDO!BD29,DESTINO="Revenda",PEDIDO!AX29)</f>
        <v>#NAME?</v>
      </c>
      <c r="L38" s="295" t="e">
        <f>IF(DESTINO="Revenda",PEDIDO!AY29,IF(IE="",PEDIDO!BI29,PEDIDO!BE29))</f>
        <v>#VALUE!</v>
      </c>
      <c r="M38" s="296" t="e">
        <f>IF(DESTINO="Revenda",PEDIDO!AX29,IF(IE="",PEDIDO!BH29,PEDIDO!BD29))</f>
        <v>#VALUE!</v>
      </c>
      <c r="N38" s="295" t="e">
        <f>IF(DESTINO="Revenda",PEDIDO!AZ29,IF(IE="",PEDIDO!BJ29,PEDIDO!BF29))</f>
        <v>#VALUE!</v>
      </c>
      <c r="O38" s="256"/>
      <c r="P38" s="297">
        <f>IF(DESTINO="Revenda",PEDIDO!BB29,0)</f>
        <v>0</v>
      </c>
      <c r="Q38" s="256"/>
      <c r="R38" s="296" t="str">
        <f t="shared" si="1"/>
        <v/>
      </c>
      <c r="S38" s="298"/>
    </row>
    <row r="39" spans="2:22" hidden="1" x14ac:dyDescent="0.25">
      <c r="B39" s="251"/>
      <c r="C39" s="300" t="str">
        <f>PEDIDO!C30</f>
        <v>PRATT ESPUMA LÍRIO DO CAMPO (caixa 6 x 0,8L)</v>
      </c>
      <c r="D39" s="292"/>
      <c r="E39" s="293">
        <f>'1. DADOS'!B35</f>
        <v>0</v>
      </c>
      <c r="F39" s="292"/>
      <c r="G39" s="294">
        <f>PEDIDO!$D30*6</f>
        <v>0</v>
      </c>
      <c r="H39" s="295">
        <f>ROUND(IF(G39=0,0,M39/G39),2)</f>
        <v>0</v>
      </c>
      <c r="I39" s="292"/>
      <c r="J39" s="295" t="e">
        <f>IF(AND(DESTINO="Cliente Final",E23=0),K39,PEDIDO!D30*PEDIDO!G30)</f>
        <v>#VALUE!</v>
      </c>
      <c r="K39" s="295" t="e">
        <f ca="1">_xlfn.IFS(AND(DESTINO="Cliente Final",IE=""),PEDIDO!BH30,AND(DESTINO="Cliente Final",IE&lt;&gt;""),PEDIDO!BD30,DESTINO="Revenda",PEDIDO!AX30)</f>
        <v>#NAME?</v>
      </c>
      <c r="L39" s="295" t="e">
        <f>IF(DESTINO="Revenda",PEDIDO!AY30,IF(IE="",PEDIDO!BI30,PEDIDO!BE30))</f>
        <v>#VALUE!</v>
      </c>
      <c r="M39" s="296" t="e">
        <f>IF(DESTINO="Revenda",PEDIDO!AX30,IF(IE="",PEDIDO!BH30,PEDIDO!BD30))</f>
        <v>#VALUE!</v>
      </c>
      <c r="N39" s="295" t="e">
        <f>IF(DESTINO="Revenda",PEDIDO!AZ30,IF(IE="",PEDIDO!BJ30,PEDIDO!BF30))</f>
        <v>#VALUE!</v>
      </c>
      <c r="O39" s="256"/>
      <c r="P39" s="297">
        <f>IF(DESTINO="Revenda",PEDIDO!BB30,0)</f>
        <v>0</v>
      </c>
      <c r="Q39" s="256"/>
      <c r="R39" s="296" t="e">
        <f>IF($C$14="BONIFICAÇÃO",0,M39+P39)</f>
        <v>#VALUE!</v>
      </c>
      <c r="S39" s="254"/>
    </row>
    <row r="40" spans="2:22" x14ac:dyDescent="0.25">
      <c r="B40" s="251"/>
      <c r="C40" s="300" t="str">
        <f>PEDIDO!C31</f>
        <v>PRATT ESPUMA LÍRIO DO CAMPO (caixa 4 x 5L)</v>
      </c>
      <c r="D40" s="292"/>
      <c r="E40" s="293">
        <f>'1. DADOS'!B36</f>
        <v>341359</v>
      </c>
      <c r="F40" s="292"/>
      <c r="G40" s="294">
        <f>PEDIDO!$D31*4</f>
        <v>0</v>
      </c>
      <c r="H40" s="295">
        <f>ROUND(IF(G40=0,0,M40/G40),2)</f>
        <v>0</v>
      </c>
      <c r="I40" s="292"/>
      <c r="J40" s="295" t="e">
        <f>IF(AND(DESTINO="Cliente Final",E24=0),K40,PEDIDO!D31*PEDIDO!G31)</f>
        <v>#VALUE!</v>
      </c>
      <c r="K40" s="295" t="e">
        <f ca="1">_xlfn.IFS(AND(DESTINO="Cliente Final",IE=""),PEDIDO!BH31,AND(DESTINO="Cliente Final",IE&lt;&gt;""),PEDIDO!BD31,DESTINO="Revenda",PEDIDO!AX31)</f>
        <v>#NAME?</v>
      </c>
      <c r="L40" s="295" t="e">
        <f>IF(DESTINO="Revenda",PEDIDO!AY31,IF(IE="",PEDIDO!BI31,PEDIDO!BE31))</f>
        <v>#VALUE!</v>
      </c>
      <c r="M40" s="296" t="e">
        <f>IF(DESTINO="Revenda",PEDIDO!AX31,IF(IE="",PEDIDO!BH31,PEDIDO!BD31))</f>
        <v>#VALUE!</v>
      </c>
      <c r="N40" s="295" t="e">
        <f>IF(DESTINO="Revenda",PEDIDO!AZ31,IF(IE="",PEDIDO!BJ31,PEDIDO!BF31))</f>
        <v>#VALUE!</v>
      </c>
      <c r="O40" s="256"/>
      <c r="P40" s="297">
        <f>IF(DESTINO="Revenda",PEDIDO!BB31,0)</f>
        <v>0</v>
      </c>
      <c r="Q40" s="256"/>
      <c r="R40" s="296" t="str">
        <f>IFERROR(IF($C$14="BONIFICAÇÃO",0,M40+P40),"")</f>
        <v/>
      </c>
      <c r="S40" s="254"/>
    </row>
    <row r="41" spans="2:22" s="299" customFormat="1" ht="43.5" hidden="1" customHeight="1" x14ac:dyDescent="0.25">
      <c r="B41" s="290"/>
      <c r="C41" s="291" t="str">
        <f>PEDIDO!C32</f>
        <v>LINHA DE LAVANDERIA</v>
      </c>
      <c r="D41" s="292"/>
      <c r="E41" s="293"/>
      <c r="F41" s="292"/>
      <c r="G41" s="294"/>
      <c r="H41" s="295"/>
      <c r="I41" s="292"/>
      <c r="J41" s="295"/>
      <c r="K41" s="295"/>
      <c r="L41" s="295"/>
      <c r="M41" s="296"/>
      <c r="N41" s="295"/>
      <c r="O41" s="256"/>
      <c r="P41" s="297"/>
      <c r="Q41" s="256"/>
      <c r="R41" s="296"/>
      <c r="S41" s="298"/>
    </row>
    <row r="42" spans="2:22" hidden="1" x14ac:dyDescent="0.25">
      <c r="B42" s="251"/>
      <c r="C42" s="300" t="str">
        <f>PEDIDO!C33</f>
        <v>LAVA ROUPAS PRATT MULTIAÇÃO (20 x 500 g)</v>
      </c>
      <c r="D42" s="256"/>
      <c r="E42" s="293">
        <f>'1. DADOS'!B38</f>
        <v>0</v>
      </c>
      <c r="F42" s="256"/>
      <c r="G42" s="294">
        <f>PEDIDO!$D33*20</f>
        <v>0</v>
      </c>
      <c r="H42" s="295">
        <f>ROUND(IF(G42=0,0,M42/G42),2)</f>
        <v>0</v>
      </c>
      <c r="I42" s="292"/>
      <c r="J42" s="295" t="e">
        <f>IF(AND(DESTINO="Cliente Final",E26=0),K42,PEDIDO!D33*PEDIDO!G33)</f>
        <v>#VALUE!</v>
      </c>
      <c r="K42" s="295" t="e">
        <f ca="1">_xlfn.IFS(AND(DESTINO="Cliente Final",IE=""),PEDIDO!BH33,AND(DESTINO="Cliente Final",IE&lt;&gt;""),PEDIDO!BD33,DESTINO="Revenda",PEDIDO!AX33)</f>
        <v>#NAME?</v>
      </c>
      <c r="L42" s="295" t="e">
        <f ca="1">IF(DESTINO="Revenda",PEDIDO!AY33,IF(IE="",PEDIDO!BI33,PEDIDO!BE33))</f>
        <v>#VALUE!</v>
      </c>
      <c r="M42" s="296" t="e">
        <f ca="1">_xlfn.IFS(DESTINO="Revenda",PEDIDO!AX33,AND(DESTINO="Cliente final",IE&lt;&gt;""),PEDIDO!BD33,AND(DESTINO="Cliente Final",IE=""),PEDIDO!BH33)</f>
        <v>#NAME?</v>
      </c>
      <c r="N42" s="295" t="e">
        <f ca="1">_xlfn.IFS(DESTINO="Revenda",PEDIDO!AZ33,AND(DESTINO="Cliente final",IE&lt;&gt;""),PEDIDO!BF33,AND(DESTINO="Cliente Final",IE=""),PEDIDO!BJ33)</f>
        <v>#NAME?</v>
      </c>
      <c r="O42" s="256"/>
      <c r="P42" s="297">
        <f ca="1">IF(DESTINO="Revenda",PEDIDO!BB33,0)</f>
        <v>0</v>
      </c>
      <c r="Q42" s="256"/>
      <c r="R42" s="296" t="str">
        <f ca="1">IFERROR(IF($C$14="BONIFICAÇÃO",0,M42+P42),"")</f>
        <v/>
      </c>
      <c r="S42" s="254"/>
    </row>
    <row r="43" spans="2:22" hidden="1" x14ac:dyDescent="0.25">
      <c r="B43" s="251"/>
      <c r="C43" s="300" t="str">
        <f>PEDIDO!C34</f>
        <v>LAVA ROUPAS PRATT MULTIAÇÃO (20 x 1.000 g)</v>
      </c>
      <c r="D43" s="256"/>
      <c r="E43" s="293">
        <f>'1. DADOS'!B39</f>
        <v>0</v>
      </c>
      <c r="F43" s="256"/>
      <c r="G43" s="294">
        <f>PEDIDO!$D34*20</f>
        <v>0</v>
      </c>
      <c r="H43" s="295">
        <f>ROUND(IF(G43=0,0,M43/G43),2)</f>
        <v>0</v>
      </c>
      <c r="I43" s="292"/>
      <c r="J43" s="295" t="e">
        <f>IF(AND(DESTINO="Cliente Final",E27=0),K43,PEDIDO!D34*PEDIDO!G34)</f>
        <v>#VALUE!</v>
      </c>
      <c r="K43" s="295" t="e">
        <f ca="1">_xlfn.IFS(AND(DESTINO="Cliente Final",IE=""),PEDIDO!BH34,AND(DESTINO="Cliente Final",IE&lt;&gt;""),PEDIDO!BD34,DESTINO="Revenda",PEDIDO!AX34)</f>
        <v>#NAME?</v>
      </c>
      <c r="L43" s="295" t="e">
        <f ca="1">IF(DESTINO="Revenda",PEDIDO!AY34,IF(IE="",PEDIDO!BI34,PEDIDO!BE34))</f>
        <v>#VALUE!</v>
      </c>
      <c r="M43" s="296" t="e">
        <f ca="1">_xlfn.IFS(DESTINO="Revenda",PEDIDO!AX34,AND(DESTINO="Cliente final",IE&lt;&gt;""),PEDIDO!BD34,AND(DESTINO="Cliente Final",IE=""),PEDIDO!BH34)</f>
        <v>#NAME?</v>
      </c>
      <c r="N43" s="295" t="e">
        <f ca="1">_xlfn.IFS(DESTINO="Revenda",PEDIDO!AZ34,AND(DESTINO="Cliente final",IE&lt;&gt;""),PEDIDO!BF34,AND(DESTINO="Cliente Final",IE=""),PEDIDO!BJ34)</f>
        <v>#NAME?</v>
      </c>
      <c r="O43" s="256"/>
      <c r="P43" s="297">
        <f>IF(DESTINO="Revenda",PEDIDO!BB34,0)</f>
        <v>0</v>
      </c>
      <c r="Q43" s="256"/>
      <c r="R43" s="296" t="str">
        <f ca="1">IFERROR(IF($C$14="BONIFICAÇÃO",0,M43+P43),"")</f>
        <v/>
      </c>
      <c r="S43" s="254"/>
    </row>
    <row r="44" spans="2:22" hidden="1" x14ac:dyDescent="0.25">
      <c r="B44" s="251"/>
      <c r="C44" s="300"/>
      <c r="D44" s="256"/>
      <c r="E44" s="256"/>
      <c r="F44" s="256"/>
      <c r="G44" s="256"/>
      <c r="H44" s="256"/>
      <c r="I44" s="256"/>
      <c r="J44" s="256"/>
      <c r="K44" s="256"/>
      <c r="L44" s="256"/>
      <c r="Q44" s="256"/>
      <c r="R44" s="256"/>
      <c r="S44" s="254"/>
    </row>
    <row r="45" spans="2:22" ht="15.75" thickBot="1" x14ac:dyDescent="0.3">
      <c r="B45" s="251"/>
      <c r="C45" s="256"/>
      <c r="D45" s="256"/>
      <c r="E45" s="256"/>
      <c r="F45" s="256"/>
      <c r="G45" s="256"/>
      <c r="H45" s="256"/>
      <c r="I45" s="256"/>
      <c r="J45" s="256"/>
      <c r="K45" s="256"/>
      <c r="L45" s="256"/>
      <c r="Q45" s="256"/>
      <c r="R45" s="256"/>
      <c r="S45" s="254"/>
    </row>
    <row r="46" spans="2:22" ht="15.75" thickBot="1" x14ac:dyDescent="0.3">
      <c r="B46" s="251"/>
      <c r="C46" s="301" t="s">
        <v>482</v>
      </c>
      <c r="D46" s="256"/>
      <c r="E46" s="256"/>
      <c r="F46" s="256"/>
      <c r="G46" s="256"/>
      <c r="H46" s="256"/>
      <c r="I46" s="256"/>
      <c r="J46" s="256"/>
      <c r="K46" s="256"/>
      <c r="L46" s="256"/>
      <c r="M46" s="256"/>
      <c r="O46" s="256"/>
      <c r="P46" s="302" t="s">
        <v>483</v>
      </c>
      <c r="Q46" s="256"/>
      <c r="R46" s="303" t="str">
        <f>IFERROR(IF(C14="BONIFICAÇÃO",0,SUM(M25:M40)),"")</f>
        <v/>
      </c>
      <c r="S46" s="254"/>
      <c r="V46" s="304"/>
    </row>
    <row r="47" spans="2:22" x14ac:dyDescent="0.25">
      <c r="B47" s="251"/>
      <c r="C47" s="305" t="s">
        <v>484</v>
      </c>
      <c r="E47" s="306">
        <f ca="1">IFERROR(ROUND(SUM(K25:K38),2),0)</f>
        <v>0</v>
      </c>
      <c r="F47" s="256"/>
      <c r="G47" s="307"/>
      <c r="H47" s="308"/>
      <c r="I47" s="256"/>
      <c r="K47" s="256"/>
      <c r="L47" s="256"/>
      <c r="M47" s="256"/>
      <c r="O47" s="256"/>
      <c r="P47" s="309" t="s">
        <v>485</v>
      </c>
      <c r="R47" s="310">
        <f>IFERROR(ROUND(SUM(N25:N40),2),0)</f>
        <v>0</v>
      </c>
      <c r="S47" s="254"/>
      <c r="V47" s="311"/>
    </row>
    <row r="48" spans="2:22" ht="15.75" thickBot="1" x14ac:dyDescent="0.3">
      <c r="B48" s="251"/>
      <c r="C48" s="305" t="s">
        <v>486</v>
      </c>
      <c r="E48" s="306">
        <f>IFERROR(ROUND(SUM(L25:L38),2),0)</f>
        <v>0</v>
      </c>
      <c r="F48" s="256"/>
      <c r="G48" s="370"/>
      <c r="H48" s="370"/>
      <c r="I48" s="256"/>
      <c r="K48" s="256"/>
      <c r="L48" s="256"/>
      <c r="M48" s="256"/>
      <c r="P48" s="309" t="str">
        <f>P24</f>
        <v>Substituição Tributária</v>
      </c>
      <c r="R48" s="310">
        <f>SUM(P25:P40)</f>
        <v>0</v>
      </c>
      <c r="S48" s="254"/>
      <c r="V48" s="311"/>
    </row>
    <row r="49" spans="2:47" ht="19.5" thickBot="1" x14ac:dyDescent="0.35">
      <c r="B49" s="251"/>
      <c r="C49" s="305" t="s">
        <v>437</v>
      </c>
      <c r="E49" s="306">
        <f>ROUND(IF(E14="Revenda",R48,0),2)</f>
        <v>0</v>
      </c>
      <c r="F49" s="256"/>
      <c r="G49" s="311"/>
      <c r="H49" s="256"/>
      <c r="I49" s="256"/>
      <c r="K49" s="256"/>
      <c r="L49" s="256"/>
      <c r="M49" s="256"/>
      <c r="N49" s="256"/>
      <c r="O49" s="256"/>
      <c r="P49" s="302" t="s">
        <v>487</v>
      </c>
      <c r="R49" s="312" t="str">
        <f>IFERROR(R46+R48+R47,"")</f>
        <v/>
      </c>
      <c r="S49" s="254"/>
      <c r="V49" s="311"/>
    </row>
    <row r="50" spans="2:47" x14ac:dyDescent="0.25">
      <c r="B50" s="251"/>
      <c r="F50" s="256"/>
      <c r="G50" s="304"/>
      <c r="H50" s="256"/>
      <c r="I50" s="256"/>
      <c r="K50" s="256"/>
      <c r="L50" s="256"/>
      <c r="M50" s="256"/>
      <c r="O50" s="256"/>
      <c r="P50" s="313" t="s">
        <v>280</v>
      </c>
      <c r="R50" s="310">
        <f>R11</f>
        <v>0</v>
      </c>
      <c r="S50" s="254"/>
      <c r="V50" s="311"/>
      <c r="W50" s="314" t="s">
        <v>488</v>
      </c>
      <c r="X50" s="314"/>
      <c r="Y50" s="315" t="s">
        <v>21</v>
      </c>
      <c r="Z50" s="314"/>
      <c r="AA50" s="314"/>
      <c r="AB50" s="314"/>
      <c r="AC50" s="314"/>
      <c r="AD50" s="314"/>
      <c r="AE50" s="314"/>
      <c r="AF50" s="314"/>
      <c r="AG50" s="314"/>
      <c r="AH50" s="314"/>
      <c r="AI50" s="314"/>
      <c r="AJ50" s="314"/>
      <c r="AK50" s="314"/>
      <c r="AL50" s="280"/>
      <c r="AM50" s="280"/>
      <c r="AN50" s="280"/>
      <c r="AO50" s="280"/>
    </row>
    <row r="51" spans="2:47" x14ac:dyDescent="0.25">
      <c r="B51" s="316"/>
      <c r="C51" s="273"/>
      <c r="D51" s="273"/>
      <c r="E51" s="273"/>
      <c r="F51" s="273"/>
      <c r="G51" s="273"/>
      <c r="H51" s="273"/>
      <c r="I51" s="273"/>
      <c r="J51" s="273"/>
      <c r="K51" s="273"/>
      <c r="L51" s="273"/>
      <c r="M51" s="273"/>
      <c r="N51" s="273"/>
      <c r="O51" s="273"/>
      <c r="P51" s="273"/>
      <c r="Q51" s="273"/>
      <c r="R51" s="273"/>
      <c r="S51" s="317"/>
      <c r="W51" s="299"/>
      <c r="X51" s="299"/>
      <c r="Y51" s="299"/>
      <c r="Z51" s="299"/>
      <c r="AA51" s="299"/>
      <c r="AB51" s="299"/>
      <c r="AC51" s="299"/>
      <c r="AD51" s="299"/>
      <c r="AE51" s="299"/>
      <c r="AF51" s="299"/>
      <c r="AG51" s="299"/>
      <c r="AH51" s="299"/>
      <c r="AI51" s="299"/>
      <c r="AJ51" s="299"/>
      <c r="AK51" s="299"/>
      <c r="AL51" s="299"/>
      <c r="AM51" s="299"/>
      <c r="AN51" s="299"/>
      <c r="AO51" s="299"/>
      <c r="AP51" s="299"/>
      <c r="AQ51" s="299"/>
      <c r="AR51" s="299"/>
      <c r="AS51" s="299"/>
      <c r="AT51" s="299"/>
      <c r="AU51" s="299"/>
    </row>
    <row r="52" spans="2:47" ht="9" customHeight="1" x14ac:dyDescent="0.25">
      <c r="W52" s="299"/>
      <c r="X52" s="299"/>
      <c r="Y52" s="299"/>
      <c r="Z52" s="299"/>
      <c r="AA52" s="299"/>
      <c r="AB52" s="299"/>
      <c r="AC52" s="299"/>
      <c r="AD52" s="299"/>
      <c r="AE52" s="299"/>
      <c r="AF52" s="299"/>
      <c r="AG52" s="299"/>
      <c r="AH52" s="299"/>
      <c r="AI52" s="299"/>
      <c r="AJ52" s="299"/>
      <c r="AK52" s="299"/>
      <c r="AL52" s="299"/>
      <c r="AM52" s="299"/>
      <c r="AN52" s="299"/>
      <c r="AO52" s="299"/>
      <c r="AP52" s="299"/>
      <c r="AQ52" s="299"/>
      <c r="AR52" s="299"/>
      <c r="AS52" s="299"/>
      <c r="AT52" s="299"/>
      <c r="AU52" s="299"/>
    </row>
    <row r="53" spans="2:47" ht="22.5" x14ac:dyDescent="0.25">
      <c r="E53" s="311"/>
      <c r="W53" s="318" t="s">
        <v>18</v>
      </c>
      <c r="X53" s="318" t="s">
        <v>489</v>
      </c>
      <c r="Y53" s="318" t="s">
        <v>490</v>
      </c>
      <c r="Z53" s="318" t="s">
        <v>491</v>
      </c>
      <c r="AA53" s="318" t="s">
        <v>492</v>
      </c>
      <c r="AB53" s="318" t="s">
        <v>493</v>
      </c>
      <c r="AC53" s="318" t="s">
        <v>494</v>
      </c>
      <c r="AD53" s="318" t="s">
        <v>184</v>
      </c>
      <c r="AE53" s="318" t="s">
        <v>279</v>
      </c>
      <c r="AF53" s="318" t="s">
        <v>495</v>
      </c>
      <c r="AG53" s="318" t="s">
        <v>352</v>
      </c>
      <c r="AH53" s="318" t="s">
        <v>496</v>
      </c>
      <c r="AI53" s="318" t="s">
        <v>286</v>
      </c>
      <c r="AJ53" s="318" t="s">
        <v>497</v>
      </c>
      <c r="AK53" s="318" t="s">
        <v>498</v>
      </c>
      <c r="AL53" s="319" t="s">
        <v>499</v>
      </c>
      <c r="AM53" s="319" t="s">
        <v>500</v>
      </c>
      <c r="AN53" s="319" t="s">
        <v>501</v>
      </c>
      <c r="AO53" s="319" t="s">
        <v>502</v>
      </c>
      <c r="AP53" s="319" t="s">
        <v>503</v>
      </c>
      <c r="AQ53" s="319" t="s">
        <v>504</v>
      </c>
      <c r="AR53" s="319" t="s">
        <v>505</v>
      </c>
      <c r="AS53" s="319" t="s">
        <v>506</v>
      </c>
      <c r="AT53" s="320" t="s">
        <v>507</v>
      </c>
      <c r="AU53" s="320" t="s">
        <v>508</v>
      </c>
    </row>
    <row r="54" spans="2:47" x14ac:dyDescent="0.25">
      <c r="C54" s="311"/>
      <c r="R54" s="311"/>
      <c r="W54" s="321" t="str">
        <f ca="1">IF(AK54="","",PEDIDO!$S$3)</f>
        <v/>
      </c>
      <c r="X54" s="322" t="str">
        <f ca="1">IF(AK54="","",CHOOSE(PEDIDO!$Y$4,'1. DADOS'!$F$4,'1. DADOS'!$F$5,'1. DADOS'!$F$6,'1. DADOS'!$F$7,'1. DADOS'!$F$8,'1. DADOS'!$F$9))</f>
        <v/>
      </c>
      <c r="Y54" s="322" t="str">
        <f ca="1">IF(AK54="","",PEDIDO!$D$4)</f>
        <v/>
      </c>
      <c r="Z54" s="323" t="str">
        <f ca="1">IF(AK54="","",PEDIDO!$S$5)</f>
        <v/>
      </c>
      <c r="AA54" s="323" t="str">
        <f ca="1">IF(AK54="","",PEDIDO!$L$4)</f>
        <v/>
      </c>
      <c r="AB54" s="323" t="str">
        <f ca="1">IF(AK54="","",DESTINO)</f>
        <v/>
      </c>
      <c r="AC54" s="323" t="str">
        <f ca="1">IF(AK54="","",PEDIDO!$M$4)</f>
        <v/>
      </c>
      <c r="AD54" s="324" t="str">
        <f ca="1">IF(ORÇAMENTO!AK54="","",ESTADO)</f>
        <v/>
      </c>
      <c r="AE54" s="324" t="str">
        <f ca="1">IF(AK54="","",CIDADE)</f>
        <v/>
      </c>
      <c r="AF54" s="324" t="str">
        <f ca="1">IF(AK54="","",CHOOSE(PEDIDO!$AB$7,PEDIDO!$AA$4,PEDIDO!$AA$5,PEDIDO!$AA$6))</f>
        <v/>
      </c>
      <c r="AG54" s="323" t="str">
        <f>""</f>
        <v/>
      </c>
      <c r="AH54" s="325" t="str">
        <f ca="1">IF(AK54="","",INDIRECT("PEDIDO!"&amp;ADDRESS('1. DADOS'!E64+16,3)))</f>
        <v/>
      </c>
      <c r="AI54" s="326" t="str">
        <f ca="1">IF(AK54="","",INDIRECT("PEDIDO!"&amp;ADDRESS('1. DADOS'!E64+16,4)))</f>
        <v/>
      </c>
      <c r="AJ54" s="327" t="str">
        <f ca="1">IFERROR(AK54/AI54,"")</f>
        <v/>
      </c>
      <c r="AK54" s="327" t="str">
        <f ca="1">IFERROR(IF(INDIRECT("PEDIDO!"&amp;ADDRESS('1. DADOS'!E64+16,80))=0,"",INDIRECT("PEDIDO!"&amp;ADDRESS('1. DADOS'!E64+16,80))),"")</f>
        <v/>
      </c>
      <c r="AL54" s="328" t="str">
        <f ca="1">IF(AK54="","",INDIRECT("PEDIDO!"&amp;ADDRESS('1. DADOS'!E64+16,72)))</f>
        <v/>
      </c>
      <c r="AM54" s="328" t="str">
        <f ca="1">IF(AK54="","",INDIRECT("PEDIDO!"&amp;ADDRESS('1. DADOS'!E64+16,73)))</f>
        <v/>
      </c>
      <c r="AN54" s="328" t="str">
        <f ca="1">IF(AK54="","",INDIRECT("PEDIDO!"&amp;ADDRESS('1. DADOS'!E64+16,77)))</f>
        <v/>
      </c>
      <c r="AO54" s="328" t="str">
        <f ca="1">IF(AK54="","",INDIRECT("PEDIDO!"&amp;ADDRESS('1. DADOS'!E64+16,74)))</f>
        <v/>
      </c>
      <c r="AP54" s="328" t="str">
        <f ca="1">IF(AK54="","",INDIRECT("PEDIDO!"&amp;ADDRESS('1. DADOS'!E64+16,75)))</f>
        <v/>
      </c>
      <c r="AQ54" s="328" t="str">
        <f ca="1">IF(AK54="","",INDIRECT("PEDIDO!"&amp;ADDRESS('1. DADOS'!E64+16,76)))</f>
        <v/>
      </c>
      <c r="AR54" s="328" t="str">
        <f ca="1">IF(AK54="","",INDIRECT("PEDIDO!"&amp;ADDRESS('1. DADOS'!E64+16,78)))</f>
        <v/>
      </c>
      <c r="AS54" s="328" t="str">
        <f ca="1">IF(AK54="","",INDIRECT("PEDIDO!"&amp;ADDRESS('1. DADOS'!E64+16,79)))</f>
        <v/>
      </c>
      <c r="AT54" s="329" t="str">
        <f ca="1">IF(AK54="","",PEDIDO!$S$3+CHOOSE(PEDIDO!$Y$4,'1. DADOS'!$H$4,'1. DADOS'!$H$5,'1. DADOS'!$H$6,'1. DADOS'!$H$7,'1. DADOS'!$H$8,'1. DADOS'!$H$9))</f>
        <v/>
      </c>
      <c r="AU54" s="329" t="str">
        <f ca="1">IF(AK54="","",PEDIDO!$S$3+CHOOSE(PEDIDO!$Y$4,'1. DADOS'!$I$4,'1. DADOS'!$I$5,'1. DADOS'!$I$6,'1. DADOS'!$I$7,'1. DADOS'!$I$8,'1. DADOS'!$I$9))</f>
        <v/>
      </c>
    </row>
    <row r="55" spans="2:47" x14ac:dyDescent="0.25">
      <c r="C55" s="311"/>
      <c r="R55" s="311"/>
      <c r="W55" s="321" t="str">
        <f ca="1">IF(AK55="","",PEDIDO!$S$3)</f>
        <v/>
      </c>
      <c r="X55" s="322" t="str">
        <f ca="1">IF(AK55="","",CHOOSE(PEDIDO!$Y$4,'1. DADOS'!$F$4,'1. DADOS'!$F$5,'1. DADOS'!$F$6,'1. DADOS'!$F$7,'1. DADOS'!$F$8,'1. DADOS'!$F$9))</f>
        <v/>
      </c>
      <c r="Y55" s="322" t="str">
        <f ca="1">IF(AK55="","",PEDIDO!$D$4)</f>
        <v/>
      </c>
      <c r="Z55" s="323" t="str">
        <f ca="1">IF(AK55="","",PEDIDO!$S$5)</f>
        <v/>
      </c>
      <c r="AA55" s="323" t="str">
        <f ca="1">IF(AK55="","",PEDIDO!$L$4)</f>
        <v/>
      </c>
      <c r="AB55" s="323" t="str">
        <f t="shared" ref="AB55:AB68" ca="1" si="2">IF(AK55="","",DESTINO)</f>
        <v/>
      </c>
      <c r="AC55" s="323" t="str">
        <f ca="1">IF(AK55="","",PEDIDO!$M$4)</f>
        <v/>
      </c>
      <c r="AD55" s="324" t="str">
        <f ca="1">IF(ORÇAMENTO!AK55="","",ESTADO)</f>
        <v/>
      </c>
      <c r="AE55" s="324" t="str">
        <f t="shared" ref="AE55:AE68" ca="1" si="3">IF(AK55="","",CIDADE)</f>
        <v/>
      </c>
      <c r="AF55" s="324" t="str">
        <f ca="1">IF(AK55="","",CHOOSE(PEDIDO!$AB$7,PEDIDO!$AA$4,PEDIDO!$AA$5,PEDIDO!$AA$6))</f>
        <v/>
      </c>
      <c r="AG55" s="323" t="str">
        <f>""</f>
        <v/>
      </c>
      <c r="AH55" s="325" t="str">
        <f ca="1">IF(AK55="","",INDIRECT("PEDIDO!"&amp;ADDRESS('1. DADOS'!E65+16,3)))</f>
        <v/>
      </c>
      <c r="AI55" s="326" t="str">
        <f ca="1">IF(AK55="","",INDIRECT("PEDIDO!"&amp;ADDRESS('1. DADOS'!E65+16,4)))</f>
        <v/>
      </c>
      <c r="AJ55" s="327" t="str">
        <f t="shared" ref="AJ55:AJ68" ca="1" si="4">IFERROR(AK55/AI55,"")</f>
        <v/>
      </c>
      <c r="AK55" s="327" t="str">
        <f ca="1">IFERROR(IF(INDIRECT("PEDIDO!"&amp;ADDRESS('1. DADOS'!E65+16,80))=0,"",INDIRECT("PEDIDO!"&amp;ADDRESS('1. DADOS'!E65+16,80))),"")</f>
        <v/>
      </c>
      <c r="AL55" s="328" t="str">
        <f ca="1">IF(AK55="","",INDIRECT("PEDIDO!"&amp;ADDRESS('1. DADOS'!E65+16,72)))</f>
        <v/>
      </c>
      <c r="AM55" s="328" t="str">
        <f ca="1">IF(AK55="","",INDIRECT("PEDIDO!"&amp;ADDRESS('1. DADOS'!E65+16,73)))</f>
        <v/>
      </c>
      <c r="AN55" s="328" t="str">
        <f ca="1">IF(AK55="","",INDIRECT("PEDIDO!"&amp;ADDRESS('1. DADOS'!E65+16,77)))</f>
        <v/>
      </c>
      <c r="AO55" s="328" t="str">
        <f ca="1">IF(AK55="","",INDIRECT("PEDIDO!"&amp;ADDRESS('1. DADOS'!E65+16,74)))</f>
        <v/>
      </c>
      <c r="AP55" s="328" t="str">
        <f ca="1">IF(AK55="","",INDIRECT("PEDIDO!"&amp;ADDRESS('1. DADOS'!E65+16,75)))</f>
        <v/>
      </c>
      <c r="AQ55" s="328" t="str">
        <f ca="1">IF(AK55="","",INDIRECT("PEDIDO!"&amp;ADDRESS('1. DADOS'!E65+16,76)))</f>
        <v/>
      </c>
      <c r="AR55" s="328" t="str">
        <f ca="1">IF(AK55="","",INDIRECT("PEDIDO!"&amp;ADDRESS('1. DADOS'!E65+16,78)))</f>
        <v/>
      </c>
      <c r="AS55" s="328" t="str">
        <f ca="1">IF(AK55="","",INDIRECT("PEDIDO!"&amp;ADDRESS('1. DADOS'!E65+16,79)))</f>
        <v/>
      </c>
      <c r="AT55" s="329" t="str">
        <f ca="1">IF(AK55="","",PEDIDO!$S$3+CHOOSE(PEDIDO!$Y$4,'1. DADOS'!$H$4,'1. DADOS'!$H$5,'1. DADOS'!$H$6,'1. DADOS'!$H$7,'1. DADOS'!$H$8,'1. DADOS'!$H$9))</f>
        <v/>
      </c>
      <c r="AU55" s="329" t="str">
        <f ca="1">IF(AK55="","",PEDIDO!$S$3+CHOOSE(PEDIDO!$Y$4,'1. DADOS'!$I$4,'1. DADOS'!$I$5,'1. DADOS'!$I$6,'1. DADOS'!$I$7,'1. DADOS'!$I$8,'1. DADOS'!$I$9))</f>
        <v/>
      </c>
    </row>
    <row r="56" spans="2:47" x14ac:dyDescent="0.25">
      <c r="C56" s="311"/>
      <c r="W56" s="321" t="str">
        <f ca="1">IF(AK56="","",PEDIDO!$S$3)</f>
        <v/>
      </c>
      <c r="X56" s="322" t="str">
        <f ca="1">IF(AK56="","",CHOOSE(PEDIDO!$Y$4,'1. DADOS'!$F$4,'1. DADOS'!$F$5,'1. DADOS'!$F$6,'1. DADOS'!$F$7,'1. DADOS'!$F$8,'1. DADOS'!$F$9))</f>
        <v/>
      </c>
      <c r="Y56" s="322" t="str">
        <f ca="1">IF(AK56="","",PEDIDO!$D$4)</f>
        <v/>
      </c>
      <c r="Z56" s="323" t="str">
        <f ca="1">IF(AK56="","",PEDIDO!$S$5)</f>
        <v/>
      </c>
      <c r="AA56" s="323" t="str">
        <f ca="1">IF(AK56="","",PEDIDO!$L$4)</f>
        <v/>
      </c>
      <c r="AB56" s="323" t="str">
        <f t="shared" ca="1" si="2"/>
        <v/>
      </c>
      <c r="AC56" s="323" t="str">
        <f ca="1">IF(AK56="","",PEDIDO!$M$4)</f>
        <v/>
      </c>
      <c r="AD56" s="324" t="str">
        <f ca="1">IF(ORÇAMENTO!AK56="","",ESTADO)</f>
        <v/>
      </c>
      <c r="AE56" s="324" t="str">
        <f t="shared" ca="1" si="3"/>
        <v/>
      </c>
      <c r="AF56" s="324" t="str">
        <f ca="1">IF(AK56="","",CHOOSE(PEDIDO!$AB$7,PEDIDO!$AA$4,PEDIDO!$AA$5,PEDIDO!$AA$6))</f>
        <v/>
      </c>
      <c r="AG56" s="323" t="str">
        <f>""</f>
        <v/>
      </c>
      <c r="AH56" s="325" t="str">
        <f ca="1">IF(AK56="","",INDIRECT("PEDIDO!"&amp;ADDRESS('1. DADOS'!E66+16,3)))</f>
        <v/>
      </c>
      <c r="AI56" s="326" t="str">
        <f ca="1">IF(AK56="","",INDIRECT("PEDIDO!"&amp;ADDRESS('1. DADOS'!E66+16,4)))</f>
        <v/>
      </c>
      <c r="AJ56" s="327" t="str">
        <f t="shared" ca="1" si="4"/>
        <v/>
      </c>
      <c r="AK56" s="327" t="str">
        <f ca="1">IFERROR(IF(INDIRECT("PEDIDO!"&amp;ADDRESS('1. DADOS'!E66+16,80))=0,"",INDIRECT("PEDIDO!"&amp;ADDRESS('1. DADOS'!E66+16,80))),"")</f>
        <v/>
      </c>
      <c r="AL56" s="328" t="str">
        <f ca="1">IF(AK56="","",INDIRECT("PEDIDO!"&amp;ADDRESS('1. DADOS'!E66+16,72)))</f>
        <v/>
      </c>
      <c r="AM56" s="328" t="str">
        <f ca="1">IF(AK56="","",INDIRECT("PEDIDO!"&amp;ADDRESS('1. DADOS'!E66+16,73)))</f>
        <v/>
      </c>
      <c r="AN56" s="328" t="str">
        <f ca="1">IF(AK56="","",INDIRECT("PEDIDO!"&amp;ADDRESS('1. DADOS'!E66+16,77)))</f>
        <v/>
      </c>
      <c r="AO56" s="328" t="str">
        <f ca="1">IF(AK56="","",INDIRECT("PEDIDO!"&amp;ADDRESS('1. DADOS'!E66+16,74)))</f>
        <v/>
      </c>
      <c r="AP56" s="328" t="str">
        <f ca="1">IF(AK56="","",INDIRECT("PEDIDO!"&amp;ADDRESS('1. DADOS'!E66+16,75)))</f>
        <v/>
      </c>
      <c r="AQ56" s="328" t="str">
        <f ca="1">IF(AK56="","",INDIRECT("PEDIDO!"&amp;ADDRESS('1. DADOS'!E66+16,76)))</f>
        <v/>
      </c>
      <c r="AR56" s="328" t="str">
        <f ca="1">IF(AK56="","",INDIRECT("PEDIDO!"&amp;ADDRESS('1. DADOS'!E66+16,78)))</f>
        <v/>
      </c>
      <c r="AS56" s="328" t="str">
        <f ca="1">IF(AK56="","",INDIRECT("PEDIDO!"&amp;ADDRESS('1. DADOS'!E66+16,79)))</f>
        <v/>
      </c>
      <c r="AT56" s="329" t="str">
        <f ca="1">IF(AK56="","",PEDIDO!$S$3+CHOOSE(PEDIDO!$Y$4,'1. DADOS'!$H$4,'1. DADOS'!$H$5,'1. DADOS'!$H$6,'1. DADOS'!$H$7,'1. DADOS'!$H$8,'1. DADOS'!$H$9))</f>
        <v/>
      </c>
      <c r="AU56" s="329" t="str">
        <f ca="1">IF(AK56="","",PEDIDO!$S$3+CHOOSE(PEDIDO!$Y$4,'1. DADOS'!$I$4,'1. DADOS'!$I$5,'1. DADOS'!$I$6,'1. DADOS'!$I$7,'1. DADOS'!$I$8,'1. DADOS'!$I$9))</f>
        <v/>
      </c>
    </row>
    <row r="57" spans="2:47" x14ac:dyDescent="0.25">
      <c r="W57" s="321" t="str">
        <f ca="1">IF(AK57="","",PEDIDO!$S$3)</f>
        <v/>
      </c>
      <c r="X57" s="322" t="str">
        <f ca="1">IF(AK57="","",CHOOSE(PEDIDO!$Y$4,'1. DADOS'!$F$4,'1. DADOS'!$F$5,'1. DADOS'!$F$6,'1. DADOS'!$F$7,'1. DADOS'!$F$8,'1. DADOS'!$F$9))</f>
        <v/>
      </c>
      <c r="Y57" s="322" t="str">
        <f ca="1">IF(AK57="","",PEDIDO!$D$4)</f>
        <v/>
      </c>
      <c r="Z57" s="323" t="str">
        <f ca="1">IF(AK57="","",PEDIDO!$S$5)</f>
        <v/>
      </c>
      <c r="AA57" s="323" t="str">
        <f ca="1">IF(AK57="","",PEDIDO!$L$4)</f>
        <v/>
      </c>
      <c r="AB57" s="323" t="str">
        <f t="shared" ca="1" si="2"/>
        <v/>
      </c>
      <c r="AC57" s="323" t="str">
        <f ca="1">IF(AK57="","",PEDIDO!$M$4)</f>
        <v/>
      </c>
      <c r="AD57" s="324" t="str">
        <f ca="1">IF(ORÇAMENTO!AK57="","",ESTADO)</f>
        <v/>
      </c>
      <c r="AE57" s="324" t="str">
        <f t="shared" ca="1" si="3"/>
        <v/>
      </c>
      <c r="AF57" s="324" t="str">
        <f ca="1">IF(AK57="","",CHOOSE(PEDIDO!$AB$7,PEDIDO!$AA$4,PEDIDO!$AA$5,PEDIDO!$AA$6))</f>
        <v/>
      </c>
      <c r="AG57" s="323" t="str">
        <f>""</f>
        <v/>
      </c>
      <c r="AH57" s="325" t="str">
        <f ca="1">IF(AK57="","",INDIRECT("PEDIDO!"&amp;ADDRESS('1. DADOS'!E67+16,3)))</f>
        <v/>
      </c>
      <c r="AI57" s="326" t="str">
        <f ca="1">IF(AK57="","",INDIRECT("PEDIDO!"&amp;ADDRESS('1. DADOS'!E67+16,4)))</f>
        <v/>
      </c>
      <c r="AJ57" s="327" t="str">
        <f t="shared" ca="1" si="4"/>
        <v/>
      </c>
      <c r="AK57" s="327" t="str">
        <f ca="1">IFERROR(IF(INDIRECT("PEDIDO!"&amp;ADDRESS('1. DADOS'!E67+16,80))=0,"",INDIRECT("PEDIDO!"&amp;ADDRESS('1. DADOS'!E67+16,80))),"")</f>
        <v/>
      </c>
      <c r="AL57" s="328" t="str">
        <f ca="1">IF(AK57="","",INDIRECT("PEDIDO!"&amp;ADDRESS('1. DADOS'!E67+16,72)))</f>
        <v/>
      </c>
      <c r="AM57" s="328" t="str">
        <f ca="1">IF(AK57="","",INDIRECT("PEDIDO!"&amp;ADDRESS('1. DADOS'!E67+16,73)))</f>
        <v/>
      </c>
      <c r="AN57" s="328" t="str">
        <f ca="1">IF(AK57="","",INDIRECT("PEDIDO!"&amp;ADDRESS('1. DADOS'!E67+16,77)))</f>
        <v/>
      </c>
      <c r="AO57" s="328" t="str">
        <f ca="1">IF(AK57="","",INDIRECT("PEDIDO!"&amp;ADDRESS('1. DADOS'!E67+16,74)))</f>
        <v/>
      </c>
      <c r="AP57" s="328" t="str">
        <f ca="1">IF(AK57="","",INDIRECT("PEDIDO!"&amp;ADDRESS('1. DADOS'!E67+16,75)))</f>
        <v/>
      </c>
      <c r="AQ57" s="328" t="str">
        <f ca="1">IF(AK57="","",INDIRECT("PEDIDO!"&amp;ADDRESS('1. DADOS'!E67+16,76)))</f>
        <v/>
      </c>
      <c r="AR57" s="328" t="str">
        <f ca="1">IF(AK57="","",INDIRECT("PEDIDO!"&amp;ADDRESS('1. DADOS'!E67+16,78)))</f>
        <v/>
      </c>
      <c r="AS57" s="328" t="str">
        <f ca="1">IF(AK57="","",INDIRECT("PEDIDO!"&amp;ADDRESS('1. DADOS'!E67+16,79)))</f>
        <v/>
      </c>
      <c r="AT57" s="329" t="str">
        <f ca="1">IF(AK57="","",PEDIDO!$S$3+CHOOSE(PEDIDO!$Y$4,'1. DADOS'!$H$4,'1. DADOS'!$H$5,'1. DADOS'!$H$6,'1. DADOS'!$H$7,'1. DADOS'!$H$8,'1. DADOS'!$H$9))</f>
        <v/>
      </c>
      <c r="AU57" s="329" t="str">
        <f ca="1">IF(AK57="","",PEDIDO!$S$3+CHOOSE(PEDIDO!$Y$4,'1. DADOS'!$I$4,'1. DADOS'!$I$5,'1. DADOS'!$I$6,'1. DADOS'!$I$7,'1. DADOS'!$I$8,'1. DADOS'!$I$9))</f>
        <v/>
      </c>
    </row>
    <row r="58" spans="2:47" x14ac:dyDescent="0.25">
      <c r="W58" s="321" t="str">
        <f ca="1">IF(AK58="","",PEDIDO!$S$3)</f>
        <v/>
      </c>
      <c r="X58" s="322" t="str">
        <f ca="1">IF(AK58="","",CHOOSE(PEDIDO!$Y$4,'1. DADOS'!$F$4,'1. DADOS'!$F$5,'1. DADOS'!$F$6,'1. DADOS'!$F$7,'1. DADOS'!$F$8,'1. DADOS'!$F$9))</f>
        <v/>
      </c>
      <c r="Y58" s="322" t="str">
        <f ca="1">IF(AK58="","",PEDIDO!$D$4)</f>
        <v/>
      </c>
      <c r="Z58" s="323" t="str">
        <f ca="1">IF(AK58="","",PEDIDO!$S$5)</f>
        <v/>
      </c>
      <c r="AA58" s="323" t="str">
        <f ca="1">IF(AK58="","",PEDIDO!$L$4)</f>
        <v/>
      </c>
      <c r="AB58" s="323" t="str">
        <f t="shared" ca="1" si="2"/>
        <v/>
      </c>
      <c r="AC58" s="323" t="str">
        <f ca="1">IF(AK58="","",PEDIDO!$M$4)</f>
        <v/>
      </c>
      <c r="AD58" s="324" t="str">
        <f ca="1">IF(ORÇAMENTO!AK58="","",ESTADO)</f>
        <v/>
      </c>
      <c r="AE58" s="324" t="str">
        <f t="shared" ca="1" si="3"/>
        <v/>
      </c>
      <c r="AF58" s="324" t="str">
        <f ca="1">IF(AK58="","",CHOOSE(PEDIDO!$AB$7,PEDIDO!$AA$4,PEDIDO!$AA$5,PEDIDO!$AA$6))</f>
        <v/>
      </c>
      <c r="AG58" s="323" t="str">
        <f>""</f>
        <v/>
      </c>
      <c r="AH58" s="325" t="str">
        <f ca="1">IF(AK58="","",INDIRECT("PEDIDO!"&amp;ADDRESS('1. DADOS'!E68+16,3)))</f>
        <v/>
      </c>
      <c r="AI58" s="326" t="str">
        <f ca="1">IF(AK58="","",INDIRECT("PEDIDO!"&amp;ADDRESS('1. DADOS'!E68+16,4)))</f>
        <v/>
      </c>
      <c r="AJ58" s="327" t="str">
        <f t="shared" ca="1" si="4"/>
        <v/>
      </c>
      <c r="AK58" s="327" t="str">
        <f ca="1">IFERROR(IF(INDIRECT("PEDIDO!"&amp;ADDRESS('1. DADOS'!E68+16,80))=0,"",INDIRECT("PEDIDO!"&amp;ADDRESS('1. DADOS'!E68+16,80))),"")</f>
        <v/>
      </c>
      <c r="AL58" s="328" t="str">
        <f ca="1">IF(AK58="","",INDIRECT("PEDIDO!"&amp;ADDRESS('1. DADOS'!E68+16,72)))</f>
        <v/>
      </c>
      <c r="AM58" s="328" t="str">
        <f ca="1">IF(AK58="","",INDIRECT("PEDIDO!"&amp;ADDRESS('1. DADOS'!E68+16,73)))</f>
        <v/>
      </c>
      <c r="AN58" s="328" t="str">
        <f ca="1">IF(AK58="","",INDIRECT("PEDIDO!"&amp;ADDRESS('1. DADOS'!E68+16,77)))</f>
        <v/>
      </c>
      <c r="AO58" s="328" t="str">
        <f ca="1">IF(AK58="","",INDIRECT("PEDIDO!"&amp;ADDRESS('1. DADOS'!E68+16,74)))</f>
        <v/>
      </c>
      <c r="AP58" s="328" t="str">
        <f ca="1">IF(AK58="","",INDIRECT("PEDIDO!"&amp;ADDRESS('1. DADOS'!E68+16,75)))</f>
        <v/>
      </c>
      <c r="AQ58" s="328" t="str">
        <f ca="1">IF(AK58="","",INDIRECT("PEDIDO!"&amp;ADDRESS('1. DADOS'!E68+16,76)))</f>
        <v/>
      </c>
      <c r="AR58" s="328" t="str">
        <f ca="1">IF(AK58="","",INDIRECT("PEDIDO!"&amp;ADDRESS('1. DADOS'!E68+16,78)))</f>
        <v/>
      </c>
      <c r="AS58" s="328" t="str">
        <f ca="1">IF(AK58="","",INDIRECT("PEDIDO!"&amp;ADDRESS('1. DADOS'!E68+16,79)))</f>
        <v/>
      </c>
      <c r="AT58" s="329" t="str">
        <f ca="1">IF(AK58="","",PEDIDO!$S$3+CHOOSE(PEDIDO!$Y$4,'1. DADOS'!$H$4,'1. DADOS'!$H$5,'1. DADOS'!$H$6,'1. DADOS'!$H$7,'1. DADOS'!$H$8,'1. DADOS'!$H$9))</f>
        <v/>
      </c>
      <c r="AU58" s="329" t="str">
        <f ca="1">IF(AK58="","",PEDIDO!$S$3+CHOOSE(PEDIDO!$Y$4,'1. DADOS'!$I$4,'1. DADOS'!$I$5,'1. DADOS'!$I$6,'1. DADOS'!$I$7,'1. DADOS'!$I$8,'1. DADOS'!$I$9))</f>
        <v/>
      </c>
    </row>
    <row r="59" spans="2:47" x14ac:dyDescent="0.25">
      <c r="W59" s="321" t="str">
        <f ca="1">IF(AK59="","",PEDIDO!$S$3)</f>
        <v/>
      </c>
      <c r="X59" s="322" t="str">
        <f ca="1">IF(AK59="","",CHOOSE(PEDIDO!$Y$4,'1. DADOS'!$F$4,'1. DADOS'!$F$5,'1. DADOS'!$F$6,'1. DADOS'!$F$7,'1. DADOS'!$F$8,'1. DADOS'!$F$9))</f>
        <v/>
      </c>
      <c r="Y59" s="322" t="str">
        <f ca="1">IF(AK59="","",PEDIDO!$D$4)</f>
        <v/>
      </c>
      <c r="Z59" s="323" t="str">
        <f ca="1">IF(AK59="","",PEDIDO!$S$5)</f>
        <v/>
      </c>
      <c r="AA59" s="323" t="str">
        <f ca="1">IF(AK59="","",PEDIDO!$L$4)</f>
        <v/>
      </c>
      <c r="AB59" s="323" t="str">
        <f t="shared" ca="1" si="2"/>
        <v/>
      </c>
      <c r="AC59" s="323" t="str">
        <f ca="1">IF(AK59="","",PEDIDO!$M$4)</f>
        <v/>
      </c>
      <c r="AD59" s="324" t="str">
        <f ca="1">IF(ORÇAMENTO!AK59="","",ESTADO)</f>
        <v/>
      </c>
      <c r="AE59" s="324" t="str">
        <f t="shared" ca="1" si="3"/>
        <v/>
      </c>
      <c r="AF59" s="324" t="str">
        <f ca="1">IF(AK59="","",CHOOSE(PEDIDO!$AB$7,PEDIDO!$AA$4,PEDIDO!$AA$5,PEDIDO!$AA$6))</f>
        <v/>
      </c>
      <c r="AG59" s="323" t="str">
        <f>""</f>
        <v/>
      </c>
      <c r="AH59" s="325" t="str">
        <f ca="1">IF(AK59="","",INDIRECT("PEDIDO!"&amp;ADDRESS('1. DADOS'!E69+16,3)))</f>
        <v/>
      </c>
      <c r="AI59" s="326" t="str">
        <f ca="1">IF(AK59="","",INDIRECT("PEDIDO!"&amp;ADDRESS('1. DADOS'!E69+16,4)))</f>
        <v/>
      </c>
      <c r="AJ59" s="327" t="str">
        <f t="shared" ca="1" si="4"/>
        <v/>
      </c>
      <c r="AK59" s="327" t="str">
        <f ca="1">IFERROR(IF(INDIRECT("PEDIDO!"&amp;ADDRESS('1. DADOS'!E69+16,80))=0,"",INDIRECT("PEDIDO!"&amp;ADDRESS('1. DADOS'!E69+16,80))),"")</f>
        <v/>
      </c>
      <c r="AL59" s="328" t="str">
        <f ca="1">IF(AK59="","",INDIRECT("PEDIDO!"&amp;ADDRESS('1. DADOS'!E69+16,72)))</f>
        <v/>
      </c>
      <c r="AM59" s="328" t="str">
        <f ca="1">IF(AK59="","",INDIRECT("PEDIDO!"&amp;ADDRESS('1. DADOS'!E69+16,73)))</f>
        <v/>
      </c>
      <c r="AN59" s="328" t="str">
        <f ca="1">IF(AK59="","",INDIRECT("PEDIDO!"&amp;ADDRESS('1. DADOS'!E69+16,77)))</f>
        <v/>
      </c>
      <c r="AO59" s="328" t="str">
        <f ca="1">IF(AK59="","",INDIRECT("PEDIDO!"&amp;ADDRESS('1. DADOS'!E69+16,74)))</f>
        <v/>
      </c>
      <c r="AP59" s="328" t="str">
        <f ca="1">IF(AK59="","",INDIRECT("PEDIDO!"&amp;ADDRESS('1. DADOS'!E69+16,75)))</f>
        <v/>
      </c>
      <c r="AQ59" s="328" t="str">
        <f ca="1">IF(AK59="","",INDIRECT("PEDIDO!"&amp;ADDRESS('1. DADOS'!E69+16,76)))</f>
        <v/>
      </c>
      <c r="AR59" s="328" t="str">
        <f ca="1">IF(AK59="","",INDIRECT("PEDIDO!"&amp;ADDRESS('1. DADOS'!E69+16,78)))</f>
        <v/>
      </c>
      <c r="AS59" s="328" t="str">
        <f ca="1">IF(AK59="","",INDIRECT("PEDIDO!"&amp;ADDRESS('1. DADOS'!E69+16,79)))</f>
        <v/>
      </c>
      <c r="AT59" s="329" t="str">
        <f ca="1">IF(AK59="","",PEDIDO!$S$3+CHOOSE(PEDIDO!$Y$4,'1. DADOS'!$H$4,'1. DADOS'!$H$5,'1. DADOS'!$H$6,'1. DADOS'!$H$7,'1. DADOS'!$H$8,'1. DADOS'!$H$9))</f>
        <v/>
      </c>
      <c r="AU59" s="329" t="str">
        <f ca="1">IF(AK59="","",PEDIDO!$S$3+CHOOSE(PEDIDO!$Y$4,'1. DADOS'!$I$4,'1. DADOS'!$I$5,'1. DADOS'!$I$6,'1. DADOS'!$I$7,'1. DADOS'!$I$8,'1. DADOS'!$I$9))</f>
        <v/>
      </c>
    </row>
    <row r="60" spans="2:47" x14ac:dyDescent="0.25">
      <c r="W60" s="321" t="str">
        <f ca="1">IF(AK60="","",PEDIDO!$S$3)</f>
        <v/>
      </c>
      <c r="X60" s="322" t="str">
        <f ca="1">IF(AK60="","",CHOOSE(PEDIDO!$Y$4,'1. DADOS'!$F$4,'1. DADOS'!$F$5,'1. DADOS'!$F$6,'1. DADOS'!$F$7,'1. DADOS'!$F$8,'1. DADOS'!$F$9))</f>
        <v/>
      </c>
      <c r="Y60" s="322" t="str">
        <f ca="1">IF(AK60="","",PEDIDO!$D$4)</f>
        <v/>
      </c>
      <c r="Z60" s="323" t="str">
        <f ca="1">IF(AK60="","",PEDIDO!$S$5)</f>
        <v/>
      </c>
      <c r="AA60" s="323" t="str">
        <f ca="1">IF(AK60="","",PEDIDO!$L$4)</f>
        <v/>
      </c>
      <c r="AB60" s="323" t="str">
        <f t="shared" ca="1" si="2"/>
        <v/>
      </c>
      <c r="AC60" s="323" t="str">
        <f ca="1">IF(AK60="","",PEDIDO!$M$4)</f>
        <v/>
      </c>
      <c r="AD60" s="324" t="str">
        <f ca="1">IF(ORÇAMENTO!AK60="","",ESTADO)</f>
        <v/>
      </c>
      <c r="AE60" s="324" t="str">
        <f t="shared" ca="1" si="3"/>
        <v/>
      </c>
      <c r="AF60" s="324" t="str">
        <f ca="1">IF(AK60="","",CHOOSE(PEDIDO!$AB$7,PEDIDO!$AA$4,PEDIDO!$AA$5,PEDIDO!$AA$6))</f>
        <v/>
      </c>
      <c r="AG60" s="323" t="str">
        <f>""</f>
        <v/>
      </c>
      <c r="AH60" s="325" t="str">
        <f ca="1">IF(AK60="","",INDIRECT("PEDIDO!"&amp;ADDRESS('1. DADOS'!E70+16,3)))</f>
        <v/>
      </c>
      <c r="AI60" s="326" t="str">
        <f ca="1">IF(AK60="","",INDIRECT("PEDIDO!"&amp;ADDRESS('1. DADOS'!E70+16,4)))</f>
        <v/>
      </c>
      <c r="AJ60" s="327" t="str">
        <f t="shared" ca="1" si="4"/>
        <v/>
      </c>
      <c r="AK60" s="327" t="str">
        <f ca="1">IFERROR(IF(INDIRECT("PEDIDO!"&amp;ADDRESS('1. DADOS'!E70+16,80))=0,"",INDIRECT("PEDIDO!"&amp;ADDRESS('1. DADOS'!E70+16,80))),"")</f>
        <v/>
      </c>
      <c r="AL60" s="328" t="str">
        <f ca="1">IF(AK60="","",INDIRECT("PEDIDO!"&amp;ADDRESS('1. DADOS'!E70+16,72)))</f>
        <v/>
      </c>
      <c r="AM60" s="328" t="str">
        <f ca="1">IF(AK60="","",INDIRECT("PEDIDO!"&amp;ADDRESS('1. DADOS'!E70+16,73)))</f>
        <v/>
      </c>
      <c r="AN60" s="328" t="str">
        <f ca="1">IF(AK60="","",INDIRECT("PEDIDO!"&amp;ADDRESS('1. DADOS'!E70+16,77)))</f>
        <v/>
      </c>
      <c r="AO60" s="328" t="str">
        <f ca="1">IF(AK60="","",INDIRECT("PEDIDO!"&amp;ADDRESS('1. DADOS'!E70+16,74)))</f>
        <v/>
      </c>
      <c r="AP60" s="328" t="str">
        <f ca="1">IF(AK60="","",INDIRECT("PEDIDO!"&amp;ADDRESS('1. DADOS'!E70+16,75)))</f>
        <v/>
      </c>
      <c r="AQ60" s="328" t="str">
        <f ca="1">IF(AK60="","",INDIRECT("PEDIDO!"&amp;ADDRESS('1. DADOS'!E70+16,76)))</f>
        <v/>
      </c>
      <c r="AR60" s="328" t="str">
        <f ca="1">IF(AK60="","",INDIRECT("PEDIDO!"&amp;ADDRESS('1. DADOS'!E70+16,78)))</f>
        <v/>
      </c>
      <c r="AS60" s="328" t="str">
        <f ca="1">IF(AK60="","",INDIRECT("PEDIDO!"&amp;ADDRESS('1. DADOS'!E70+16,79)))</f>
        <v/>
      </c>
      <c r="AT60" s="329" t="str">
        <f ca="1">IF(AK60="","",PEDIDO!$S$3+CHOOSE(PEDIDO!$Y$4,'1. DADOS'!$H$4,'1. DADOS'!$H$5,'1. DADOS'!$H$6,'1. DADOS'!$H$7,'1. DADOS'!$H$8,'1. DADOS'!$H$9))</f>
        <v/>
      </c>
      <c r="AU60" s="329" t="str">
        <f ca="1">IF(AK60="","",PEDIDO!$S$3+CHOOSE(PEDIDO!$Y$4,'1. DADOS'!$I$4,'1. DADOS'!$I$5,'1. DADOS'!$I$6,'1. DADOS'!$I$7,'1. DADOS'!$I$8,'1. DADOS'!$I$9))</f>
        <v/>
      </c>
    </row>
    <row r="61" spans="2:47" x14ac:dyDescent="0.25">
      <c r="W61" s="321" t="str">
        <f ca="1">IF(AK61="","",PEDIDO!$S$3)</f>
        <v/>
      </c>
      <c r="X61" s="322" t="str">
        <f ca="1">IF(AK61="","",CHOOSE(PEDIDO!$Y$4,'1. DADOS'!$F$4,'1. DADOS'!$F$5,'1. DADOS'!$F$6,'1. DADOS'!$F$7,'1. DADOS'!$F$8,'1. DADOS'!$F$9))</f>
        <v/>
      </c>
      <c r="Y61" s="322" t="str">
        <f ca="1">IF(AK61="","",PEDIDO!$D$4)</f>
        <v/>
      </c>
      <c r="Z61" s="323" t="str">
        <f ca="1">IF(AK61="","",PEDIDO!$S$5)</f>
        <v/>
      </c>
      <c r="AA61" s="323" t="str">
        <f ca="1">IF(AK61="","",PEDIDO!$L$4)</f>
        <v/>
      </c>
      <c r="AB61" s="323" t="str">
        <f t="shared" ca="1" si="2"/>
        <v/>
      </c>
      <c r="AC61" s="323" t="str">
        <f ca="1">IF(AK61="","",PEDIDO!$M$4)</f>
        <v/>
      </c>
      <c r="AD61" s="324" t="str">
        <f ca="1">IF(ORÇAMENTO!AK61="","",ESTADO)</f>
        <v/>
      </c>
      <c r="AE61" s="324" t="str">
        <f t="shared" ca="1" si="3"/>
        <v/>
      </c>
      <c r="AF61" s="324" t="str">
        <f ca="1">IF(AK61="","",CHOOSE(PEDIDO!$AB$7,PEDIDO!$AA$4,PEDIDO!$AA$5,PEDIDO!$AA$6))</f>
        <v/>
      </c>
      <c r="AG61" s="323" t="str">
        <f>""</f>
        <v/>
      </c>
      <c r="AH61" s="325" t="str">
        <f ca="1">IF(AK61="","",INDIRECT("PEDIDO!"&amp;ADDRESS('1. DADOS'!E71+16,3)))</f>
        <v/>
      </c>
      <c r="AI61" s="326" t="str">
        <f ca="1">IF(AK61="","",INDIRECT("PEDIDO!"&amp;ADDRESS('1. DADOS'!E71+16,4)))</f>
        <v/>
      </c>
      <c r="AJ61" s="327" t="str">
        <f t="shared" ca="1" si="4"/>
        <v/>
      </c>
      <c r="AK61" s="327" t="str">
        <f ca="1">IFERROR(IF(INDIRECT("PEDIDO!"&amp;ADDRESS('1. DADOS'!E71+16,80))=0,"",INDIRECT("PEDIDO!"&amp;ADDRESS('1. DADOS'!E71+16,80))),"")</f>
        <v/>
      </c>
      <c r="AL61" s="328" t="str">
        <f ca="1">IF(AK61="","",INDIRECT("PEDIDO!"&amp;ADDRESS('1. DADOS'!E71+16,72)))</f>
        <v/>
      </c>
      <c r="AM61" s="328" t="str">
        <f ca="1">IF(AK61="","",INDIRECT("PEDIDO!"&amp;ADDRESS('1. DADOS'!E71+16,73)))</f>
        <v/>
      </c>
      <c r="AN61" s="328" t="str">
        <f ca="1">IF(AK61="","",INDIRECT("PEDIDO!"&amp;ADDRESS('1. DADOS'!E71+16,77)))</f>
        <v/>
      </c>
      <c r="AO61" s="328" t="str">
        <f ca="1">IF(AK61="","",INDIRECT("PEDIDO!"&amp;ADDRESS('1. DADOS'!E71+16,74)))</f>
        <v/>
      </c>
      <c r="AP61" s="328" t="str">
        <f ca="1">IF(AK61="","",INDIRECT("PEDIDO!"&amp;ADDRESS('1. DADOS'!E71+16,75)))</f>
        <v/>
      </c>
      <c r="AQ61" s="328" t="str">
        <f ca="1">IF(AK61="","",INDIRECT("PEDIDO!"&amp;ADDRESS('1. DADOS'!E71+16,76)))</f>
        <v/>
      </c>
      <c r="AR61" s="328" t="str">
        <f ca="1">IF(AK61="","",INDIRECT("PEDIDO!"&amp;ADDRESS('1. DADOS'!E71+16,78)))</f>
        <v/>
      </c>
      <c r="AS61" s="328" t="str">
        <f ca="1">IF(AK61="","",INDIRECT("PEDIDO!"&amp;ADDRESS('1. DADOS'!E71+16,79)))</f>
        <v/>
      </c>
      <c r="AT61" s="329" t="str">
        <f ca="1">IF(AK61="","",PEDIDO!$S$3+CHOOSE(PEDIDO!$Y$4,'1. DADOS'!$H$4,'1. DADOS'!$H$5,'1. DADOS'!$H$6,'1. DADOS'!$H$7,'1. DADOS'!$H$8,'1. DADOS'!$H$9))</f>
        <v/>
      </c>
      <c r="AU61" s="329" t="str">
        <f ca="1">IF(AK61="","",PEDIDO!$S$3+CHOOSE(PEDIDO!$Y$4,'1. DADOS'!$I$4,'1. DADOS'!$I$5,'1. DADOS'!$I$6,'1. DADOS'!$I$7,'1. DADOS'!$I$8,'1. DADOS'!$I$9))</f>
        <v/>
      </c>
    </row>
    <row r="62" spans="2:47" x14ac:dyDescent="0.25">
      <c r="W62" s="321" t="str">
        <f ca="1">IF(AK62="","",PEDIDO!$S$3)</f>
        <v/>
      </c>
      <c r="X62" s="322" t="str">
        <f ca="1">IF(AK62="","",CHOOSE(PEDIDO!$Y$4,'1. DADOS'!$F$4,'1. DADOS'!$F$5,'1. DADOS'!$F$6,'1. DADOS'!$F$7,'1. DADOS'!$F$8,'1. DADOS'!$F$9))</f>
        <v/>
      </c>
      <c r="Y62" s="322" t="str">
        <f ca="1">IF(AK62="","",PEDIDO!$D$4)</f>
        <v/>
      </c>
      <c r="Z62" s="323" t="str">
        <f ca="1">IF(AK62="","",PEDIDO!$S$5)</f>
        <v/>
      </c>
      <c r="AA62" s="323" t="str">
        <f ca="1">IF(AK62="","",PEDIDO!$L$4)</f>
        <v/>
      </c>
      <c r="AB62" s="323" t="str">
        <f t="shared" ca="1" si="2"/>
        <v/>
      </c>
      <c r="AC62" s="323" t="str">
        <f ca="1">IF(AK62="","",PEDIDO!$M$4)</f>
        <v/>
      </c>
      <c r="AD62" s="324" t="str">
        <f ca="1">IF(ORÇAMENTO!AK62="","",ESTADO)</f>
        <v/>
      </c>
      <c r="AE62" s="324" t="str">
        <f t="shared" ca="1" si="3"/>
        <v/>
      </c>
      <c r="AF62" s="324" t="str">
        <f ca="1">IF(AK62="","",CHOOSE(PEDIDO!$AB$7,PEDIDO!$AA$4,PEDIDO!$AA$5,PEDIDO!$AA$6))</f>
        <v/>
      </c>
      <c r="AG62" s="323" t="str">
        <f>""</f>
        <v/>
      </c>
      <c r="AH62" s="325" t="str">
        <f ca="1">IF(AK62="","",INDIRECT("PEDIDO!"&amp;ADDRESS('1. DADOS'!E72+16,3)))</f>
        <v/>
      </c>
      <c r="AI62" s="326" t="str">
        <f ca="1">IF(AK62="","",INDIRECT("PEDIDO!"&amp;ADDRESS('1. DADOS'!E72+16,4)))</f>
        <v/>
      </c>
      <c r="AJ62" s="327" t="str">
        <f t="shared" ca="1" si="4"/>
        <v/>
      </c>
      <c r="AK62" s="327" t="str">
        <f ca="1">IFERROR(IF(INDIRECT("PEDIDO!"&amp;ADDRESS('1. DADOS'!E72+16,80))=0,"",INDIRECT("PEDIDO!"&amp;ADDRESS('1. DADOS'!E72+16,80))),"")</f>
        <v/>
      </c>
      <c r="AL62" s="328" t="str">
        <f ca="1">IF(AK62="","",INDIRECT("PEDIDO!"&amp;ADDRESS('1. DADOS'!E72+16,72)))</f>
        <v/>
      </c>
      <c r="AM62" s="328" t="str">
        <f ca="1">IF(AK62="","",INDIRECT("PEDIDO!"&amp;ADDRESS('1. DADOS'!E72+16,73)))</f>
        <v/>
      </c>
      <c r="AN62" s="328" t="str">
        <f ca="1">IF(AK62="","",INDIRECT("PEDIDO!"&amp;ADDRESS('1. DADOS'!E72+16,77)))</f>
        <v/>
      </c>
      <c r="AO62" s="328" t="str">
        <f ca="1">IF(AK62="","",INDIRECT("PEDIDO!"&amp;ADDRESS('1. DADOS'!E72+16,74)))</f>
        <v/>
      </c>
      <c r="AP62" s="328" t="str">
        <f ca="1">IF(AK62="","",INDIRECT("PEDIDO!"&amp;ADDRESS('1. DADOS'!E72+16,75)))</f>
        <v/>
      </c>
      <c r="AQ62" s="328" t="str">
        <f ca="1">IF(AK62="","",INDIRECT("PEDIDO!"&amp;ADDRESS('1. DADOS'!E72+16,76)))</f>
        <v/>
      </c>
      <c r="AR62" s="328" t="str">
        <f ca="1">IF(AK62="","",INDIRECT("PEDIDO!"&amp;ADDRESS('1. DADOS'!E72+16,78)))</f>
        <v/>
      </c>
      <c r="AS62" s="328" t="str">
        <f ca="1">IF(AK62="","",INDIRECT("PEDIDO!"&amp;ADDRESS('1. DADOS'!E72+16,79)))</f>
        <v/>
      </c>
      <c r="AT62" s="329" t="str">
        <f ca="1">IF(AK62="","",PEDIDO!$S$3+CHOOSE(PEDIDO!$Y$4,'1. DADOS'!$H$4,'1. DADOS'!$H$5,'1. DADOS'!$H$6,'1. DADOS'!$H$7,'1. DADOS'!$H$8,'1. DADOS'!$H$9))</f>
        <v/>
      </c>
      <c r="AU62" s="329" t="str">
        <f ca="1">IF(AK62="","",PEDIDO!$S$3+CHOOSE(PEDIDO!$Y$4,'1. DADOS'!$I$4,'1. DADOS'!$I$5,'1. DADOS'!$I$6,'1. DADOS'!$I$7,'1. DADOS'!$I$8,'1. DADOS'!$I$9))</f>
        <v/>
      </c>
    </row>
    <row r="63" spans="2:47" x14ac:dyDescent="0.25">
      <c r="W63" s="321" t="str">
        <f ca="1">IF(AK63="","",PEDIDO!$S$3)</f>
        <v/>
      </c>
      <c r="X63" s="322" t="str">
        <f ca="1">IF(AK63="","",CHOOSE(PEDIDO!$Y$4,'1. DADOS'!$F$4,'1. DADOS'!$F$5,'1. DADOS'!$F$6,'1. DADOS'!$F$7,'1. DADOS'!$F$8,'1. DADOS'!$F$9))</f>
        <v/>
      </c>
      <c r="Y63" s="322" t="str">
        <f ca="1">IF(AK63="","",PEDIDO!$D$4)</f>
        <v/>
      </c>
      <c r="Z63" s="323" t="str">
        <f ca="1">IF(AK63="","",PEDIDO!$S$5)</f>
        <v/>
      </c>
      <c r="AA63" s="323" t="str">
        <f ca="1">IF(AK63="","",PEDIDO!$L$4)</f>
        <v/>
      </c>
      <c r="AB63" s="323" t="str">
        <f t="shared" ca="1" si="2"/>
        <v/>
      </c>
      <c r="AC63" s="323" t="str">
        <f ca="1">IF(AK63="","",PEDIDO!$M$4)</f>
        <v/>
      </c>
      <c r="AD63" s="324" t="str">
        <f ca="1">IF(ORÇAMENTO!AK63="","",ESTADO)</f>
        <v/>
      </c>
      <c r="AE63" s="324" t="str">
        <f t="shared" ca="1" si="3"/>
        <v/>
      </c>
      <c r="AF63" s="324" t="str">
        <f ca="1">IF(AK63="","",CHOOSE(PEDIDO!$AB$7,PEDIDO!$AA$4,PEDIDO!$AA$5,PEDIDO!$AA$6))</f>
        <v/>
      </c>
      <c r="AG63" s="323" t="str">
        <f>""</f>
        <v/>
      </c>
      <c r="AH63" s="325" t="str">
        <f ca="1">IF(AK63="","",INDIRECT("PEDIDO!"&amp;ADDRESS('1. DADOS'!E73+16,3)))</f>
        <v/>
      </c>
      <c r="AI63" s="326" t="str">
        <f ca="1">IF(AK63="","",INDIRECT("PEDIDO!"&amp;ADDRESS('1. DADOS'!E73+16,4)))</f>
        <v/>
      </c>
      <c r="AJ63" s="327" t="str">
        <f t="shared" ca="1" si="4"/>
        <v/>
      </c>
      <c r="AK63" s="327" t="str">
        <f ca="1">IFERROR(IF(INDIRECT("PEDIDO!"&amp;ADDRESS('1. DADOS'!E73+16,80))=0,"",INDIRECT("PEDIDO!"&amp;ADDRESS('1. DADOS'!E73+16,80))),"")</f>
        <v/>
      </c>
      <c r="AL63" s="328" t="str">
        <f ca="1">IF(AK63="","",INDIRECT("PEDIDO!"&amp;ADDRESS('1. DADOS'!E73+16,72)))</f>
        <v/>
      </c>
      <c r="AM63" s="328" t="str">
        <f ca="1">IF(AK63="","",INDIRECT("PEDIDO!"&amp;ADDRESS('1. DADOS'!E73+16,73)))</f>
        <v/>
      </c>
      <c r="AN63" s="328" t="str">
        <f ca="1">IF(AK63="","",INDIRECT("PEDIDO!"&amp;ADDRESS('1. DADOS'!E73+16,77)))</f>
        <v/>
      </c>
      <c r="AO63" s="328" t="str">
        <f ca="1">IF(AK63="","",INDIRECT("PEDIDO!"&amp;ADDRESS('1. DADOS'!E73+16,74)))</f>
        <v/>
      </c>
      <c r="AP63" s="328" t="str">
        <f ca="1">IF(AK63="","",INDIRECT("PEDIDO!"&amp;ADDRESS('1. DADOS'!E73+16,75)))</f>
        <v/>
      </c>
      <c r="AQ63" s="328" t="str">
        <f ca="1">IF(AK63="","",INDIRECT("PEDIDO!"&amp;ADDRESS('1. DADOS'!E73+16,76)))</f>
        <v/>
      </c>
      <c r="AR63" s="328" t="str">
        <f ca="1">IF(AK63="","",INDIRECT("PEDIDO!"&amp;ADDRESS('1. DADOS'!E73+16,78)))</f>
        <v/>
      </c>
      <c r="AS63" s="328" t="str">
        <f ca="1">IF(AK63="","",INDIRECT("PEDIDO!"&amp;ADDRESS('1. DADOS'!E73+16,79)))</f>
        <v/>
      </c>
      <c r="AT63" s="329" t="str">
        <f ca="1">IF(AK63="","",PEDIDO!$S$3+CHOOSE(PEDIDO!$Y$4,'1. DADOS'!$H$4,'1. DADOS'!$H$5,'1. DADOS'!$H$6,'1. DADOS'!$H$7,'1. DADOS'!$H$8,'1. DADOS'!$H$9))</f>
        <v/>
      </c>
      <c r="AU63" s="329" t="str">
        <f ca="1">IF(AK63="","",PEDIDO!$S$3+CHOOSE(PEDIDO!$Y$4,'1. DADOS'!$I$4,'1. DADOS'!$I$5,'1. DADOS'!$I$6,'1. DADOS'!$I$7,'1. DADOS'!$I$8,'1. DADOS'!$I$9))</f>
        <v/>
      </c>
    </row>
    <row r="64" spans="2:47" x14ac:dyDescent="0.25">
      <c r="W64" s="321" t="str">
        <f ca="1">IF(AK64="","",PEDIDO!$S$3)</f>
        <v/>
      </c>
      <c r="X64" s="322" t="str">
        <f ca="1">IF(AK64="","",CHOOSE(PEDIDO!$Y$4,'1. DADOS'!$F$4,'1. DADOS'!$F$5,'1. DADOS'!$F$6,'1. DADOS'!$F$7,'1. DADOS'!$F$8,'1. DADOS'!$F$9))</f>
        <v/>
      </c>
      <c r="Y64" s="322" t="str">
        <f ca="1">IF(AK64="","",PEDIDO!$D$4)</f>
        <v/>
      </c>
      <c r="Z64" s="323" t="str">
        <f ca="1">IF(AK64="","",PEDIDO!$S$5)</f>
        <v/>
      </c>
      <c r="AA64" s="323" t="str">
        <f ca="1">IF(AK64="","",PEDIDO!$L$4)</f>
        <v/>
      </c>
      <c r="AB64" s="323" t="str">
        <f t="shared" ca="1" si="2"/>
        <v/>
      </c>
      <c r="AC64" s="323" t="str">
        <f ca="1">IF(AK64="","",PEDIDO!$M$4)</f>
        <v/>
      </c>
      <c r="AD64" s="324" t="str">
        <f ca="1">IF(ORÇAMENTO!AK64="","",ESTADO)</f>
        <v/>
      </c>
      <c r="AE64" s="324" t="str">
        <f t="shared" ca="1" si="3"/>
        <v/>
      </c>
      <c r="AF64" s="324" t="str">
        <f ca="1">IF(AK64="","",CHOOSE(PEDIDO!$AB$7,PEDIDO!$AA$4,PEDIDO!$AA$5,PEDIDO!$AA$6))</f>
        <v/>
      </c>
      <c r="AG64" s="323" t="str">
        <f>""</f>
        <v/>
      </c>
      <c r="AH64" s="325" t="str">
        <f ca="1">IF(AK64="","",INDIRECT("PEDIDO!"&amp;ADDRESS('1. DADOS'!E74+16,3)))</f>
        <v/>
      </c>
      <c r="AI64" s="326" t="str">
        <f ca="1">IF(AK64="","",INDIRECT("PEDIDO!"&amp;ADDRESS('1. DADOS'!E74+16,4)))</f>
        <v/>
      </c>
      <c r="AJ64" s="327" t="str">
        <f t="shared" ca="1" si="4"/>
        <v/>
      </c>
      <c r="AK64" s="327" t="str">
        <f ca="1">IFERROR(IF(INDIRECT("PEDIDO!"&amp;ADDRESS('1. DADOS'!E74+16,80))=0,"",INDIRECT("PEDIDO!"&amp;ADDRESS('1. DADOS'!E74+16,80))),"")</f>
        <v/>
      </c>
      <c r="AL64" s="328" t="str">
        <f ca="1">IF(AK64="","",INDIRECT("PEDIDO!"&amp;ADDRESS('1. DADOS'!E74+16,72)))</f>
        <v/>
      </c>
      <c r="AM64" s="328" t="str">
        <f ca="1">IF(AK64="","",INDIRECT("PEDIDO!"&amp;ADDRESS('1. DADOS'!E74+16,73)))</f>
        <v/>
      </c>
      <c r="AN64" s="328" t="str">
        <f ca="1">IF(AK64="","",INDIRECT("PEDIDO!"&amp;ADDRESS('1. DADOS'!E74+16,77)))</f>
        <v/>
      </c>
      <c r="AO64" s="328" t="str">
        <f ca="1">IF(AK64="","",INDIRECT("PEDIDO!"&amp;ADDRESS('1. DADOS'!E74+16,74)))</f>
        <v/>
      </c>
      <c r="AP64" s="328" t="str">
        <f ca="1">IF(AK64="","",INDIRECT("PEDIDO!"&amp;ADDRESS('1. DADOS'!E74+16,75)))</f>
        <v/>
      </c>
      <c r="AQ64" s="328" t="str">
        <f ca="1">IF(AK64="","",INDIRECT("PEDIDO!"&amp;ADDRESS('1. DADOS'!E74+16,76)))</f>
        <v/>
      </c>
      <c r="AR64" s="328" t="str">
        <f ca="1">IF(AK64="","",INDIRECT("PEDIDO!"&amp;ADDRESS('1. DADOS'!E74+16,78)))</f>
        <v/>
      </c>
      <c r="AS64" s="328" t="str">
        <f ca="1">IF(AK64="","",INDIRECT("PEDIDO!"&amp;ADDRESS('1. DADOS'!E74+16,79)))</f>
        <v/>
      </c>
      <c r="AT64" s="329" t="str">
        <f ca="1">IF(AK64="","",PEDIDO!$S$3+CHOOSE(PEDIDO!$Y$4,'1. DADOS'!$H$4,'1. DADOS'!$H$5,'1. DADOS'!$H$6,'1. DADOS'!$H$7,'1. DADOS'!$H$8,'1. DADOS'!$H$9))</f>
        <v/>
      </c>
      <c r="AU64" s="329" t="str">
        <f ca="1">IF(AK64="","",PEDIDO!$S$3+CHOOSE(PEDIDO!$Y$4,'1. DADOS'!$I$4,'1. DADOS'!$I$5,'1. DADOS'!$I$6,'1. DADOS'!$I$7,'1. DADOS'!$I$8,'1. DADOS'!$I$9))</f>
        <v/>
      </c>
    </row>
    <row r="65" spans="23:47" x14ac:dyDescent="0.25">
      <c r="W65" s="321" t="str">
        <f ca="1">IF(AK65="","",PEDIDO!$S$3)</f>
        <v/>
      </c>
      <c r="X65" s="322" t="str">
        <f ca="1">IF(AK65="","",CHOOSE(PEDIDO!$Y$4,'1. DADOS'!$F$4,'1. DADOS'!$F$5,'1. DADOS'!$F$6,'1. DADOS'!$F$7,'1. DADOS'!$F$8,'1. DADOS'!$F$9))</f>
        <v/>
      </c>
      <c r="Y65" s="322" t="str">
        <f ca="1">IF(AK65="","",PEDIDO!$D$4)</f>
        <v/>
      </c>
      <c r="Z65" s="323" t="str">
        <f ca="1">IF(AK65="","",PEDIDO!$S$5)</f>
        <v/>
      </c>
      <c r="AA65" s="323" t="str">
        <f ca="1">IF(AK65="","",PEDIDO!$L$4)</f>
        <v/>
      </c>
      <c r="AB65" s="323" t="str">
        <f t="shared" ca="1" si="2"/>
        <v/>
      </c>
      <c r="AC65" s="323" t="str">
        <f ca="1">IF(AK65="","",PEDIDO!$M$4)</f>
        <v/>
      </c>
      <c r="AD65" s="324" t="str">
        <f ca="1">IF(ORÇAMENTO!AK65="","",ESTADO)</f>
        <v/>
      </c>
      <c r="AE65" s="324" t="str">
        <f t="shared" ca="1" si="3"/>
        <v/>
      </c>
      <c r="AF65" s="324" t="str">
        <f ca="1">IF(AK65="","",CHOOSE(PEDIDO!$AB$7,PEDIDO!$AA$4,PEDIDO!$AA$5,PEDIDO!$AA$6))</f>
        <v/>
      </c>
      <c r="AG65" s="323" t="str">
        <f>""</f>
        <v/>
      </c>
      <c r="AH65" s="325" t="str">
        <f ca="1">IF(AK65="","",INDIRECT("PEDIDO!"&amp;ADDRESS('1. DADOS'!E75+16,3)))</f>
        <v/>
      </c>
      <c r="AI65" s="326" t="str">
        <f ca="1">IF(AK65="","",INDIRECT("PEDIDO!"&amp;ADDRESS('1. DADOS'!E75+16,4)))</f>
        <v/>
      </c>
      <c r="AJ65" s="327" t="str">
        <f t="shared" ca="1" si="4"/>
        <v/>
      </c>
      <c r="AK65" s="327" t="str">
        <f ca="1">IFERROR(IF(INDIRECT("PEDIDO!"&amp;ADDRESS('1. DADOS'!E75+16,80))=0,"",INDIRECT("PEDIDO!"&amp;ADDRESS('1. DADOS'!E75+16,80))),"")</f>
        <v/>
      </c>
      <c r="AL65" s="328" t="str">
        <f ca="1">IF(AK65="","",INDIRECT("PEDIDO!"&amp;ADDRESS('1. DADOS'!E75+16,72)))</f>
        <v/>
      </c>
      <c r="AM65" s="328" t="str">
        <f ca="1">IF(AK65="","",INDIRECT("PEDIDO!"&amp;ADDRESS('1. DADOS'!E75+16,73)))</f>
        <v/>
      </c>
      <c r="AN65" s="328" t="str">
        <f ca="1">IF(AK65="","",INDIRECT("PEDIDO!"&amp;ADDRESS('1. DADOS'!E75+16,77)))</f>
        <v/>
      </c>
      <c r="AO65" s="328" t="str">
        <f ca="1">IF(AK65="","",INDIRECT("PEDIDO!"&amp;ADDRESS('1. DADOS'!E75+16,74)))</f>
        <v/>
      </c>
      <c r="AP65" s="328" t="str">
        <f ca="1">IF(AK65="","",INDIRECT("PEDIDO!"&amp;ADDRESS('1. DADOS'!E75+16,75)))</f>
        <v/>
      </c>
      <c r="AQ65" s="328" t="str">
        <f ca="1">IF(AK65="","",INDIRECT("PEDIDO!"&amp;ADDRESS('1. DADOS'!E75+16,76)))</f>
        <v/>
      </c>
      <c r="AR65" s="328" t="str">
        <f ca="1">IF(AK65="","",INDIRECT("PEDIDO!"&amp;ADDRESS('1. DADOS'!E75+16,78)))</f>
        <v/>
      </c>
      <c r="AS65" s="328" t="str">
        <f ca="1">IF(AK65="","",INDIRECT("PEDIDO!"&amp;ADDRESS('1. DADOS'!E75+16,79)))</f>
        <v/>
      </c>
      <c r="AT65" s="329" t="str">
        <f ca="1">IF(AK65="","",PEDIDO!$S$3+CHOOSE(PEDIDO!$Y$4,'1. DADOS'!$H$4,'1. DADOS'!$H$5,'1. DADOS'!$H$6,'1. DADOS'!$H$7,'1. DADOS'!$H$8,'1. DADOS'!$H$9))</f>
        <v/>
      </c>
      <c r="AU65" s="329" t="str">
        <f ca="1">IF(AK65="","",PEDIDO!$S$3+CHOOSE(PEDIDO!$Y$4,'1. DADOS'!$I$4,'1. DADOS'!$I$5,'1. DADOS'!$I$6,'1. DADOS'!$I$7,'1. DADOS'!$I$8,'1. DADOS'!$I$9))</f>
        <v/>
      </c>
    </row>
    <row r="66" spans="23:47" x14ac:dyDescent="0.25">
      <c r="W66" s="321" t="str">
        <f ca="1">IF(AK66="","",PEDIDO!$S$3)</f>
        <v/>
      </c>
      <c r="X66" s="322" t="str">
        <f ca="1">IF(AK66="","",CHOOSE(PEDIDO!$Y$4,'1. DADOS'!$F$4,'1. DADOS'!$F$5,'1. DADOS'!$F$6,'1. DADOS'!$F$7,'1. DADOS'!$F$8,'1. DADOS'!$F$9))</f>
        <v/>
      </c>
      <c r="Y66" s="322" t="str">
        <f ca="1">IF(AK66="","",PEDIDO!$D$4)</f>
        <v/>
      </c>
      <c r="Z66" s="323" t="str">
        <f ca="1">IF(AK66="","",PEDIDO!$S$5)</f>
        <v/>
      </c>
      <c r="AA66" s="323" t="str">
        <f ca="1">IF(AK66="","",PEDIDO!$L$4)</f>
        <v/>
      </c>
      <c r="AB66" s="323" t="str">
        <f t="shared" ca="1" si="2"/>
        <v/>
      </c>
      <c r="AC66" s="323" t="str">
        <f ca="1">IF(AK66="","",PEDIDO!$M$4)</f>
        <v/>
      </c>
      <c r="AD66" s="324" t="str">
        <f ca="1">IF(ORÇAMENTO!AK66="","",ESTADO)</f>
        <v/>
      </c>
      <c r="AE66" s="324" t="str">
        <f t="shared" ca="1" si="3"/>
        <v/>
      </c>
      <c r="AF66" s="324" t="str">
        <f ca="1">IF(AK66="","",CHOOSE(PEDIDO!$AB$7,PEDIDO!$AA$4,PEDIDO!$AA$5,PEDIDO!$AA$6))</f>
        <v/>
      </c>
      <c r="AG66" s="323" t="str">
        <f>""</f>
        <v/>
      </c>
      <c r="AH66" s="325" t="str">
        <f ca="1">IF(AK66="","",INDIRECT("PEDIDO!"&amp;ADDRESS('1. DADOS'!E76+16,3)))</f>
        <v/>
      </c>
      <c r="AI66" s="326" t="str">
        <f ca="1">IF(AK66="","",INDIRECT("PEDIDO!"&amp;ADDRESS('1. DADOS'!E76+16,4)))</f>
        <v/>
      </c>
      <c r="AJ66" s="327" t="str">
        <f t="shared" ca="1" si="4"/>
        <v/>
      </c>
      <c r="AK66" s="327" t="str">
        <f ca="1">IFERROR(IF(INDIRECT("PEDIDO!"&amp;ADDRESS('1. DADOS'!E76+16,80))=0,"",INDIRECT("PEDIDO!"&amp;ADDRESS('1. DADOS'!E76+16,80))),"")</f>
        <v/>
      </c>
      <c r="AL66" s="328" t="str">
        <f ca="1">IF(AK66="","",INDIRECT("PEDIDO!"&amp;ADDRESS('1. DADOS'!E76+16,72)))</f>
        <v/>
      </c>
      <c r="AM66" s="328" t="str">
        <f ca="1">IF(AK66="","",INDIRECT("PEDIDO!"&amp;ADDRESS('1. DADOS'!E76+16,73)))</f>
        <v/>
      </c>
      <c r="AN66" s="328" t="str">
        <f ca="1">IF(AK66="","",INDIRECT("PEDIDO!"&amp;ADDRESS('1. DADOS'!E76+16,77)))</f>
        <v/>
      </c>
      <c r="AO66" s="328" t="str">
        <f ca="1">IF(AK66="","",INDIRECT("PEDIDO!"&amp;ADDRESS('1. DADOS'!E76+16,74)))</f>
        <v/>
      </c>
      <c r="AP66" s="328" t="str">
        <f ca="1">IF(AK66="","",INDIRECT("PEDIDO!"&amp;ADDRESS('1. DADOS'!E76+16,75)))</f>
        <v/>
      </c>
      <c r="AQ66" s="328" t="str">
        <f ca="1">IF(AK66="","",INDIRECT("PEDIDO!"&amp;ADDRESS('1. DADOS'!E76+16,76)))</f>
        <v/>
      </c>
      <c r="AR66" s="328" t="str">
        <f ca="1">IF(AK66="","",INDIRECT("PEDIDO!"&amp;ADDRESS('1. DADOS'!E76+16,78)))</f>
        <v/>
      </c>
      <c r="AS66" s="328" t="str">
        <f ca="1">IF(AK66="","",INDIRECT("PEDIDO!"&amp;ADDRESS('1. DADOS'!E76+16,79)))</f>
        <v/>
      </c>
      <c r="AT66" s="329" t="str">
        <f ca="1">IF(AK66="","",PEDIDO!$S$3+CHOOSE(PEDIDO!$Y$4,'1. DADOS'!$H$4,'1. DADOS'!$H$5,'1. DADOS'!$H$6,'1. DADOS'!$H$7,'1. DADOS'!$H$8,'1. DADOS'!$H$9))</f>
        <v/>
      </c>
      <c r="AU66" s="329" t="str">
        <f ca="1">IF(AK66="","",PEDIDO!$S$3+CHOOSE(PEDIDO!$Y$4,'1. DADOS'!$I$4,'1. DADOS'!$I$5,'1. DADOS'!$I$6,'1. DADOS'!$I$7,'1. DADOS'!$I$8,'1. DADOS'!$I$9))</f>
        <v/>
      </c>
    </row>
    <row r="67" spans="23:47" x14ac:dyDescent="0.25">
      <c r="W67" s="321" t="str">
        <f ca="1">IF(AK67="","",PEDIDO!$S$3)</f>
        <v/>
      </c>
      <c r="X67" s="322" t="str">
        <f ca="1">IF(AK67="","",CHOOSE(PEDIDO!$Y$4,'1. DADOS'!$F$4,'1. DADOS'!$F$5,'1. DADOS'!$F$6,'1. DADOS'!$F$7,'1. DADOS'!$F$8,'1. DADOS'!$F$9))</f>
        <v/>
      </c>
      <c r="Y67" s="322" t="str">
        <f ca="1">IF(AK67="","",PEDIDO!$D$4)</f>
        <v/>
      </c>
      <c r="Z67" s="323" t="str">
        <f ca="1">IF(AK67="","",PEDIDO!$S$5)</f>
        <v/>
      </c>
      <c r="AA67" s="323" t="str">
        <f ca="1">IF(AK67="","",PEDIDO!$L$4)</f>
        <v/>
      </c>
      <c r="AB67" s="323" t="str">
        <f t="shared" ca="1" si="2"/>
        <v/>
      </c>
      <c r="AC67" s="323" t="str">
        <f ca="1">IF(AK67="","",PEDIDO!$M$4)</f>
        <v/>
      </c>
      <c r="AD67" s="324" t="str">
        <f ca="1">IF(ORÇAMENTO!AK67="","",ESTADO)</f>
        <v/>
      </c>
      <c r="AE67" s="324" t="str">
        <f t="shared" ca="1" si="3"/>
        <v/>
      </c>
      <c r="AF67" s="324" t="str">
        <f ca="1">IF(AK67="","",CHOOSE(PEDIDO!$AB$7,PEDIDO!$AA$4,PEDIDO!$AA$5,PEDIDO!$AA$6))</f>
        <v/>
      </c>
      <c r="AG67" s="323" t="str">
        <f>""</f>
        <v/>
      </c>
      <c r="AH67" s="325" t="str">
        <f ca="1">IF(AK67="","",INDIRECT("PEDIDO!"&amp;ADDRESS('1. DADOS'!E77+16,3)))</f>
        <v/>
      </c>
      <c r="AI67" s="326" t="str">
        <f ca="1">IF(AK67="","",INDIRECT("PEDIDO!"&amp;ADDRESS('1. DADOS'!E77+16,4)))</f>
        <v/>
      </c>
      <c r="AJ67" s="327" t="str">
        <f t="shared" ca="1" si="4"/>
        <v/>
      </c>
      <c r="AK67" s="327" t="str">
        <f ca="1">IFERROR(IF(INDIRECT("PEDIDO!"&amp;ADDRESS('1. DADOS'!E77+16,80))=0,"",INDIRECT("PEDIDO!"&amp;ADDRESS('1. DADOS'!E77+16,80))),"")</f>
        <v/>
      </c>
      <c r="AL67" s="328" t="str">
        <f ca="1">IF(AK67="","",INDIRECT("PEDIDO!"&amp;ADDRESS('1. DADOS'!E77+16,72)))</f>
        <v/>
      </c>
      <c r="AM67" s="328" t="str">
        <f ca="1">IF(AK67="","",INDIRECT("PEDIDO!"&amp;ADDRESS('1. DADOS'!E77+16,73)))</f>
        <v/>
      </c>
      <c r="AN67" s="328" t="str">
        <f ca="1">IF(AK67="","",INDIRECT("PEDIDO!"&amp;ADDRESS('1. DADOS'!E77+16,77)))</f>
        <v/>
      </c>
      <c r="AO67" s="328" t="str">
        <f ca="1">IF(AK67="","",INDIRECT("PEDIDO!"&amp;ADDRESS('1. DADOS'!E77+16,74)))</f>
        <v/>
      </c>
      <c r="AP67" s="328" t="str">
        <f ca="1">IF(AK67="","",INDIRECT("PEDIDO!"&amp;ADDRESS('1. DADOS'!E77+16,75)))</f>
        <v/>
      </c>
      <c r="AQ67" s="328" t="str">
        <f ca="1">IF(AK67="","",INDIRECT("PEDIDO!"&amp;ADDRESS('1. DADOS'!E77+16,76)))</f>
        <v/>
      </c>
      <c r="AR67" s="328" t="str">
        <f ca="1">IF(AK67="","",INDIRECT("PEDIDO!"&amp;ADDRESS('1. DADOS'!E77+16,78)))</f>
        <v/>
      </c>
      <c r="AS67" s="328" t="str">
        <f ca="1">IF(AK67="","",INDIRECT("PEDIDO!"&amp;ADDRESS('1. DADOS'!E77+16,79)))</f>
        <v/>
      </c>
      <c r="AT67" s="329" t="str">
        <f ca="1">IF(AK67="","",PEDIDO!$S$3+CHOOSE(PEDIDO!$Y$4,'1. DADOS'!$H$4,'1. DADOS'!$H$5,'1. DADOS'!$H$6,'1. DADOS'!$H$7,'1. DADOS'!$H$8,'1. DADOS'!$H$9))</f>
        <v/>
      </c>
      <c r="AU67" s="329" t="str">
        <f ca="1">IF(AK67="","",PEDIDO!$S$3+CHOOSE(PEDIDO!$Y$4,'1. DADOS'!$I$4,'1. DADOS'!$I$5,'1. DADOS'!$I$6,'1. DADOS'!$I$7,'1. DADOS'!$I$8,'1. DADOS'!$I$9))</f>
        <v/>
      </c>
    </row>
    <row r="68" spans="23:47" x14ac:dyDescent="0.25">
      <c r="W68" s="321" t="str">
        <f ca="1">IF(AK68="","",PEDIDO!$S$3)</f>
        <v/>
      </c>
      <c r="X68" s="322" t="str">
        <f ca="1">IF(AK68="","",CHOOSE(PEDIDO!$Y$4,'1. DADOS'!$F$4,'1. DADOS'!$F$5,'1. DADOS'!$F$6,'1. DADOS'!$F$7,'1. DADOS'!$F$8,'1. DADOS'!$F$9))</f>
        <v/>
      </c>
      <c r="Y68" s="322" t="str">
        <f ca="1">IF(AK68="","",PEDIDO!$D$4)</f>
        <v/>
      </c>
      <c r="Z68" s="323" t="str">
        <f ca="1">IF(AK68="","",PEDIDO!$S$5)</f>
        <v/>
      </c>
      <c r="AA68" s="323" t="str">
        <f ca="1">IF(AK68="","",PEDIDO!$L$4)</f>
        <v/>
      </c>
      <c r="AB68" s="323" t="str">
        <f t="shared" ca="1" si="2"/>
        <v/>
      </c>
      <c r="AC68" s="323" t="str">
        <f ca="1">IF(AK68="","",PEDIDO!$M$4)</f>
        <v/>
      </c>
      <c r="AD68" s="324" t="str">
        <f ca="1">IF(ORÇAMENTO!AK68="","",ESTADO)</f>
        <v/>
      </c>
      <c r="AE68" s="324" t="str">
        <f t="shared" ca="1" si="3"/>
        <v/>
      </c>
      <c r="AF68" s="324" t="str">
        <f ca="1">IF(AK68="","",CHOOSE(PEDIDO!$AB$7,PEDIDO!$AA$4,PEDIDO!$AA$5,PEDIDO!$AA$6))</f>
        <v/>
      </c>
      <c r="AG68" s="323" t="str">
        <f>""</f>
        <v/>
      </c>
      <c r="AH68" s="325" t="str">
        <f ca="1">IF(AK68="","",INDIRECT("PEDIDO!"&amp;ADDRESS('1. DADOS'!E78+16,3)))</f>
        <v/>
      </c>
      <c r="AI68" s="326" t="str">
        <f ca="1">IF(AK68="","",INDIRECT("PEDIDO!"&amp;ADDRESS('1. DADOS'!E78+16,4)))</f>
        <v/>
      </c>
      <c r="AJ68" s="327" t="str">
        <f t="shared" ca="1" si="4"/>
        <v/>
      </c>
      <c r="AK68" s="327" t="str">
        <f ca="1">IFERROR(IF(INDIRECT("PEDIDO!"&amp;ADDRESS('1. DADOS'!E78+16,80))=0,"",INDIRECT("PEDIDO!"&amp;ADDRESS('1. DADOS'!E78+16,80))),"")</f>
        <v/>
      </c>
      <c r="AL68" s="328" t="str">
        <f ca="1">IF(AK68="","",INDIRECT("PEDIDO!"&amp;ADDRESS('1. DADOS'!E78+16,72)))</f>
        <v/>
      </c>
      <c r="AM68" s="328" t="str">
        <f ca="1">IF(AK68="","",INDIRECT("PEDIDO!"&amp;ADDRESS('1. DADOS'!E78+16,73)))</f>
        <v/>
      </c>
      <c r="AN68" s="328" t="str">
        <f ca="1">IF(AK68="","",INDIRECT("PEDIDO!"&amp;ADDRESS('1. DADOS'!E78+16,77)))</f>
        <v/>
      </c>
      <c r="AO68" s="328" t="str">
        <f ca="1">IF(AK68="","",INDIRECT("PEDIDO!"&amp;ADDRESS('1. DADOS'!E78+16,74)))</f>
        <v/>
      </c>
      <c r="AP68" s="328" t="str">
        <f ca="1">IF(AK68="","",INDIRECT("PEDIDO!"&amp;ADDRESS('1. DADOS'!E78+16,75)))</f>
        <v/>
      </c>
      <c r="AQ68" s="328" t="str">
        <f ca="1">IF(AK68="","",INDIRECT("PEDIDO!"&amp;ADDRESS('1. DADOS'!E78+16,76)))</f>
        <v/>
      </c>
      <c r="AR68" s="328" t="str">
        <f ca="1">IF(AK68="","",INDIRECT("PEDIDO!"&amp;ADDRESS('1. DADOS'!E78+16,78)))</f>
        <v/>
      </c>
      <c r="AS68" s="328" t="str">
        <f ca="1">IF(AK68="","",INDIRECT("PEDIDO!"&amp;ADDRESS('1. DADOS'!E78+16,79)))</f>
        <v/>
      </c>
      <c r="AT68" s="329" t="str">
        <f ca="1">IF(AK68="","",PEDIDO!$S$3+CHOOSE(PEDIDO!$Y$4,'1. DADOS'!$H$4,'1. DADOS'!$H$5,'1. DADOS'!$H$6,'1. DADOS'!$H$7,'1. DADOS'!$H$8,'1. DADOS'!$H$9))</f>
        <v/>
      </c>
      <c r="AU68" s="329" t="str">
        <f ca="1">IF(AK68="","",PEDIDO!$S$3+CHOOSE(PEDIDO!$Y$4,'1. DADOS'!$I$4,'1. DADOS'!$I$5,'1. DADOS'!$I$6,'1. DADOS'!$I$7,'1. DADOS'!$I$8,'1. DADOS'!$I$9))</f>
        <v/>
      </c>
    </row>
  </sheetData>
  <sheetProtection password="D9FD" sheet="1" objects="1" scenarios="1"/>
  <mergeCells count="17">
    <mergeCell ref="P13:R13"/>
    <mergeCell ref="M14:N14"/>
    <mergeCell ref="M16:N16"/>
    <mergeCell ref="P16:R16"/>
    <mergeCell ref="C3:H5"/>
    <mergeCell ref="M3:N5"/>
    <mergeCell ref="E7:N7"/>
    <mergeCell ref="P7:R7"/>
    <mergeCell ref="C8:N8"/>
    <mergeCell ref="M10:N10"/>
    <mergeCell ref="P10:R10"/>
    <mergeCell ref="E17:H17"/>
    <mergeCell ref="M17:N17"/>
    <mergeCell ref="G48:H48"/>
    <mergeCell ref="E11:H11"/>
    <mergeCell ref="M11:N11"/>
    <mergeCell ref="M13:N13"/>
  </mergeCells>
  <conditionalFormatting sqref="J11:K11 M11">
    <cfRule type="expression" dxfId="38" priority="1">
      <formula>$C$14="OUTRO"</formula>
    </cfRule>
  </conditionalFormatting>
  <conditionalFormatting sqref="C11">
    <cfRule type="expression" dxfId="37" priority="2">
      <formula>$Y$50="CPF"</formula>
    </cfRule>
    <cfRule type="expression" dxfId="36" priority="3">
      <formula>$Y$50="CNPJ"</formula>
    </cfRule>
  </conditionalFormatting>
  <dataValidations disablePrompts="1" count="3">
    <dataValidation type="list" allowBlank="1" showInputMessage="1" showErrorMessage="1" sqref="JM14 WVY983047 WMC983047 WCG983047 VSK983047 VIO983047 UYS983047 UOW983047 UFA983047 TVE983047 TLI983047 TBM983047 SRQ983047 SHU983047 RXY983047 ROC983047 REG983047 QUK983047 QKO983047 QAS983047 PQW983047 PHA983047 OXE983047 ONI983047 ODM983047 NTQ983047 NJU983047 MZY983047 MQC983047 MGG983047 LWK983047 LMO983047 LCS983047 KSW983047 KJA983047 JZE983047 JPI983047 JFM983047 IVQ983047 ILU983047 IBY983047 HSC983047 HIG983047 GYK983047 GOO983047 GES983047 FUW983047 FLA983047 FBE983047 ERI983047 EHM983047 DXQ983047 DNU983047 DDY983047 CUC983047 CKG983047 CAK983047 BQO983047 BGS983047 AWW983047 ANA983047 ADE983047 TI983047 JM983047 P983047 WVY917511 WMC917511 WCG917511 VSK917511 VIO917511 UYS917511 UOW917511 UFA917511 TVE917511 TLI917511 TBM917511 SRQ917511 SHU917511 RXY917511 ROC917511 REG917511 QUK917511 QKO917511 QAS917511 PQW917511 PHA917511 OXE917511 ONI917511 ODM917511 NTQ917511 NJU917511 MZY917511 MQC917511 MGG917511 LWK917511 LMO917511 LCS917511 KSW917511 KJA917511 JZE917511 JPI917511 JFM917511 IVQ917511 ILU917511 IBY917511 HSC917511 HIG917511 GYK917511 GOO917511 GES917511 FUW917511 FLA917511 FBE917511 ERI917511 EHM917511 DXQ917511 DNU917511 DDY917511 CUC917511 CKG917511 CAK917511 BQO917511 BGS917511 AWW917511 ANA917511 ADE917511 TI917511 JM917511 P917511 WVY851975 WMC851975 WCG851975 VSK851975 VIO851975 UYS851975 UOW851975 UFA851975 TVE851975 TLI851975 TBM851975 SRQ851975 SHU851975 RXY851975 ROC851975 REG851975 QUK851975 QKO851975 QAS851975 PQW851975 PHA851975 OXE851975 ONI851975 ODM851975 NTQ851975 NJU851975 MZY851975 MQC851975 MGG851975 LWK851975 LMO851975 LCS851975 KSW851975 KJA851975 JZE851975 JPI851975 JFM851975 IVQ851975 ILU851975 IBY851975 HSC851975 HIG851975 GYK851975 GOO851975 GES851975 FUW851975 FLA851975 FBE851975 ERI851975 EHM851975 DXQ851975 DNU851975 DDY851975 CUC851975 CKG851975 CAK851975 BQO851975 BGS851975 AWW851975 ANA851975 ADE851975 TI851975 JM851975 P851975 WVY786439 WMC786439 WCG786439 VSK786439 VIO786439 UYS786439 UOW786439 UFA786439 TVE786439 TLI786439 TBM786439 SRQ786439 SHU786439 RXY786439 ROC786439 REG786439 QUK786439 QKO786439 QAS786439 PQW786439 PHA786439 OXE786439 ONI786439 ODM786439 NTQ786439 NJU786439 MZY786439 MQC786439 MGG786439 LWK786439 LMO786439 LCS786439 KSW786439 KJA786439 JZE786439 JPI786439 JFM786439 IVQ786439 ILU786439 IBY786439 HSC786439 HIG786439 GYK786439 GOO786439 GES786439 FUW786439 FLA786439 FBE786439 ERI786439 EHM786439 DXQ786439 DNU786439 DDY786439 CUC786439 CKG786439 CAK786439 BQO786439 BGS786439 AWW786439 ANA786439 ADE786439 TI786439 JM786439 P786439 WVY720903 WMC720903 WCG720903 VSK720903 VIO720903 UYS720903 UOW720903 UFA720903 TVE720903 TLI720903 TBM720903 SRQ720903 SHU720903 RXY720903 ROC720903 REG720903 QUK720903 QKO720903 QAS720903 PQW720903 PHA720903 OXE720903 ONI720903 ODM720903 NTQ720903 NJU720903 MZY720903 MQC720903 MGG720903 LWK720903 LMO720903 LCS720903 KSW720903 KJA720903 JZE720903 JPI720903 JFM720903 IVQ720903 ILU720903 IBY720903 HSC720903 HIG720903 GYK720903 GOO720903 GES720903 FUW720903 FLA720903 FBE720903 ERI720903 EHM720903 DXQ720903 DNU720903 DDY720903 CUC720903 CKG720903 CAK720903 BQO720903 BGS720903 AWW720903 ANA720903 ADE720903 TI720903 JM720903 P720903 WVY655367 WMC655367 WCG655367 VSK655367 VIO655367 UYS655367 UOW655367 UFA655367 TVE655367 TLI655367 TBM655367 SRQ655367 SHU655367 RXY655367 ROC655367 REG655367 QUK655367 QKO655367 QAS655367 PQW655367 PHA655367 OXE655367 ONI655367 ODM655367 NTQ655367 NJU655367 MZY655367 MQC655367 MGG655367 LWK655367 LMO655367 LCS655367 KSW655367 KJA655367 JZE655367 JPI655367 JFM655367 IVQ655367 ILU655367 IBY655367 HSC655367 HIG655367 GYK655367 GOO655367 GES655367 FUW655367 FLA655367 FBE655367 ERI655367 EHM655367 DXQ655367 DNU655367 DDY655367 CUC655367 CKG655367 CAK655367 BQO655367 BGS655367 AWW655367 ANA655367 ADE655367 TI655367 JM655367 P655367 WVY589831 WMC589831 WCG589831 VSK589831 VIO589831 UYS589831 UOW589831 UFA589831 TVE589831 TLI589831 TBM589831 SRQ589831 SHU589831 RXY589831 ROC589831 REG589831 QUK589831 QKO589831 QAS589831 PQW589831 PHA589831 OXE589831 ONI589831 ODM589831 NTQ589831 NJU589831 MZY589831 MQC589831 MGG589831 LWK589831 LMO589831 LCS589831 KSW589831 KJA589831 JZE589831 JPI589831 JFM589831 IVQ589831 ILU589831 IBY589831 HSC589831 HIG589831 GYK589831 GOO589831 GES589831 FUW589831 FLA589831 FBE589831 ERI589831 EHM589831 DXQ589831 DNU589831 DDY589831 CUC589831 CKG589831 CAK589831 BQO589831 BGS589831 AWW589831 ANA589831 ADE589831 TI589831 JM589831 P589831 WVY524295 WMC524295 WCG524295 VSK524295 VIO524295 UYS524295 UOW524295 UFA524295 TVE524295 TLI524295 TBM524295 SRQ524295 SHU524295 RXY524295 ROC524295 REG524295 QUK524295 QKO524295 QAS524295 PQW524295 PHA524295 OXE524295 ONI524295 ODM524295 NTQ524295 NJU524295 MZY524295 MQC524295 MGG524295 LWK524295 LMO524295 LCS524295 KSW524295 KJA524295 JZE524295 JPI524295 JFM524295 IVQ524295 ILU524295 IBY524295 HSC524295 HIG524295 GYK524295 GOO524295 GES524295 FUW524295 FLA524295 FBE524295 ERI524295 EHM524295 DXQ524295 DNU524295 DDY524295 CUC524295 CKG524295 CAK524295 BQO524295 BGS524295 AWW524295 ANA524295 ADE524295 TI524295 JM524295 P524295 WVY458759 WMC458759 WCG458759 VSK458759 VIO458759 UYS458759 UOW458759 UFA458759 TVE458759 TLI458759 TBM458759 SRQ458759 SHU458759 RXY458759 ROC458759 REG458759 QUK458759 QKO458759 QAS458759 PQW458759 PHA458759 OXE458759 ONI458759 ODM458759 NTQ458759 NJU458759 MZY458759 MQC458759 MGG458759 LWK458759 LMO458759 LCS458759 KSW458759 KJA458759 JZE458759 JPI458759 JFM458759 IVQ458759 ILU458759 IBY458759 HSC458759 HIG458759 GYK458759 GOO458759 GES458759 FUW458759 FLA458759 FBE458759 ERI458759 EHM458759 DXQ458759 DNU458759 DDY458759 CUC458759 CKG458759 CAK458759 BQO458759 BGS458759 AWW458759 ANA458759 ADE458759 TI458759 JM458759 P458759 WVY393223 WMC393223 WCG393223 VSK393223 VIO393223 UYS393223 UOW393223 UFA393223 TVE393223 TLI393223 TBM393223 SRQ393223 SHU393223 RXY393223 ROC393223 REG393223 QUK393223 QKO393223 QAS393223 PQW393223 PHA393223 OXE393223 ONI393223 ODM393223 NTQ393223 NJU393223 MZY393223 MQC393223 MGG393223 LWK393223 LMO393223 LCS393223 KSW393223 KJA393223 JZE393223 JPI393223 JFM393223 IVQ393223 ILU393223 IBY393223 HSC393223 HIG393223 GYK393223 GOO393223 GES393223 FUW393223 FLA393223 FBE393223 ERI393223 EHM393223 DXQ393223 DNU393223 DDY393223 CUC393223 CKG393223 CAK393223 BQO393223 BGS393223 AWW393223 ANA393223 ADE393223 TI393223 JM393223 P393223 WVY327687 WMC327687 WCG327687 VSK327687 VIO327687 UYS327687 UOW327687 UFA327687 TVE327687 TLI327687 TBM327687 SRQ327687 SHU327687 RXY327687 ROC327687 REG327687 QUK327687 QKO327687 QAS327687 PQW327687 PHA327687 OXE327687 ONI327687 ODM327687 NTQ327687 NJU327687 MZY327687 MQC327687 MGG327687 LWK327687 LMO327687 LCS327687 KSW327687 KJA327687 JZE327687 JPI327687 JFM327687 IVQ327687 ILU327687 IBY327687 HSC327687 HIG327687 GYK327687 GOO327687 GES327687 FUW327687 FLA327687 FBE327687 ERI327687 EHM327687 DXQ327687 DNU327687 DDY327687 CUC327687 CKG327687 CAK327687 BQO327687 BGS327687 AWW327687 ANA327687 ADE327687 TI327687 JM327687 P327687 WVY262151 WMC262151 WCG262151 VSK262151 VIO262151 UYS262151 UOW262151 UFA262151 TVE262151 TLI262151 TBM262151 SRQ262151 SHU262151 RXY262151 ROC262151 REG262151 QUK262151 QKO262151 QAS262151 PQW262151 PHA262151 OXE262151 ONI262151 ODM262151 NTQ262151 NJU262151 MZY262151 MQC262151 MGG262151 LWK262151 LMO262151 LCS262151 KSW262151 KJA262151 JZE262151 JPI262151 JFM262151 IVQ262151 ILU262151 IBY262151 HSC262151 HIG262151 GYK262151 GOO262151 GES262151 FUW262151 FLA262151 FBE262151 ERI262151 EHM262151 DXQ262151 DNU262151 DDY262151 CUC262151 CKG262151 CAK262151 BQO262151 BGS262151 AWW262151 ANA262151 ADE262151 TI262151 JM262151 P262151 WVY196615 WMC196615 WCG196615 VSK196615 VIO196615 UYS196615 UOW196615 UFA196615 TVE196615 TLI196615 TBM196615 SRQ196615 SHU196615 RXY196615 ROC196615 REG196615 QUK196615 QKO196615 QAS196615 PQW196615 PHA196615 OXE196615 ONI196615 ODM196615 NTQ196615 NJU196615 MZY196615 MQC196615 MGG196615 LWK196615 LMO196615 LCS196615 KSW196615 KJA196615 JZE196615 JPI196615 JFM196615 IVQ196615 ILU196615 IBY196615 HSC196615 HIG196615 GYK196615 GOO196615 GES196615 FUW196615 FLA196615 FBE196615 ERI196615 EHM196615 DXQ196615 DNU196615 DDY196615 CUC196615 CKG196615 CAK196615 BQO196615 BGS196615 AWW196615 ANA196615 ADE196615 TI196615 JM196615 P196615 WVY131079 WMC131079 WCG131079 VSK131079 VIO131079 UYS131079 UOW131079 UFA131079 TVE131079 TLI131079 TBM131079 SRQ131079 SHU131079 RXY131079 ROC131079 REG131079 QUK131079 QKO131079 QAS131079 PQW131079 PHA131079 OXE131079 ONI131079 ODM131079 NTQ131079 NJU131079 MZY131079 MQC131079 MGG131079 LWK131079 LMO131079 LCS131079 KSW131079 KJA131079 JZE131079 JPI131079 JFM131079 IVQ131079 ILU131079 IBY131079 HSC131079 HIG131079 GYK131079 GOO131079 GES131079 FUW131079 FLA131079 FBE131079 ERI131079 EHM131079 DXQ131079 DNU131079 DDY131079 CUC131079 CKG131079 CAK131079 BQO131079 BGS131079 AWW131079 ANA131079 ADE131079 TI131079 JM131079 P131079 WVY65543 WMC65543 WCG65543 VSK65543 VIO65543 UYS65543 UOW65543 UFA65543 TVE65543 TLI65543 TBM65543 SRQ65543 SHU65543 RXY65543 ROC65543 REG65543 QUK65543 QKO65543 QAS65543 PQW65543 PHA65543 OXE65543 ONI65543 ODM65543 NTQ65543 NJU65543 MZY65543 MQC65543 MGG65543 LWK65543 LMO65543 LCS65543 KSW65543 KJA65543 JZE65543 JPI65543 JFM65543 IVQ65543 ILU65543 IBY65543 HSC65543 HIG65543 GYK65543 GOO65543 GES65543 FUW65543 FLA65543 FBE65543 ERI65543 EHM65543 DXQ65543 DNU65543 DDY65543 CUC65543 CKG65543 CAK65543 BQO65543 BGS65543 AWW65543 ANA65543 ADE65543 TI65543 JM65543 P65543 WVY14 WMC14 WCG14 VSK14 VIO14 UYS14 UOW14 UFA14 TVE14 TLI14 TBM14 SRQ14 SHU14 RXY14 ROC14 REG14 QUK14 QKO14 QAS14 PQW14 PHA14 OXE14 ONI14 ODM14 NTQ14 NJU14 MZY14 MQC14 MGG14 LWK14 LMO14 LCS14 KSW14 KJA14 JZE14 JPI14 JFM14 IVQ14 ILU14 IBY14 HSC14 HIG14 GYK14 GOO14 GES14 FUW14 FLA14 FBE14 ERI14 EHM14 DXQ14 DNU14 DDY14 CUC14 CKG14 CAK14 BQO14 BGS14 AWW14 ANA14 ADE14 TI14">
      <formula1>$U$19:$U$20</formula1>
    </dataValidation>
    <dataValidation type="list" allowBlank="1" showInputMessage="1" showErrorMessage="1" sqref="C14 WVS983044 WLW983044 WCA983044 VSE983044 VII983044 UYM983044 UOQ983044 UEU983044 TUY983044 TLC983044 TBG983044 SRK983044 SHO983044 RXS983044 RNW983044 REA983044 QUE983044 QKI983044 QAM983044 PQQ983044 PGU983044 OWY983044 ONC983044 ODG983044 NTK983044 NJO983044 MZS983044 MPW983044 MGA983044 LWE983044 LMI983044 LCM983044 KSQ983044 KIU983044 JYY983044 JPC983044 JFG983044 IVK983044 ILO983044 IBS983044 HRW983044 HIA983044 GYE983044 GOI983044 GEM983044 FUQ983044 FKU983044 FAY983044 ERC983044 EHG983044 DXK983044 DNO983044 DDS983044 CTW983044 CKA983044 CAE983044 BQI983044 BGM983044 AWQ983044 AMU983044 ACY983044 TC983044 JG983044 C983044 WVS917508 WLW917508 WCA917508 VSE917508 VII917508 UYM917508 UOQ917508 UEU917508 TUY917508 TLC917508 TBG917508 SRK917508 SHO917508 RXS917508 RNW917508 REA917508 QUE917508 QKI917508 QAM917508 PQQ917508 PGU917508 OWY917508 ONC917508 ODG917508 NTK917508 NJO917508 MZS917508 MPW917508 MGA917508 LWE917508 LMI917508 LCM917508 KSQ917508 KIU917508 JYY917508 JPC917508 JFG917508 IVK917508 ILO917508 IBS917508 HRW917508 HIA917508 GYE917508 GOI917508 GEM917508 FUQ917508 FKU917508 FAY917508 ERC917508 EHG917508 DXK917508 DNO917508 DDS917508 CTW917508 CKA917508 CAE917508 BQI917508 BGM917508 AWQ917508 AMU917508 ACY917508 TC917508 JG917508 C917508 WVS851972 WLW851972 WCA851972 VSE851972 VII851972 UYM851972 UOQ851972 UEU851972 TUY851972 TLC851972 TBG851972 SRK851972 SHO851972 RXS851972 RNW851972 REA851972 QUE851972 QKI851972 QAM851972 PQQ851972 PGU851972 OWY851972 ONC851972 ODG851972 NTK851972 NJO851972 MZS851972 MPW851972 MGA851972 LWE851972 LMI851972 LCM851972 KSQ851972 KIU851972 JYY851972 JPC851972 JFG851972 IVK851972 ILO851972 IBS851972 HRW851972 HIA851972 GYE851972 GOI851972 GEM851972 FUQ851972 FKU851972 FAY851972 ERC851972 EHG851972 DXK851972 DNO851972 DDS851972 CTW851972 CKA851972 CAE851972 BQI851972 BGM851972 AWQ851972 AMU851972 ACY851972 TC851972 JG851972 C851972 WVS786436 WLW786436 WCA786436 VSE786436 VII786436 UYM786436 UOQ786436 UEU786436 TUY786436 TLC786436 TBG786436 SRK786436 SHO786436 RXS786436 RNW786436 REA786436 QUE786436 QKI786436 QAM786436 PQQ786436 PGU786436 OWY786436 ONC786436 ODG786436 NTK786436 NJO786436 MZS786436 MPW786436 MGA786436 LWE786436 LMI786436 LCM786436 KSQ786436 KIU786436 JYY786436 JPC786436 JFG786436 IVK786436 ILO786436 IBS786436 HRW786436 HIA786436 GYE786436 GOI786436 GEM786436 FUQ786436 FKU786436 FAY786436 ERC786436 EHG786436 DXK786436 DNO786436 DDS786436 CTW786436 CKA786436 CAE786436 BQI786436 BGM786436 AWQ786436 AMU786436 ACY786436 TC786436 JG786436 C786436 WVS720900 WLW720900 WCA720900 VSE720900 VII720900 UYM720900 UOQ720900 UEU720900 TUY720900 TLC720900 TBG720900 SRK720900 SHO720900 RXS720900 RNW720900 REA720900 QUE720900 QKI720900 QAM720900 PQQ720900 PGU720900 OWY720900 ONC720900 ODG720900 NTK720900 NJO720900 MZS720900 MPW720900 MGA720900 LWE720900 LMI720900 LCM720900 KSQ720900 KIU720900 JYY720900 JPC720900 JFG720900 IVK720900 ILO720900 IBS720900 HRW720900 HIA720900 GYE720900 GOI720900 GEM720900 FUQ720900 FKU720900 FAY720900 ERC720900 EHG720900 DXK720900 DNO720900 DDS720900 CTW720900 CKA720900 CAE720900 BQI720900 BGM720900 AWQ720900 AMU720900 ACY720900 TC720900 JG720900 C720900 WVS655364 WLW655364 WCA655364 VSE655364 VII655364 UYM655364 UOQ655364 UEU655364 TUY655364 TLC655364 TBG655364 SRK655364 SHO655364 RXS655364 RNW655364 REA655364 QUE655364 QKI655364 QAM655364 PQQ655364 PGU655364 OWY655364 ONC655364 ODG655364 NTK655364 NJO655364 MZS655364 MPW655364 MGA655364 LWE655364 LMI655364 LCM655364 KSQ655364 KIU655364 JYY655364 JPC655364 JFG655364 IVK655364 ILO655364 IBS655364 HRW655364 HIA655364 GYE655364 GOI655364 GEM655364 FUQ655364 FKU655364 FAY655364 ERC655364 EHG655364 DXK655364 DNO655364 DDS655364 CTW655364 CKA655364 CAE655364 BQI655364 BGM655364 AWQ655364 AMU655364 ACY655364 TC655364 JG655364 C655364 WVS589828 WLW589828 WCA589828 VSE589828 VII589828 UYM589828 UOQ589828 UEU589828 TUY589828 TLC589828 TBG589828 SRK589828 SHO589828 RXS589828 RNW589828 REA589828 QUE589828 QKI589828 QAM589828 PQQ589828 PGU589828 OWY589828 ONC589828 ODG589828 NTK589828 NJO589828 MZS589828 MPW589828 MGA589828 LWE589828 LMI589828 LCM589828 KSQ589828 KIU589828 JYY589828 JPC589828 JFG589828 IVK589828 ILO589828 IBS589828 HRW589828 HIA589828 GYE589828 GOI589828 GEM589828 FUQ589828 FKU589828 FAY589828 ERC589828 EHG589828 DXK589828 DNO589828 DDS589828 CTW589828 CKA589828 CAE589828 BQI589828 BGM589828 AWQ589828 AMU589828 ACY589828 TC589828 JG589828 C589828 WVS524292 WLW524292 WCA524292 VSE524292 VII524292 UYM524292 UOQ524292 UEU524292 TUY524292 TLC524292 TBG524292 SRK524292 SHO524292 RXS524292 RNW524292 REA524292 QUE524292 QKI524292 QAM524292 PQQ524292 PGU524292 OWY524292 ONC524292 ODG524292 NTK524292 NJO524292 MZS524292 MPW524292 MGA524292 LWE524292 LMI524292 LCM524292 KSQ524292 KIU524292 JYY524292 JPC524292 JFG524292 IVK524292 ILO524292 IBS524292 HRW524292 HIA524292 GYE524292 GOI524292 GEM524292 FUQ524292 FKU524292 FAY524292 ERC524292 EHG524292 DXK524292 DNO524292 DDS524292 CTW524292 CKA524292 CAE524292 BQI524292 BGM524292 AWQ524292 AMU524292 ACY524292 TC524292 JG524292 C524292 WVS458756 WLW458756 WCA458756 VSE458756 VII458756 UYM458756 UOQ458756 UEU458756 TUY458756 TLC458756 TBG458756 SRK458756 SHO458756 RXS458756 RNW458756 REA458756 QUE458756 QKI458756 QAM458756 PQQ458756 PGU458756 OWY458756 ONC458756 ODG458756 NTK458756 NJO458756 MZS458756 MPW458756 MGA458756 LWE458756 LMI458756 LCM458756 KSQ458756 KIU458756 JYY458756 JPC458756 JFG458756 IVK458756 ILO458756 IBS458756 HRW458756 HIA458756 GYE458756 GOI458756 GEM458756 FUQ458756 FKU458756 FAY458756 ERC458756 EHG458756 DXK458756 DNO458756 DDS458756 CTW458756 CKA458756 CAE458756 BQI458756 BGM458756 AWQ458756 AMU458756 ACY458756 TC458756 JG458756 C458756 WVS393220 WLW393220 WCA393220 VSE393220 VII393220 UYM393220 UOQ393220 UEU393220 TUY393220 TLC393220 TBG393220 SRK393220 SHO393220 RXS393220 RNW393220 REA393220 QUE393220 QKI393220 QAM393220 PQQ393220 PGU393220 OWY393220 ONC393220 ODG393220 NTK393220 NJO393220 MZS393220 MPW393220 MGA393220 LWE393220 LMI393220 LCM393220 KSQ393220 KIU393220 JYY393220 JPC393220 JFG393220 IVK393220 ILO393220 IBS393220 HRW393220 HIA393220 GYE393220 GOI393220 GEM393220 FUQ393220 FKU393220 FAY393220 ERC393220 EHG393220 DXK393220 DNO393220 DDS393220 CTW393220 CKA393220 CAE393220 BQI393220 BGM393220 AWQ393220 AMU393220 ACY393220 TC393220 JG393220 C393220 WVS327684 WLW327684 WCA327684 VSE327684 VII327684 UYM327684 UOQ327684 UEU327684 TUY327684 TLC327684 TBG327684 SRK327684 SHO327684 RXS327684 RNW327684 REA327684 QUE327684 QKI327684 QAM327684 PQQ327684 PGU327684 OWY327684 ONC327684 ODG327684 NTK327684 NJO327684 MZS327684 MPW327684 MGA327684 LWE327684 LMI327684 LCM327684 KSQ327684 KIU327684 JYY327684 JPC327684 JFG327684 IVK327684 ILO327684 IBS327684 HRW327684 HIA327684 GYE327684 GOI327684 GEM327684 FUQ327684 FKU327684 FAY327684 ERC327684 EHG327684 DXK327684 DNO327684 DDS327684 CTW327684 CKA327684 CAE327684 BQI327684 BGM327684 AWQ327684 AMU327684 ACY327684 TC327684 JG327684 C327684 WVS262148 WLW262148 WCA262148 VSE262148 VII262148 UYM262148 UOQ262148 UEU262148 TUY262148 TLC262148 TBG262148 SRK262148 SHO262148 RXS262148 RNW262148 REA262148 QUE262148 QKI262148 QAM262148 PQQ262148 PGU262148 OWY262148 ONC262148 ODG262148 NTK262148 NJO262148 MZS262148 MPW262148 MGA262148 LWE262148 LMI262148 LCM262148 KSQ262148 KIU262148 JYY262148 JPC262148 JFG262148 IVK262148 ILO262148 IBS262148 HRW262148 HIA262148 GYE262148 GOI262148 GEM262148 FUQ262148 FKU262148 FAY262148 ERC262148 EHG262148 DXK262148 DNO262148 DDS262148 CTW262148 CKA262148 CAE262148 BQI262148 BGM262148 AWQ262148 AMU262148 ACY262148 TC262148 JG262148 C262148 WVS196612 WLW196612 WCA196612 VSE196612 VII196612 UYM196612 UOQ196612 UEU196612 TUY196612 TLC196612 TBG196612 SRK196612 SHO196612 RXS196612 RNW196612 REA196612 QUE196612 QKI196612 QAM196612 PQQ196612 PGU196612 OWY196612 ONC196612 ODG196612 NTK196612 NJO196612 MZS196612 MPW196612 MGA196612 LWE196612 LMI196612 LCM196612 KSQ196612 KIU196612 JYY196612 JPC196612 JFG196612 IVK196612 ILO196612 IBS196612 HRW196612 HIA196612 GYE196612 GOI196612 GEM196612 FUQ196612 FKU196612 FAY196612 ERC196612 EHG196612 DXK196612 DNO196612 DDS196612 CTW196612 CKA196612 CAE196612 BQI196612 BGM196612 AWQ196612 AMU196612 ACY196612 TC196612 JG196612 C196612 WVS131076 WLW131076 WCA131076 VSE131076 VII131076 UYM131076 UOQ131076 UEU131076 TUY131076 TLC131076 TBG131076 SRK131076 SHO131076 RXS131076 RNW131076 REA131076 QUE131076 QKI131076 QAM131076 PQQ131076 PGU131076 OWY131076 ONC131076 ODG131076 NTK131076 NJO131076 MZS131076 MPW131076 MGA131076 LWE131076 LMI131076 LCM131076 KSQ131076 KIU131076 JYY131076 JPC131076 JFG131076 IVK131076 ILO131076 IBS131076 HRW131076 HIA131076 GYE131076 GOI131076 GEM131076 FUQ131076 FKU131076 FAY131076 ERC131076 EHG131076 DXK131076 DNO131076 DDS131076 CTW131076 CKA131076 CAE131076 BQI131076 BGM131076 AWQ131076 AMU131076 ACY131076 TC131076 JG131076 C131076 WVS65540 WLW65540 WCA65540 VSE65540 VII65540 UYM65540 UOQ65540 UEU65540 TUY65540 TLC65540 TBG65540 SRK65540 SHO65540 RXS65540 RNW65540 REA65540 QUE65540 QKI65540 QAM65540 PQQ65540 PGU65540 OWY65540 ONC65540 ODG65540 NTK65540 NJO65540 MZS65540 MPW65540 MGA65540 LWE65540 LMI65540 LCM65540 KSQ65540 KIU65540 JYY65540 JPC65540 JFG65540 IVK65540 ILO65540 IBS65540 HRW65540 HIA65540 GYE65540 GOI65540 GEM65540 FUQ65540 FKU65540 FAY65540 ERC65540 EHG65540 DXK65540 DNO65540 DDS65540 CTW65540 CKA65540 CAE65540 BQI65540 BGM65540 AWQ65540 AMU65540 ACY65540 TC65540 JG65540 C65540 WVS11 WLW11 WCA11 VSE11 VII11 UYM11 UOQ11 UEU11 TUY11 TLC11 TBG11 SRK11 SHO11 RXS11 RNW11 REA11 QUE11 QKI11 QAM11 PQQ11 PGU11 OWY11 ONC11 ODG11 NTK11 NJO11 MZS11 MPW11 MGA11 LWE11 LMI11 LCM11 KSQ11 KIU11 JYY11 JPC11 JFG11 IVK11 ILO11 IBS11 HRW11 HIA11 GYE11 GOI11 GEM11 FUQ11 FKU11 FAY11 ERC11 EHG11 DXK11 DNO11 DDS11 CTW11 CKA11 CAE11 BQI11 BGM11 AWQ11 AMU11 ACY11 TC11 JG11">
      <formula1>$U$7:$U$9</formula1>
    </dataValidation>
    <dataValidation type="custom" allowBlank="1" showInputMessage="1" showErrorMessage="1" sqref="WVU983044 JI11 TE11 ADA11 AMW11 AWS11 BGO11 BQK11 CAG11 CKC11 CTY11 DDU11 DNQ11 DXM11 EHI11 ERE11 FBA11 FKW11 FUS11 GEO11 GOK11 GYG11 HIC11 HRY11 IBU11 ILQ11 IVM11 JFI11 JPE11 JZA11 KIW11 KSS11 LCO11 LMK11 LWG11 MGC11 MPY11 MZU11 NJQ11 NTM11 ODI11 ONE11 OXA11 PGW11 PQS11 QAO11 QKK11 QUG11 REC11 RNY11 RXU11 SHQ11 SRM11 TBI11 TLE11 TVA11 UEW11 UOS11 UYO11 VIK11 VSG11 WCC11 WLY11 WVU11 E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E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E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E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E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E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E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E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E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E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E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E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E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E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E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formula1>C11="outro"</formula1>
    </dataValidation>
  </dataValidations>
  <pageMargins left="0.23622047244094491" right="0.23622047244094491" top="0.74803149606299213" bottom="0.74803149606299213" header="0.31496062992125984" footer="0.31496062992125984"/>
  <pageSetup paperSize="9" scale="78" orientation="portrait" r:id="rId1"/>
  <headerFooter>
    <oddFooter>&amp;L&amp;F&amp;RPágina &amp;P de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2"/>
  <dimension ref="A2:W185"/>
  <sheetViews>
    <sheetView showGridLines="0" topLeftCell="I28" workbookViewId="0">
      <selection activeCell="M50" sqref="M50"/>
    </sheetView>
  </sheetViews>
  <sheetFormatPr defaultRowHeight="15" x14ac:dyDescent="0.25"/>
  <cols>
    <col min="1" max="1" width="49.42578125" bestFit="1" customWidth="1"/>
    <col min="2" max="2" width="9" customWidth="1"/>
    <col min="3" max="4" width="10" customWidth="1"/>
    <col min="14" max="14" width="26.7109375" bestFit="1" customWidth="1"/>
    <col min="16" max="16" width="9.42578125" bestFit="1" customWidth="1"/>
    <col min="17" max="17" width="2.5703125" customWidth="1"/>
    <col min="18" max="18" width="37.28515625" bestFit="1" customWidth="1"/>
    <col min="19" max="21" width="10.28515625" customWidth="1"/>
    <col min="22" max="22" width="11.28515625" customWidth="1"/>
    <col min="23" max="23" width="10.28515625" customWidth="1"/>
  </cols>
  <sheetData>
    <row r="2" spans="1:23" ht="24.75" customHeight="1" x14ac:dyDescent="0.35">
      <c r="A2" s="6" t="s">
        <v>295</v>
      </c>
      <c r="B2" s="6"/>
      <c r="C2" s="6"/>
      <c r="D2" s="6"/>
      <c r="E2" s="6"/>
      <c r="F2" s="6"/>
      <c r="G2" s="6"/>
      <c r="H2" s="6"/>
      <c r="I2" s="6"/>
      <c r="J2" s="6"/>
      <c r="K2" s="6"/>
      <c r="L2" s="6"/>
      <c r="M2" s="6"/>
      <c r="N2" s="6"/>
      <c r="O2" s="6"/>
      <c r="P2" s="6"/>
    </row>
    <row r="3" spans="1:23" x14ac:dyDescent="0.25">
      <c r="A3" s="98" t="s">
        <v>296</v>
      </c>
      <c r="B3" s="98"/>
      <c r="F3" s="99" t="s">
        <v>297</v>
      </c>
      <c r="G3" s="99" t="s">
        <v>298</v>
      </c>
      <c r="H3" s="100" t="s">
        <v>299</v>
      </c>
      <c r="I3" s="100" t="s">
        <v>300</v>
      </c>
      <c r="J3" s="101" t="s">
        <v>301</v>
      </c>
    </row>
    <row r="4" spans="1:23" x14ac:dyDescent="0.25">
      <c r="C4" s="102">
        <f>POWER((1+C6),1/30)-1</f>
        <v>7.4196208228349825E-4</v>
      </c>
      <c r="D4" s="103" t="s">
        <v>302</v>
      </c>
      <c r="F4" s="104" t="s">
        <v>303</v>
      </c>
      <c r="G4" s="105">
        <v>0</v>
      </c>
      <c r="H4" s="106">
        <v>0</v>
      </c>
      <c r="I4" s="106"/>
      <c r="J4" s="107">
        <f t="shared" ref="J4:J9" si="0">COUNTA(H4:I4)</f>
        <v>1</v>
      </c>
    </row>
    <row r="5" spans="1:23" x14ac:dyDescent="0.25">
      <c r="F5" s="104" t="s">
        <v>304</v>
      </c>
      <c r="G5" s="105">
        <f>C6</f>
        <v>2.2499999999999999E-2</v>
      </c>
      <c r="H5" s="106">
        <v>28</v>
      </c>
      <c r="I5" s="106"/>
      <c r="J5" s="107">
        <f t="shared" si="0"/>
        <v>1</v>
      </c>
      <c r="O5" s="108"/>
    </row>
    <row r="6" spans="1:23" x14ac:dyDescent="0.25">
      <c r="A6">
        <f>IF(PEDIDO!Y4=6,2.25%+1%,2.25%)</f>
        <v>2.2499999999999999E-2</v>
      </c>
      <c r="C6" s="109">
        <v>2.2499999999999999E-2</v>
      </c>
      <c r="D6" s="48" t="s">
        <v>305</v>
      </c>
      <c r="F6" s="104" t="s">
        <v>306</v>
      </c>
      <c r="G6" s="105">
        <f>IF(J6=1,(1+$C$4)^H6-1,((1+$C$4)^H6-1+(1+$C$4)^I6-1)/2)</f>
        <v>2.629891426524078E-2</v>
      </c>
      <c r="H6" s="106">
        <v>35</v>
      </c>
      <c r="I6" s="106"/>
      <c r="J6" s="107">
        <f t="shared" si="0"/>
        <v>1</v>
      </c>
    </row>
    <row r="7" spans="1:23" x14ac:dyDescent="0.25">
      <c r="F7" s="104" t="s">
        <v>307</v>
      </c>
      <c r="G7" s="105">
        <f>IF(J7=1,(1+$C$4)^H7-1,((1+$C$4)^H7-1+(1+$C$4)^I7-1)/2)</f>
        <v>2.6312746177380553E-2</v>
      </c>
      <c r="H7" s="106">
        <v>28</v>
      </c>
      <c r="I7" s="106">
        <v>42</v>
      </c>
      <c r="J7" s="107">
        <f t="shared" si="0"/>
        <v>2</v>
      </c>
      <c r="O7" s="108"/>
    </row>
    <row r="8" spans="1:23" x14ac:dyDescent="0.25">
      <c r="C8" s="102">
        <f>(1+C6)^12-1</f>
        <v>0.30604998988756726</v>
      </c>
      <c r="D8" s="103" t="s">
        <v>308</v>
      </c>
      <c r="F8" s="104" t="s">
        <v>309</v>
      </c>
      <c r="G8" s="105">
        <f>IF(J8=1,(1+$C$4)^H8-1,((1+$C$4)^H8-1+(1+$C$4)^I8-1)/2)</f>
        <v>2.8970016032420776E-2</v>
      </c>
      <c r="H8" s="106">
        <v>35</v>
      </c>
      <c r="I8" s="106">
        <v>42</v>
      </c>
      <c r="J8" s="107">
        <f t="shared" si="0"/>
        <v>2</v>
      </c>
    </row>
    <row r="9" spans="1:23" x14ac:dyDescent="0.25">
      <c r="C9" s="110"/>
      <c r="D9" s="103"/>
      <c r="F9" s="104" t="s">
        <v>421</v>
      </c>
      <c r="G9" s="105">
        <f>IF(J9=1,(1+$C$4)^H9-1,((1+$C$4)^H9-1+(1+$C$4)^I9-1)/2)</f>
        <v>3.7067034676488864E-2</v>
      </c>
      <c r="H9" s="106">
        <v>35</v>
      </c>
      <c r="I9" s="106">
        <v>63</v>
      </c>
      <c r="J9" s="107">
        <f t="shared" si="0"/>
        <v>2</v>
      </c>
    </row>
    <row r="11" spans="1:23" ht="24.75" customHeight="1" x14ac:dyDescent="0.35">
      <c r="A11" s="6" t="s">
        <v>310</v>
      </c>
      <c r="B11" s="6"/>
      <c r="C11" s="6"/>
      <c r="D11" s="6"/>
      <c r="E11" s="6"/>
      <c r="F11" s="6"/>
      <c r="G11" s="6"/>
      <c r="H11" s="6"/>
      <c r="I11" s="6"/>
      <c r="J11" s="6"/>
      <c r="K11" s="6"/>
      <c r="L11" s="6"/>
      <c r="M11" s="6"/>
      <c r="N11" s="6"/>
      <c r="O11" s="6"/>
      <c r="P11" s="6"/>
      <c r="R11" s="6" t="s">
        <v>311</v>
      </c>
      <c r="S11" s="6"/>
      <c r="T11" s="6"/>
      <c r="U11" s="6"/>
      <c r="V11" s="6"/>
      <c r="W11" s="6"/>
    </row>
    <row r="12" spans="1:23" x14ac:dyDescent="0.25">
      <c r="A12" s="347" t="s">
        <v>620</v>
      </c>
      <c r="B12" s="347" t="s">
        <v>284</v>
      </c>
      <c r="C12" s="347" t="s">
        <v>621</v>
      </c>
      <c r="D12" s="347" t="s">
        <v>622</v>
      </c>
    </row>
    <row r="13" spans="1:23" x14ac:dyDescent="0.25">
      <c r="A13" s="348" t="s">
        <v>623</v>
      </c>
      <c r="B13" s="349">
        <v>0.02</v>
      </c>
      <c r="C13" s="350">
        <v>1</v>
      </c>
      <c r="D13" s="349">
        <f>B13/C13</f>
        <v>0.02</v>
      </c>
      <c r="F13" t="s">
        <v>628</v>
      </c>
    </row>
    <row r="14" spans="1:23" x14ac:dyDescent="0.25">
      <c r="A14" s="348" t="s">
        <v>624</v>
      </c>
      <c r="B14" s="349">
        <v>2.5000000000000001E-2</v>
      </c>
      <c r="C14" s="350">
        <v>1</v>
      </c>
      <c r="D14" s="349">
        <f>B14/C14</f>
        <v>2.5000000000000001E-2</v>
      </c>
    </row>
    <row r="15" spans="1:23" x14ac:dyDescent="0.25">
      <c r="A15" s="348" t="s">
        <v>625</v>
      </c>
      <c r="B15" s="349">
        <v>0.01</v>
      </c>
      <c r="C15" s="350">
        <v>12</v>
      </c>
      <c r="D15" s="349">
        <f>B15/C15</f>
        <v>8.3333333333333339E-4</v>
      </c>
    </row>
    <row r="16" spans="1:23" x14ac:dyDescent="0.25">
      <c r="A16" s="348" t="s">
        <v>626</v>
      </c>
      <c r="B16" s="349">
        <v>2.5000000000000001E-3</v>
      </c>
      <c r="C16" s="350">
        <v>1</v>
      </c>
      <c r="D16" s="349">
        <f>B16/C16</f>
        <v>2.5000000000000001E-3</v>
      </c>
    </row>
    <row r="17" spans="1:23" x14ac:dyDescent="0.25">
      <c r="A17" s="348" t="s">
        <v>627</v>
      </c>
      <c r="B17" s="349">
        <v>5.3339999999999999E-2</v>
      </c>
      <c r="C17" s="350">
        <v>1</v>
      </c>
      <c r="D17" s="349">
        <v>3.2599999999999997E-2</v>
      </c>
    </row>
    <row r="18" spans="1:23" x14ac:dyDescent="0.25">
      <c r="D18" s="351">
        <f>SUM(D13:D17)</f>
        <v>8.0933333333333329E-2</v>
      </c>
    </row>
    <row r="19" spans="1:23" x14ac:dyDescent="0.25">
      <c r="G19" s="111">
        <f>CHOOSE(PEDIDO!Y4,'1. DADOS'!G4,'1. DADOS'!G5,'1. DADOS'!G6,'1. DADOS'!G7,'1. DADOS'!G8,'1. DADOS'!G9)</f>
        <v>0</v>
      </c>
      <c r="H19" s="112">
        <v>2.5000000000000001E-2</v>
      </c>
      <c r="I19" s="113"/>
      <c r="J19" s="112">
        <v>0.05</v>
      </c>
      <c r="K19" s="114">
        <v>0.12</v>
      </c>
      <c r="L19" s="115">
        <v>9.2499999999999999E-2</v>
      </c>
    </row>
    <row r="20" spans="1:23" ht="33.75" x14ac:dyDescent="0.25">
      <c r="A20" s="116" t="s">
        <v>312</v>
      </c>
      <c r="B20" s="117" t="s">
        <v>313</v>
      </c>
      <c r="C20" s="117" t="s">
        <v>314</v>
      </c>
      <c r="D20" s="117" t="s">
        <v>315</v>
      </c>
      <c r="E20" s="118" t="s">
        <v>316</v>
      </c>
      <c r="F20" s="117" t="s">
        <v>317</v>
      </c>
      <c r="G20" s="117" t="s">
        <v>318</v>
      </c>
      <c r="H20" s="117" t="s">
        <v>319</v>
      </c>
      <c r="I20" s="117" t="s">
        <v>320</v>
      </c>
      <c r="J20" s="117" t="s">
        <v>321</v>
      </c>
      <c r="K20" s="117" t="s">
        <v>322</v>
      </c>
      <c r="L20" s="117" t="s">
        <v>323</v>
      </c>
      <c r="M20" s="119" t="s">
        <v>324</v>
      </c>
      <c r="N20" s="119" t="s">
        <v>325</v>
      </c>
      <c r="O20" s="117" t="s">
        <v>326</v>
      </c>
      <c r="P20" s="117" t="s">
        <v>327</v>
      </c>
      <c r="R20" s="116" t="s">
        <v>312</v>
      </c>
      <c r="S20" s="120" t="s">
        <v>10</v>
      </c>
      <c r="T20" s="120" t="s">
        <v>11</v>
      </c>
      <c r="U20" s="120" t="s">
        <v>12</v>
      </c>
      <c r="V20" s="120" t="s">
        <v>13</v>
      </c>
      <c r="W20" s="120" t="s">
        <v>14</v>
      </c>
    </row>
    <row r="21" spans="1:23" ht="43.5" customHeight="1" x14ac:dyDescent="0.25">
      <c r="T21" s="121">
        <v>80</v>
      </c>
      <c r="U21" s="122">
        <v>50</v>
      </c>
      <c r="V21" s="122">
        <v>25</v>
      </c>
      <c r="W21" s="122">
        <v>0</v>
      </c>
    </row>
    <row r="22" spans="1:23" ht="15.75" x14ac:dyDescent="0.25">
      <c r="A22" s="123" t="s">
        <v>0</v>
      </c>
      <c r="B22" s="124">
        <v>381199</v>
      </c>
      <c r="C22" s="125">
        <v>14.32</v>
      </c>
      <c r="D22" s="126">
        <v>20.8</v>
      </c>
      <c r="E22" s="127">
        <v>3.5000000000000003E-2</v>
      </c>
      <c r="F22" s="127">
        <v>0</v>
      </c>
      <c r="G22" s="128">
        <f>IFERROR(($P22/(1+$O22))*G$19,"")</f>
        <v>0</v>
      </c>
      <c r="H22" s="128">
        <f>IFERROR(($P22/(1+$O22))*H$19,"")</f>
        <v>0.52850000000000008</v>
      </c>
      <c r="I22" s="128">
        <f>IFERROR(($P22/(1+$O22))*$F22,"")</f>
        <v>0</v>
      </c>
      <c r="J22" s="128">
        <f>IFERROR(($P22/(1+$O22))*J$19,"")</f>
        <v>1.0570000000000002</v>
      </c>
      <c r="K22" s="128">
        <f>IFERROR(($P22/(1+$O22))*K$19,"")</f>
        <v>2.5367999999999999</v>
      </c>
      <c r="L22" s="128">
        <f>IFERROR(($P22/(1+$O22))*L$19,"")</f>
        <v>1.9554500000000001</v>
      </c>
      <c r="M22" s="129" t="s">
        <v>83</v>
      </c>
      <c r="N22" s="130" t="s">
        <v>84</v>
      </c>
      <c r="O22" s="131">
        <f>IF(M22="","",VLOOKUP(M22,CLASS_FISCAL,32,FALSE))</f>
        <v>0</v>
      </c>
      <c r="P22" s="132">
        <f>IFERROR(ROUND((C22/(1-SUM($E22:$F22,$G$19:$L$19)))*(1+O22),2),"")</f>
        <v>21.14</v>
      </c>
      <c r="R22" s="133" t="str">
        <f>A22</f>
        <v>PRATT HIPOCLORITO 1% (caixa 4 x 5L)</v>
      </c>
      <c r="S22" s="134">
        <v>0.2</v>
      </c>
      <c r="T22" s="135">
        <v>4.4999999999999998E-2</v>
      </c>
      <c r="U22" s="135">
        <v>2.5000000000000001E-2</v>
      </c>
      <c r="V22" s="135">
        <v>1.4999999999999999E-2</v>
      </c>
      <c r="W22" s="135">
        <v>0</v>
      </c>
    </row>
    <row r="23" spans="1:23" ht="43.5" customHeight="1" x14ac:dyDescent="0.25">
      <c r="C23" t="s">
        <v>631</v>
      </c>
    </row>
    <row r="24" spans="1:23" ht="15.75" x14ac:dyDescent="0.25">
      <c r="A24" s="123" t="s">
        <v>1</v>
      </c>
      <c r="B24" s="124">
        <v>381193</v>
      </c>
      <c r="C24" s="125">
        <v>16.22</v>
      </c>
      <c r="D24" s="126">
        <v>20.8</v>
      </c>
      <c r="E24" s="136">
        <v>7.0000000000000007E-2</v>
      </c>
      <c r="F24" s="137">
        <v>0.03</v>
      </c>
      <c r="G24" s="128">
        <f t="shared" ref="G24:H29" si="1">IFERROR(($P24/(1+$O24))*G$19,"")</f>
        <v>0</v>
      </c>
      <c r="H24" s="128">
        <f t="shared" si="1"/>
        <v>0.66200000000000003</v>
      </c>
      <c r="I24" s="128">
        <f t="shared" ref="I24:I29" si="2">IFERROR(($P24/(1+$O24))*$F24,"")</f>
        <v>0.7944</v>
      </c>
      <c r="J24" s="128">
        <f t="shared" ref="J24:L29" si="3">IFERROR(($P24/(1+$O24))*J$19,"")</f>
        <v>1.3240000000000001</v>
      </c>
      <c r="K24" s="128">
        <f t="shared" si="3"/>
        <v>3.1776</v>
      </c>
      <c r="L24" s="128">
        <f t="shared" si="3"/>
        <v>2.4493999999999998</v>
      </c>
      <c r="M24" s="129" t="s">
        <v>83</v>
      </c>
      <c r="N24" s="130" t="s">
        <v>84</v>
      </c>
      <c r="O24" s="131">
        <f t="shared" ref="O24:O30" si="4">IF(M24="","",VLOOKUP(M24,CLASS_FISCAL,32,FALSE))</f>
        <v>0</v>
      </c>
      <c r="P24" s="132">
        <f t="shared" ref="P24:P30" si="5">IFERROR(ROUND((C24/(1-SUM($E24:$F24,$G$19:$L$19)))*(1+O24),2),"")</f>
        <v>26.48</v>
      </c>
      <c r="R24" s="133" t="str">
        <f t="shared" ref="R24:R30" si="6">A24</f>
        <v>PRATT CLOR 2% (caixa 4 x 5L)</v>
      </c>
      <c r="S24" s="134">
        <v>0.12</v>
      </c>
      <c r="T24" s="135">
        <v>0.08</v>
      </c>
      <c r="U24" s="135">
        <v>0.04</v>
      </c>
      <c r="V24" s="135">
        <v>0.02</v>
      </c>
      <c r="W24" s="135">
        <v>0</v>
      </c>
    </row>
    <row r="25" spans="1:23" ht="15.75" x14ac:dyDescent="0.25">
      <c r="A25" s="123" t="s">
        <v>2</v>
      </c>
      <c r="B25" s="124">
        <v>341315</v>
      </c>
      <c r="C25" s="125">
        <v>15.29</v>
      </c>
      <c r="D25" s="126">
        <v>20.8</v>
      </c>
      <c r="E25" s="136">
        <v>0.12</v>
      </c>
      <c r="F25" s="137">
        <v>0.05</v>
      </c>
      <c r="G25" s="128">
        <f t="shared" si="1"/>
        <v>0</v>
      </c>
      <c r="H25" s="128">
        <f t="shared" si="1"/>
        <v>0.70452380952380955</v>
      </c>
      <c r="I25" s="128">
        <f t="shared" si="2"/>
        <v>1.4090476190476191</v>
      </c>
      <c r="J25" s="128">
        <f t="shared" si="3"/>
        <v>1.4090476190476191</v>
      </c>
      <c r="K25" s="128">
        <f t="shared" si="3"/>
        <v>3.3817142857142857</v>
      </c>
      <c r="L25" s="128">
        <f t="shared" si="3"/>
        <v>2.6067380952380952</v>
      </c>
      <c r="M25" s="129" t="s">
        <v>122</v>
      </c>
      <c r="N25" s="130" t="s">
        <v>124</v>
      </c>
      <c r="O25" s="131">
        <f t="shared" si="4"/>
        <v>0.05</v>
      </c>
      <c r="P25" s="132">
        <f t="shared" si="5"/>
        <v>29.59</v>
      </c>
      <c r="R25" s="133" t="str">
        <f t="shared" si="6"/>
        <v>PRATT ULTRA (caixa 4 x 5L)</v>
      </c>
      <c r="S25" s="134">
        <v>0.4</v>
      </c>
      <c r="T25" s="135">
        <v>0.25</v>
      </c>
      <c r="U25" s="135">
        <v>7.0000000000000007E-2</v>
      </c>
      <c r="V25" s="135">
        <v>0.03</v>
      </c>
      <c r="W25" s="135">
        <v>0</v>
      </c>
    </row>
    <row r="26" spans="1:23" ht="15.75" x14ac:dyDescent="0.25">
      <c r="A26" s="123" t="s">
        <v>617</v>
      </c>
      <c r="B26" s="124"/>
      <c r="C26" s="125">
        <v>8.5299999999999994</v>
      </c>
      <c r="D26" s="126">
        <v>20.8</v>
      </c>
      <c r="E26" s="136">
        <v>0.12</v>
      </c>
      <c r="F26" s="137">
        <v>0.05</v>
      </c>
      <c r="G26" s="128">
        <f t="shared" si="1"/>
        <v>0</v>
      </c>
      <c r="H26" s="128">
        <f t="shared" si="1"/>
        <v>0.39309523809523816</v>
      </c>
      <c r="I26" s="128">
        <f t="shared" si="2"/>
        <v>0.78619047619047633</v>
      </c>
      <c r="J26" s="128">
        <f t="shared" si="3"/>
        <v>0.78619047619047633</v>
      </c>
      <c r="K26" s="128">
        <f t="shared" si="3"/>
        <v>1.886857142857143</v>
      </c>
      <c r="L26" s="128">
        <f t="shared" si="3"/>
        <v>1.4544523809523811</v>
      </c>
      <c r="M26" s="129" t="s">
        <v>122</v>
      </c>
      <c r="N26" s="130" t="s">
        <v>124</v>
      </c>
      <c r="O26" s="131">
        <f>IF(M26="","",VLOOKUP(M26,CLASS_FISCAL,32,FALSE))</f>
        <v>0.05</v>
      </c>
      <c r="P26" s="132">
        <f>IFERROR(ROUND((C26/(1-SUM($E26:$F26,$G$19:$L$19)))*(1+O26),2),"")</f>
        <v>16.510000000000002</v>
      </c>
      <c r="R26" s="133" t="str">
        <f>A26</f>
        <v>PRATT ULTRA (caixa 12 x 1L)</v>
      </c>
      <c r="S26" s="134">
        <v>0.4</v>
      </c>
      <c r="T26" s="135">
        <v>0.25</v>
      </c>
      <c r="U26" s="135">
        <v>7.0000000000000007E-2</v>
      </c>
      <c r="V26" s="135">
        <v>0.02</v>
      </c>
      <c r="W26" s="135">
        <v>0</v>
      </c>
    </row>
    <row r="27" spans="1:23" ht="15.75" x14ac:dyDescent="0.25">
      <c r="A27" s="123" t="s">
        <v>3</v>
      </c>
      <c r="B27" s="124">
        <v>341210</v>
      </c>
      <c r="C27" s="125">
        <v>22.678573376963435</v>
      </c>
      <c r="D27" s="126">
        <v>20.8</v>
      </c>
      <c r="E27" s="136">
        <v>0.105</v>
      </c>
      <c r="F27" s="137">
        <v>0.05</v>
      </c>
      <c r="G27" s="128">
        <f t="shared" si="1"/>
        <v>0</v>
      </c>
      <c r="H27" s="128">
        <f t="shared" si="1"/>
        <v>1.016904761904762</v>
      </c>
      <c r="I27" s="128">
        <f t="shared" si="2"/>
        <v>2.033809523809524</v>
      </c>
      <c r="J27" s="128">
        <f t="shared" si="3"/>
        <v>2.033809523809524</v>
      </c>
      <c r="K27" s="128">
        <f t="shared" si="3"/>
        <v>4.8811428571428568</v>
      </c>
      <c r="L27" s="128">
        <f t="shared" si="3"/>
        <v>3.762547619047619</v>
      </c>
      <c r="M27" s="129" t="s">
        <v>122</v>
      </c>
      <c r="N27" s="130" t="s">
        <v>124</v>
      </c>
      <c r="O27" s="131">
        <f t="shared" si="4"/>
        <v>0.05</v>
      </c>
      <c r="P27" s="132">
        <f t="shared" si="5"/>
        <v>42.71</v>
      </c>
      <c r="R27" s="133" t="str">
        <f t="shared" si="6"/>
        <v>PRATT DETERGENTE NEUTRO (caixa 4 x 5L)</v>
      </c>
      <c r="S27" s="134">
        <v>0.4</v>
      </c>
      <c r="T27" s="135">
        <v>0.25</v>
      </c>
      <c r="U27" s="135">
        <v>7.0000000000000007E-2</v>
      </c>
      <c r="V27" s="135">
        <v>0.02</v>
      </c>
      <c r="W27" s="135">
        <v>0</v>
      </c>
    </row>
    <row r="28" spans="1:23" ht="15.75" x14ac:dyDescent="0.25">
      <c r="A28" s="123" t="s">
        <v>4</v>
      </c>
      <c r="B28" s="124">
        <v>381197</v>
      </c>
      <c r="C28" s="125">
        <v>25.165116538587515</v>
      </c>
      <c r="D28" s="126">
        <v>20.8</v>
      </c>
      <c r="E28" s="136">
        <v>0.08</v>
      </c>
      <c r="F28" s="137">
        <v>0.05</v>
      </c>
      <c r="G28" s="128">
        <f t="shared" si="1"/>
        <v>0</v>
      </c>
      <c r="H28" s="128">
        <f t="shared" si="1"/>
        <v>1.0799999999999998</v>
      </c>
      <c r="I28" s="128">
        <f t="shared" si="2"/>
        <v>2.1599999999999997</v>
      </c>
      <c r="J28" s="128">
        <f t="shared" si="3"/>
        <v>2.1599999999999997</v>
      </c>
      <c r="K28" s="128">
        <f t="shared" si="3"/>
        <v>5.1839999999999993</v>
      </c>
      <c r="L28" s="128">
        <f t="shared" si="3"/>
        <v>3.9959999999999996</v>
      </c>
      <c r="M28" s="129" t="s">
        <v>76</v>
      </c>
      <c r="N28" s="130" t="s">
        <v>78</v>
      </c>
      <c r="O28" s="131">
        <f t="shared" si="4"/>
        <v>0.05</v>
      </c>
      <c r="P28" s="132">
        <f t="shared" si="5"/>
        <v>45.36</v>
      </c>
      <c r="R28" s="133" t="str">
        <f t="shared" si="6"/>
        <v>PRATT DESINFETANTE FLORAL (caixa 4 x 5L)</v>
      </c>
      <c r="S28" s="134">
        <v>0.4</v>
      </c>
      <c r="T28" s="135">
        <v>0.15</v>
      </c>
      <c r="U28" s="135">
        <v>0.04</v>
      </c>
      <c r="V28" s="135">
        <v>0.02</v>
      </c>
      <c r="W28" s="135">
        <v>0</v>
      </c>
    </row>
    <row r="29" spans="1:23" ht="15.75" x14ac:dyDescent="0.25">
      <c r="A29" s="123" t="s">
        <v>5</v>
      </c>
      <c r="B29" s="124">
        <v>381322</v>
      </c>
      <c r="C29" s="125">
        <v>24.945256615858728</v>
      </c>
      <c r="D29" s="126">
        <v>20.8</v>
      </c>
      <c r="E29" s="136">
        <v>0.09</v>
      </c>
      <c r="F29" s="137">
        <v>0.05</v>
      </c>
      <c r="G29" s="128">
        <f t="shared" si="1"/>
        <v>0</v>
      </c>
      <c r="H29" s="128">
        <f t="shared" si="1"/>
        <v>1.0892857142857142</v>
      </c>
      <c r="I29" s="128">
        <f t="shared" si="2"/>
        <v>2.1785714285714284</v>
      </c>
      <c r="J29" s="128">
        <f t="shared" si="3"/>
        <v>2.1785714285714284</v>
      </c>
      <c r="K29" s="128">
        <f t="shared" si="3"/>
        <v>5.2285714285714278</v>
      </c>
      <c r="L29" s="128">
        <f t="shared" si="3"/>
        <v>4.0303571428571425</v>
      </c>
      <c r="M29" s="129" t="s">
        <v>76</v>
      </c>
      <c r="N29" s="130" t="s">
        <v>78</v>
      </c>
      <c r="O29" s="131">
        <f t="shared" si="4"/>
        <v>0.05</v>
      </c>
      <c r="P29" s="132">
        <f t="shared" si="5"/>
        <v>45.75</v>
      </c>
      <c r="R29" s="133" t="str">
        <f t="shared" si="6"/>
        <v>PRATT DESINFETANTE LAVANDA (caixa 4 x 5L)</v>
      </c>
      <c r="S29" s="134">
        <v>0.35</v>
      </c>
      <c r="T29" s="135">
        <v>0.15</v>
      </c>
      <c r="U29" s="135">
        <v>0.03</v>
      </c>
      <c r="V29" s="135">
        <v>0.02</v>
      </c>
      <c r="W29" s="135">
        <v>0</v>
      </c>
    </row>
    <row r="30" spans="1:23" ht="15.75" x14ac:dyDescent="0.25">
      <c r="A30" s="123" t="s">
        <v>6</v>
      </c>
      <c r="B30" s="124">
        <v>381195</v>
      </c>
      <c r="C30" s="125">
        <v>24.16274391032783</v>
      </c>
      <c r="D30" s="126">
        <v>20.8</v>
      </c>
      <c r="E30" s="136">
        <v>0.1</v>
      </c>
      <c r="F30" s="137">
        <v>0.05</v>
      </c>
      <c r="G30" s="128">
        <f>IFERROR(($P30/(1+$O30))*G$19,"")</f>
        <v>0</v>
      </c>
      <c r="H30" s="128">
        <f>IFERROR(($P30/(1+$O30))*H$19,"")</f>
        <v>1.0738095238095238</v>
      </c>
      <c r="I30" s="128">
        <f>IFERROR(($P30/(1+$O30))*$F30,"")</f>
        <v>2.1476190476190475</v>
      </c>
      <c r="J30" s="128">
        <f>IFERROR(($P30/(1+$O30))*J$19,"")</f>
        <v>2.1476190476190475</v>
      </c>
      <c r="K30" s="128">
        <f>IFERROR(($P30/(1+$O30))*K$19,"")</f>
        <v>5.1542857142857139</v>
      </c>
      <c r="L30" s="128">
        <f>IFERROR(($P30/(1+$O30))*L$19,"")</f>
        <v>3.9730952380952376</v>
      </c>
      <c r="M30" s="129" t="s">
        <v>76</v>
      </c>
      <c r="N30" s="130" t="s">
        <v>78</v>
      </c>
      <c r="O30" s="131">
        <f t="shared" si="4"/>
        <v>0.05</v>
      </c>
      <c r="P30" s="132">
        <f t="shared" si="5"/>
        <v>45.1</v>
      </c>
      <c r="R30" s="133" t="str">
        <f t="shared" si="6"/>
        <v>PRATT DESINFETANTE CITRONELA (caixa 4 x 5L)</v>
      </c>
      <c r="S30" s="134">
        <v>0.3</v>
      </c>
      <c r="T30" s="135">
        <v>0.12</v>
      </c>
      <c r="U30" s="135">
        <v>0.03</v>
      </c>
      <c r="V30" s="135">
        <v>0.02</v>
      </c>
      <c r="W30" s="135">
        <v>0</v>
      </c>
    </row>
    <row r="31" spans="1:23" ht="43.5" customHeight="1" x14ac:dyDescent="0.25"/>
    <row r="32" spans="1:23" ht="15.75" x14ac:dyDescent="0.25">
      <c r="A32" s="123" t="s">
        <v>7</v>
      </c>
      <c r="B32" s="124">
        <v>380454</v>
      </c>
      <c r="C32" s="125">
        <v>24.66</v>
      </c>
      <c r="D32" s="126">
        <f>4.8*0.88</f>
        <v>4.2240000000000002</v>
      </c>
      <c r="E32" s="127">
        <v>7.0000000000000007E-2</v>
      </c>
      <c r="F32" s="127">
        <v>0</v>
      </c>
      <c r="G32" s="128">
        <f t="shared" ref="G32:H36" si="7">IFERROR(($P32/(1+$O32))*G$19,"")</f>
        <v>0</v>
      </c>
      <c r="H32" s="128">
        <f t="shared" si="7"/>
        <v>0.95952380952380956</v>
      </c>
      <c r="I32" s="128">
        <f>IFERROR(($P32/(1+$O32))*$F32,"")</f>
        <v>0</v>
      </c>
      <c r="J32" s="128">
        <f t="shared" ref="J32:L36" si="8">IFERROR(($P32/(1+$O32))*J$19,"")</f>
        <v>1.9190476190476191</v>
      </c>
      <c r="K32" s="128">
        <f t="shared" si="8"/>
        <v>4.605714285714285</v>
      </c>
      <c r="L32" s="128">
        <f t="shared" si="8"/>
        <v>3.550238095238095</v>
      </c>
      <c r="M32" s="129" t="s">
        <v>76</v>
      </c>
      <c r="N32" s="130" t="s">
        <v>78</v>
      </c>
      <c r="O32" s="131">
        <f>IF(M32="","",VLOOKUP(M32,CLASS_FISCAL,32,FALSE))</f>
        <v>0.05</v>
      </c>
      <c r="P32" s="132">
        <f>IFERROR(ROUND((C32/(1-SUM($E32:$F32,$G$19:$L$19)))*(1+O32),2),"")</f>
        <v>40.299999999999997</v>
      </c>
      <c r="R32" s="133" t="str">
        <f>A32</f>
        <v>LETAHGEL (caixa 6 x 0,8L)</v>
      </c>
      <c r="S32" s="134">
        <v>0.2</v>
      </c>
      <c r="T32" s="135">
        <v>0.1</v>
      </c>
      <c r="U32" s="135">
        <v>0.03</v>
      </c>
      <c r="V32" s="135">
        <v>1.4999999999999999E-2</v>
      </c>
      <c r="W32" s="135">
        <v>0</v>
      </c>
    </row>
    <row r="33" spans="1:23" ht="15.75" x14ac:dyDescent="0.25">
      <c r="A33" s="123" t="s">
        <v>9</v>
      </c>
      <c r="B33" s="124">
        <v>380451</v>
      </c>
      <c r="C33" s="138">
        <v>70.83</v>
      </c>
      <c r="D33" s="126">
        <f>20.8*0.88</f>
        <v>18.304000000000002</v>
      </c>
      <c r="E33" s="127">
        <v>7.0000000000000007E-2</v>
      </c>
      <c r="F33" s="127">
        <v>0</v>
      </c>
      <c r="G33" s="128">
        <f t="shared" si="7"/>
        <v>0</v>
      </c>
      <c r="H33" s="128">
        <f t="shared" si="7"/>
        <v>2.7559523809523809</v>
      </c>
      <c r="I33" s="128">
        <f>IFERROR(($P33/(1+$O33))*$F33,"")</f>
        <v>0</v>
      </c>
      <c r="J33" s="128">
        <f t="shared" si="8"/>
        <v>5.5119047619047619</v>
      </c>
      <c r="K33" s="128">
        <f t="shared" si="8"/>
        <v>13.228571428571426</v>
      </c>
      <c r="L33" s="128">
        <f t="shared" si="8"/>
        <v>10.197023809523808</v>
      </c>
      <c r="M33" s="129" t="s">
        <v>76</v>
      </c>
      <c r="N33" s="130" t="s">
        <v>78</v>
      </c>
      <c r="O33" s="131">
        <f>IF(M33="","",VLOOKUP(M33,CLASS_FISCAL,32,FALSE))</f>
        <v>0.05</v>
      </c>
      <c r="P33" s="132">
        <f>IFERROR(ROUND((C33/(1-SUM($E33:$F33,$G$19:$L$19)))*(1+O33),2),"")</f>
        <v>115.75</v>
      </c>
      <c r="R33" s="133" t="str">
        <f>A33</f>
        <v>LETAHGEL (caixa 4 x 5L)</v>
      </c>
      <c r="S33" s="134">
        <v>0.1</v>
      </c>
      <c r="T33" s="135">
        <v>0.03</v>
      </c>
      <c r="U33" s="135">
        <v>0.01</v>
      </c>
      <c r="V33" s="135">
        <v>7.0000000000000001E-3</v>
      </c>
      <c r="W33" s="135">
        <v>0</v>
      </c>
    </row>
    <row r="34" spans="1:23" ht="15.75" x14ac:dyDescent="0.25">
      <c r="A34" s="123" t="s">
        <v>8</v>
      </c>
      <c r="B34" s="124">
        <v>341215</v>
      </c>
      <c r="C34" s="138">
        <v>22.38</v>
      </c>
      <c r="D34" s="126">
        <v>20.8</v>
      </c>
      <c r="E34" s="127">
        <v>7.0000000000000007E-2</v>
      </c>
      <c r="F34" s="127">
        <v>0.05</v>
      </c>
      <c r="G34" s="128">
        <f t="shared" si="7"/>
        <v>0</v>
      </c>
      <c r="H34" s="128">
        <f t="shared" si="7"/>
        <v>0.94428571428571417</v>
      </c>
      <c r="I34" s="128">
        <f>IFERROR(($P34/(1+$O34))*$F34,"")</f>
        <v>1.8885714285714283</v>
      </c>
      <c r="J34" s="128">
        <f t="shared" si="8"/>
        <v>1.8885714285714283</v>
      </c>
      <c r="K34" s="128">
        <f t="shared" si="8"/>
        <v>4.532571428571428</v>
      </c>
      <c r="L34" s="128">
        <f t="shared" si="8"/>
        <v>3.4938571428571423</v>
      </c>
      <c r="M34" s="129" t="s">
        <v>94</v>
      </c>
      <c r="N34" s="130" t="s">
        <v>96</v>
      </c>
      <c r="O34" s="131">
        <f>IF(M34="","",VLOOKUP(M34,CLASS_FISCAL,32,FALSE))</f>
        <v>0.05</v>
      </c>
      <c r="P34" s="132">
        <f>IFERROR(ROUND((C34/(1-SUM($E34:$F34,$G$19:$L$19)))*(1+O34),2),"")</f>
        <v>39.659999999999997</v>
      </c>
      <c r="R34" s="133" t="str">
        <f>A34</f>
        <v>PRATT SABONETE ERVA DOCE (caixa 4 x 5L)</v>
      </c>
      <c r="S34" s="134">
        <v>0.15</v>
      </c>
      <c r="T34" s="135">
        <v>0.1</v>
      </c>
      <c r="U34" s="135">
        <v>0.05</v>
      </c>
      <c r="V34" s="135">
        <v>0.02</v>
      </c>
      <c r="W34" s="135">
        <v>0</v>
      </c>
    </row>
    <row r="35" spans="1:23" ht="15.75" x14ac:dyDescent="0.25">
      <c r="A35" s="123" t="s">
        <v>414</v>
      </c>
      <c r="B35" s="124"/>
      <c r="C35" s="138">
        <v>14.47</v>
      </c>
      <c r="D35" s="126">
        <v>4.8</v>
      </c>
      <c r="E35" s="127">
        <v>0.105</v>
      </c>
      <c r="F35" s="127">
        <v>0.05</v>
      </c>
      <c r="G35" s="128">
        <f t="shared" si="7"/>
        <v>0</v>
      </c>
      <c r="H35" s="128">
        <f t="shared" si="7"/>
        <v>0.64880952380952384</v>
      </c>
      <c r="I35" s="128">
        <f>IFERROR(($P35/(1+$O35))*$F35,"")</f>
        <v>1.2976190476190477</v>
      </c>
      <c r="J35" s="128">
        <f t="shared" si="8"/>
        <v>1.2976190476190477</v>
      </c>
      <c r="K35" s="128">
        <f t="shared" si="8"/>
        <v>3.1142857142857143</v>
      </c>
      <c r="L35" s="128">
        <f t="shared" si="8"/>
        <v>2.4005952380952382</v>
      </c>
      <c r="M35" s="129" t="s">
        <v>94</v>
      </c>
      <c r="N35" s="130" t="s">
        <v>96</v>
      </c>
      <c r="O35" s="131">
        <f>IF(M35="","",VLOOKUP(M35,CLASS_FISCAL,32,FALSE))</f>
        <v>0.05</v>
      </c>
      <c r="P35" s="132">
        <f>IFERROR(ROUND((C35/(1-SUM($E35:$F35,$G$19:$L$19)))*(1+O35),2),"")</f>
        <v>27.25</v>
      </c>
      <c r="R35" s="133" t="str">
        <f>A35</f>
        <v>PRATT ESPUMA LÍRIO DO CAMPO (caixa 6 x 0,8L)</v>
      </c>
      <c r="S35" s="134">
        <v>0.4</v>
      </c>
      <c r="T35" s="135">
        <v>0.25</v>
      </c>
      <c r="U35" s="135">
        <v>0.15</v>
      </c>
      <c r="V35" s="135">
        <v>0.08</v>
      </c>
      <c r="W35" s="135">
        <v>0.02</v>
      </c>
    </row>
    <row r="36" spans="1:23" ht="15.75" x14ac:dyDescent="0.25">
      <c r="A36" s="123" t="s">
        <v>293</v>
      </c>
      <c r="B36" s="124">
        <v>341359</v>
      </c>
      <c r="C36" s="138">
        <v>28.45</v>
      </c>
      <c r="D36" s="126">
        <v>20.8</v>
      </c>
      <c r="E36" s="127">
        <v>0.10249999999999999</v>
      </c>
      <c r="F36" s="127">
        <v>0.05</v>
      </c>
      <c r="G36" s="128">
        <f t="shared" si="7"/>
        <v>0</v>
      </c>
      <c r="H36" s="128">
        <f t="shared" si="7"/>
        <v>1.2700000000000002</v>
      </c>
      <c r="I36" s="128">
        <f>IFERROR(($P36/(1+$O36))*$F36,"")</f>
        <v>2.5400000000000005</v>
      </c>
      <c r="J36" s="128">
        <f t="shared" si="8"/>
        <v>2.5400000000000005</v>
      </c>
      <c r="K36" s="128">
        <f t="shared" si="8"/>
        <v>6.0960000000000001</v>
      </c>
      <c r="L36" s="128">
        <f t="shared" si="8"/>
        <v>4.6990000000000007</v>
      </c>
      <c r="M36" s="129" t="s">
        <v>94</v>
      </c>
      <c r="N36" s="130" t="s">
        <v>96</v>
      </c>
      <c r="O36" s="131">
        <f>IF(M36="","",VLOOKUP(M36,CLASS_FISCAL,32,FALSE))</f>
        <v>0.05</v>
      </c>
      <c r="P36" s="132">
        <f>IFERROR(ROUND((C36/(1-SUM($E36:$F36,$G$19:$L$19)))*(1+O36),2),"")</f>
        <v>53.34</v>
      </c>
      <c r="R36" s="133" t="str">
        <f>A36</f>
        <v>PRATT ESPUMA LÍRIO DO CAMPO (caixa 4 x 5L)</v>
      </c>
      <c r="S36" s="134">
        <v>0.05</v>
      </c>
      <c r="T36" s="135">
        <v>0.05</v>
      </c>
      <c r="U36" s="135">
        <v>0.05</v>
      </c>
      <c r="V36" s="135">
        <v>0.05</v>
      </c>
      <c r="W36" s="135">
        <v>0.05</v>
      </c>
    </row>
    <row r="39" spans="1:23" ht="15.75" x14ac:dyDescent="0.25">
      <c r="A39" s="123" t="s">
        <v>618</v>
      </c>
      <c r="B39" s="124"/>
      <c r="C39" s="125">
        <v>20.239999999999998</v>
      </c>
      <c r="D39" s="126">
        <f>20*0.5+0.2</f>
        <v>10.199999999999999</v>
      </c>
      <c r="E39" s="127">
        <v>0.1</v>
      </c>
      <c r="F39" s="127">
        <v>0.1</v>
      </c>
      <c r="G39" s="128">
        <f t="shared" ref="G39:H43" si="9">IFERROR(($P39/(1+$O39))*G$19,"")</f>
        <v>0</v>
      </c>
      <c r="H39" s="128">
        <f t="shared" si="9"/>
        <v>0.98738095238095236</v>
      </c>
      <c r="I39" s="128">
        <f>IFERROR(($P39/(1+$O39))*$F39,"")</f>
        <v>3.9495238095238094</v>
      </c>
      <c r="J39" s="128">
        <f t="shared" ref="J39:L43" si="10">IFERROR(($P39/(1+$O39))*J$19,"")</f>
        <v>1.9747619047619047</v>
      </c>
      <c r="K39" s="128">
        <f t="shared" si="10"/>
        <v>4.7394285714285713</v>
      </c>
      <c r="L39" s="128">
        <f t="shared" si="10"/>
        <v>3.6533095238095235</v>
      </c>
      <c r="M39" s="129" t="s">
        <v>122</v>
      </c>
      <c r="N39" s="130" t="s">
        <v>124</v>
      </c>
      <c r="O39" s="131">
        <f>IF(M39="","",VLOOKUP(M39,CLASS_FISCAL,32,FALSE))</f>
        <v>0.05</v>
      </c>
      <c r="P39" s="132">
        <f>IFERROR(ROUND((C39/(1-SUM($E39:$F39,$G$19:$L$19)))*(1+O39),2),"")</f>
        <v>41.47</v>
      </c>
      <c r="R39" s="133" t="str">
        <f>A39</f>
        <v>LAVA ROUPAS PRATT MULTIAÇÃO (20 x 500 g)</v>
      </c>
      <c r="S39" s="134">
        <v>0.3933936651583711</v>
      </c>
      <c r="T39" s="135"/>
      <c r="U39" s="135"/>
      <c r="V39" s="135"/>
      <c r="W39" s="135"/>
    </row>
    <row r="40" spans="1:23" ht="15.75" x14ac:dyDescent="0.25">
      <c r="A40" s="123" t="s">
        <v>619</v>
      </c>
      <c r="B40" s="124"/>
      <c r="C40" s="138">
        <v>33.74</v>
      </c>
      <c r="D40" s="126">
        <f>20.2</f>
        <v>20.2</v>
      </c>
      <c r="E40" s="127">
        <v>0.1</v>
      </c>
      <c r="F40" s="127">
        <v>0.1</v>
      </c>
      <c r="G40" s="128">
        <f t="shared" si="9"/>
        <v>0</v>
      </c>
      <c r="H40" s="128">
        <f t="shared" si="9"/>
        <v>1.6459523809523811</v>
      </c>
      <c r="I40" s="128">
        <f>IFERROR(($P40/(1+$O40))*$F40,"")</f>
        <v>6.5838095238095242</v>
      </c>
      <c r="J40" s="128">
        <f t="shared" si="10"/>
        <v>3.2919047619047621</v>
      </c>
      <c r="K40" s="128">
        <f t="shared" si="10"/>
        <v>7.9005714285714284</v>
      </c>
      <c r="L40" s="128">
        <f t="shared" si="10"/>
        <v>6.0900238095238093</v>
      </c>
      <c r="M40" s="129" t="s">
        <v>122</v>
      </c>
      <c r="N40" s="130" t="s">
        <v>124</v>
      </c>
      <c r="O40" s="131">
        <f>IF(M40="","",VLOOKUP(M40,CLASS_FISCAL,32,FALSE))</f>
        <v>0.05</v>
      </c>
      <c r="P40" s="132">
        <f>IFERROR(ROUND((C40/(1-SUM($E40:$F40,$G$19:$L$19)))*(1+O40),2),"")</f>
        <v>69.13</v>
      </c>
      <c r="R40" s="133" t="str">
        <f>A40</f>
        <v>LAVA ROUPAS PRATT MULTIAÇÃO (20 x 1.000 g)</v>
      </c>
      <c r="S40" s="134">
        <v>0.4</v>
      </c>
      <c r="T40" s="135"/>
      <c r="U40" s="135"/>
      <c r="V40" s="135"/>
      <c r="W40" s="135"/>
    </row>
    <row r="41" spans="1:23" ht="15.75" x14ac:dyDescent="0.25">
      <c r="A41" s="123"/>
      <c r="B41" s="124"/>
      <c r="C41" s="138"/>
      <c r="D41" s="139"/>
      <c r="E41" s="127"/>
      <c r="F41" s="127"/>
      <c r="G41" s="128" t="str">
        <f t="shared" si="9"/>
        <v/>
      </c>
      <c r="H41" s="128" t="str">
        <f t="shared" si="9"/>
        <v/>
      </c>
      <c r="I41" s="128" t="str">
        <f>IFERROR(($P41/(1+$O41))*$F41,"")</f>
        <v/>
      </c>
      <c r="J41" s="128" t="str">
        <f t="shared" si="10"/>
        <v/>
      </c>
      <c r="K41" s="128" t="str">
        <f t="shared" si="10"/>
        <v/>
      </c>
      <c r="L41" s="128" t="str">
        <f t="shared" si="10"/>
        <v/>
      </c>
      <c r="M41" s="129"/>
      <c r="N41" s="130" t="s">
        <v>616</v>
      </c>
      <c r="O41" s="131" t="str">
        <f>IF(M41="","",VLOOKUP(M41,CLASS_FISCAL,32,FALSE))</f>
        <v/>
      </c>
      <c r="P41" s="132" t="str">
        <f>IFERROR(ROUND((C41/(1-SUM($E41:$F41,$G$19:$L$19)))*(1+O41),2),"")</f>
        <v/>
      </c>
      <c r="R41" s="133">
        <f>A41</f>
        <v>0</v>
      </c>
      <c r="S41" s="134"/>
      <c r="T41" s="135"/>
      <c r="U41" s="135"/>
      <c r="V41" s="135"/>
      <c r="W41" s="135"/>
    </row>
    <row r="42" spans="1:23" ht="15.75" x14ac:dyDescent="0.25">
      <c r="A42" s="123"/>
      <c r="B42" s="124"/>
      <c r="C42" s="138"/>
      <c r="D42" s="139"/>
      <c r="E42" s="127"/>
      <c r="F42" s="127"/>
      <c r="G42" s="128" t="str">
        <f t="shared" si="9"/>
        <v/>
      </c>
      <c r="H42" s="128" t="str">
        <f t="shared" si="9"/>
        <v/>
      </c>
      <c r="I42" s="128" t="str">
        <f>IFERROR(($P42/(1+$O42))*$F42,"")</f>
        <v/>
      </c>
      <c r="J42" s="128" t="str">
        <f t="shared" si="10"/>
        <v/>
      </c>
      <c r="K42" s="128" t="str">
        <f t="shared" si="10"/>
        <v/>
      </c>
      <c r="L42" s="128" t="str">
        <f t="shared" si="10"/>
        <v/>
      </c>
      <c r="M42" s="129"/>
      <c r="N42" s="130" t="s">
        <v>616</v>
      </c>
      <c r="O42" s="131" t="str">
        <f>IF(M42="","",VLOOKUP(M42,CLASS_FISCAL,32,FALSE))</f>
        <v/>
      </c>
      <c r="P42" s="132" t="str">
        <f>IFERROR(ROUND((C42/(1-SUM($E42:$F42,$G$19:$L$19)))*(1+O42),2),"")</f>
        <v/>
      </c>
      <c r="R42" s="133">
        <f>A42</f>
        <v>0</v>
      </c>
      <c r="S42" s="134">
        <v>0.05</v>
      </c>
      <c r="T42" s="135"/>
      <c r="U42" s="135"/>
      <c r="V42" s="135"/>
      <c r="W42" s="135"/>
    </row>
    <row r="43" spans="1:23" ht="15.75" x14ac:dyDescent="0.25">
      <c r="A43" s="123"/>
      <c r="B43" s="124"/>
      <c r="C43" s="138"/>
      <c r="D43" s="139"/>
      <c r="E43" s="127"/>
      <c r="F43" s="127"/>
      <c r="G43" s="128" t="str">
        <f t="shared" si="9"/>
        <v/>
      </c>
      <c r="H43" s="128" t="str">
        <f t="shared" si="9"/>
        <v/>
      </c>
      <c r="I43" s="128" t="str">
        <f>IFERROR(($P43/(1+$O43))*$F43,"")</f>
        <v/>
      </c>
      <c r="J43" s="128" t="str">
        <f t="shared" si="10"/>
        <v/>
      </c>
      <c r="K43" s="128" t="str">
        <f t="shared" si="10"/>
        <v/>
      </c>
      <c r="L43" s="128" t="str">
        <f t="shared" si="10"/>
        <v/>
      </c>
      <c r="M43" s="129"/>
      <c r="N43" s="130" t="s">
        <v>616</v>
      </c>
      <c r="O43" s="131" t="str">
        <f>IF(M43="","",VLOOKUP(M43,CLASS_FISCAL,32,FALSE))</f>
        <v/>
      </c>
      <c r="P43" s="132" t="str">
        <f>IFERROR(ROUND((C43/(1-SUM($E43:$F43,$G$19:$L$19)))*(1+O43),2),"")</f>
        <v/>
      </c>
      <c r="R43" s="133">
        <f>A43</f>
        <v>0</v>
      </c>
      <c r="S43" s="134">
        <v>0.05</v>
      </c>
      <c r="T43" s="135"/>
      <c r="U43" s="135"/>
      <c r="V43" s="135"/>
      <c r="W43" s="135"/>
    </row>
    <row r="51" spans="1:11" ht="21" x14ac:dyDescent="0.35">
      <c r="A51" s="6" t="s">
        <v>328</v>
      </c>
      <c r="B51" s="6"/>
      <c r="C51" s="6"/>
      <c r="D51" s="6"/>
      <c r="E51" s="6"/>
      <c r="F51" s="6"/>
      <c r="G51" s="6"/>
      <c r="H51" s="6"/>
      <c r="I51" s="6"/>
      <c r="J51" s="6"/>
      <c r="K51" s="6"/>
    </row>
    <row r="53" spans="1:11" ht="25.5" x14ac:dyDescent="0.25">
      <c r="A53" t="s">
        <v>329</v>
      </c>
      <c r="B53" s="140" t="s">
        <v>330</v>
      </c>
      <c r="C53" s="140" t="s">
        <v>331</v>
      </c>
      <c r="D53" s="141" t="s">
        <v>332</v>
      </c>
    </row>
    <row r="54" spans="1:11" x14ac:dyDescent="0.25">
      <c r="A54" s="142" t="str">
        <f>"De "&amp;B54&amp;" a "&amp;C54&amp;" caixas"</f>
        <v>De 10 a 34 caixas</v>
      </c>
      <c r="B54" s="143">
        <v>10</v>
      </c>
      <c r="C54" s="143">
        <f>B54+D54</f>
        <v>34</v>
      </c>
      <c r="D54" s="144">
        <v>24</v>
      </c>
      <c r="E54">
        <v>1</v>
      </c>
      <c r="F54" t="str">
        <f>A54</f>
        <v>De 10 a 34 caixas</v>
      </c>
    </row>
    <row r="55" spans="1:11" x14ac:dyDescent="0.25">
      <c r="A55" s="142" t="str">
        <f>"De "&amp;B55&amp;" a "&amp;C55&amp;" caixas"</f>
        <v>De 35 a 142 caixas</v>
      </c>
      <c r="B55" s="143">
        <f>C54+1</f>
        <v>35</v>
      </c>
      <c r="C55" s="143">
        <f>B55+D55</f>
        <v>142</v>
      </c>
      <c r="D55" s="144">
        <v>107</v>
      </c>
      <c r="E55">
        <v>2</v>
      </c>
      <c r="F55" t="str">
        <f>A55</f>
        <v>De 35 a 142 caixas</v>
      </c>
    </row>
    <row r="56" spans="1:11" x14ac:dyDescent="0.25">
      <c r="A56" s="142" t="str">
        <f>"De "&amp;B56&amp;" a "&amp;C56&amp;" caixas"</f>
        <v>De 143 a 258 caixas</v>
      </c>
      <c r="B56" s="143">
        <f>C55+1</f>
        <v>143</v>
      </c>
      <c r="C56" s="143">
        <f>B56+D56</f>
        <v>258</v>
      </c>
      <c r="D56" s="144">
        <v>115</v>
      </c>
      <c r="E56">
        <v>3</v>
      </c>
      <c r="F56" t="str">
        <f>A56</f>
        <v>De 143 a 258 caixas</v>
      </c>
    </row>
    <row r="57" spans="1:11" x14ac:dyDescent="0.25">
      <c r="A57" s="142" t="str">
        <f>"De "&amp;B57&amp;" a "&amp;C57&amp;" caixas"</f>
        <v>De 259 a 435 caixas</v>
      </c>
      <c r="B57" s="143">
        <f>C56+1</f>
        <v>259</v>
      </c>
      <c r="C57" s="143">
        <f>B57+D57</f>
        <v>435</v>
      </c>
      <c r="D57" s="144">
        <v>176</v>
      </c>
      <c r="E57">
        <v>4</v>
      </c>
      <c r="F57" t="str">
        <f>A57</f>
        <v>De 259 a 435 caixas</v>
      </c>
    </row>
    <row r="58" spans="1:11" x14ac:dyDescent="0.25">
      <c r="A58" s="142" t="str">
        <f>"De "&amp;B58&amp;" a "&amp;C58&amp;" caixas"</f>
        <v>De 436 a 650 caixas</v>
      </c>
      <c r="B58" s="143">
        <f>C57+1</f>
        <v>436</v>
      </c>
      <c r="C58" s="143">
        <f>B58+D58</f>
        <v>650</v>
      </c>
      <c r="D58" s="144">
        <v>214</v>
      </c>
      <c r="E58">
        <v>5</v>
      </c>
      <c r="F58" t="str">
        <f>A58</f>
        <v>De 436 a 650 caixas</v>
      </c>
    </row>
    <row r="62" spans="1:11" ht="21" x14ac:dyDescent="0.35">
      <c r="A62" s="6" t="s">
        <v>333</v>
      </c>
      <c r="B62" s="6"/>
      <c r="C62" s="6"/>
      <c r="D62" s="6"/>
      <c r="E62" s="6"/>
      <c r="F62" s="6"/>
      <c r="G62" s="6"/>
      <c r="H62" s="6"/>
    </row>
    <row r="64" spans="1:11" x14ac:dyDescent="0.25">
      <c r="B64" t="s">
        <v>334</v>
      </c>
      <c r="C64">
        <v>1</v>
      </c>
      <c r="D64" s="145" t="e">
        <f ca="1">LARGE(PEDIDO!$L$17:$L$34,'1. DADOS'!C64)</f>
        <v>#NUM!</v>
      </c>
      <c r="E64" t="e">
        <f ca="1">MATCH(D64,PEDIDO!$L$17:$L$34,0)</f>
        <v>#NUM!</v>
      </c>
    </row>
    <row r="65" spans="1:8" x14ac:dyDescent="0.25">
      <c r="B65" t="s">
        <v>335</v>
      </c>
      <c r="C65">
        <v>2</v>
      </c>
      <c r="D65" s="145" t="e">
        <f ca="1">LARGE(PEDIDO!$L$17:$L$34,'1. DADOS'!C65)</f>
        <v>#NUM!</v>
      </c>
      <c r="E65" t="e">
        <f ca="1">MATCH(D65,PEDIDO!$L$17:$L$34,0)</f>
        <v>#NUM!</v>
      </c>
    </row>
    <row r="66" spans="1:8" x14ac:dyDescent="0.25">
      <c r="B66" t="s">
        <v>336</v>
      </c>
      <c r="C66">
        <v>3</v>
      </c>
      <c r="D66" s="145" t="e">
        <f ca="1">LARGE(PEDIDO!$L$17:$L$34,'1. DADOS'!C66)</f>
        <v>#NUM!</v>
      </c>
      <c r="E66" t="e">
        <f ca="1">MATCH(D66,PEDIDO!$L$17:$L$34,0)</f>
        <v>#NUM!</v>
      </c>
    </row>
    <row r="67" spans="1:8" x14ac:dyDescent="0.25">
      <c r="B67" t="s">
        <v>337</v>
      </c>
      <c r="C67">
        <v>4</v>
      </c>
      <c r="D67" s="145" t="e">
        <f ca="1">LARGE(PEDIDO!$L$17:$L$34,'1. DADOS'!C67)</f>
        <v>#NUM!</v>
      </c>
      <c r="E67" t="e">
        <f ca="1">MATCH(D67,PEDIDO!$L$17:$L$34,0)</f>
        <v>#NUM!</v>
      </c>
    </row>
    <row r="68" spans="1:8" x14ac:dyDescent="0.25">
      <c r="B68" t="s">
        <v>338</v>
      </c>
      <c r="C68">
        <v>5</v>
      </c>
      <c r="D68" s="145" t="e">
        <f ca="1">LARGE(PEDIDO!$L$17:$L$34,'1. DADOS'!C68)</f>
        <v>#NUM!</v>
      </c>
      <c r="E68" t="e">
        <f ca="1">MATCH(D68,PEDIDO!$L$17:$L$34,0)</f>
        <v>#NUM!</v>
      </c>
    </row>
    <row r="69" spans="1:8" x14ac:dyDescent="0.25">
      <c r="B69" t="s">
        <v>339</v>
      </c>
      <c r="C69">
        <v>6</v>
      </c>
      <c r="D69" s="145" t="e">
        <f ca="1">LARGE(PEDIDO!$L$17:$L$34,'1. DADOS'!C69)</f>
        <v>#NUM!</v>
      </c>
      <c r="E69" t="e">
        <f ca="1">MATCH(D69,PEDIDO!$L$17:$L$34,0)</f>
        <v>#NUM!</v>
      </c>
    </row>
    <row r="70" spans="1:8" x14ac:dyDescent="0.25">
      <c r="B70" t="s">
        <v>340</v>
      </c>
      <c r="C70">
        <v>7</v>
      </c>
      <c r="D70" s="145" t="e">
        <f ca="1">LARGE(PEDIDO!$L$17:$L$34,'1. DADOS'!C70)</f>
        <v>#NUM!</v>
      </c>
      <c r="E70" t="e">
        <f ca="1">MATCH(D70,PEDIDO!$L$17:$L$34,0)</f>
        <v>#NUM!</v>
      </c>
    </row>
    <row r="71" spans="1:8" x14ac:dyDescent="0.25">
      <c r="B71" t="s">
        <v>341</v>
      </c>
      <c r="C71">
        <v>8</v>
      </c>
      <c r="D71" s="145" t="e">
        <f ca="1">LARGE(PEDIDO!$L$17:$L$34,'1. DADOS'!C71)</f>
        <v>#NUM!</v>
      </c>
      <c r="E71" t="e">
        <f ca="1">MATCH(D71,PEDIDO!$L$17:$L$34,0)</f>
        <v>#NUM!</v>
      </c>
    </row>
    <row r="72" spans="1:8" x14ac:dyDescent="0.25">
      <c r="B72" t="s">
        <v>342</v>
      </c>
      <c r="C72">
        <v>9</v>
      </c>
      <c r="D72" s="145" t="e">
        <f ca="1">LARGE(PEDIDO!$L$17:$L$34,'1. DADOS'!C72)</f>
        <v>#NUM!</v>
      </c>
      <c r="E72" t="e">
        <f ca="1">MATCH(D72,PEDIDO!$L$17:$L$34,0)</f>
        <v>#NUM!</v>
      </c>
    </row>
    <row r="73" spans="1:8" x14ac:dyDescent="0.25">
      <c r="B73" t="s">
        <v>343</v>
      </c>
      <c r="C73">
        <v>10</v>
      </c>
      <c r="D73" s="145" t="e">
        <f ca="1">LARGE(PEDIDO!$L$17:$L$34,'1. DADOS'!C73)</f>
        <v>#NUM!</v>
      </c>
      <c r="E73" t="e">
        <f ca="1">MATCH(D73,PEDIDO!$L$17:$L$34,0)</f>
        <v>#NUM!</v>
      </c>
    </row>
    <row r="74" spans="1:8" x14ac:dyDescent="0.25">
      <c r="B74" t="s">
        <v>344</v>
      </c>
      <c r="C74">
        <v>11</v>
      </c>
      <c r="D74" s="145" t="e">
        <f ca="1">LARGE(PEDIDO!$L$17:$L$34,'1. DADOS'!C74)</f>
        <v>#NUM!</v>
      </c>
      <c r="E74" t="e">
        <f ca="1">MATCH(D74,PEDIDO!$L$17:$L$34,0)</f>
        <v>#NUM!</v>
      </c>
    </row>
    <row r="75" spans="1:8" x14ac:dyDescent="0.25">
      <c r="B75" t="s">
        <v>345</v>
      </c>
      <c r="C75">
        <v>12</v>
      </c>
      <c r="D75" s="145" t="e">
        <f ca="1">LARGE(PEDIDO!$L$17:$L$34,'1. DADOS'!C75)</f>
        <v>#NUM!</v>
      </c>
      <c r="E75" t="e">
        <f ca="1">MATCH(D75,PEDIDO!$L$17:$L$34,0)</f>
        <v>#NUM!</v>
      </c>
    </row>
    <row r="76" spans="1:8" x14ac:dyDescent="0.25">
      <c r="B76" t="s">
        <v>346</v>
      </c>
      <c r="C76">
        <v>13</v>
      </c>
      <c r="D76" s="145" t="e">
        <f ca="1">LARGE(PEDIDO!$L$17:$L$34,'1. DADOS'!C76)</f>
        <v>#NUM!</v>
      </c>
      <c r="E76" t="e">
        <f ca="1">MATCH(D76,PEDIDO!$L$17:$L$34,0)</f>
        <v>#NUM!</v>
      </c>
    </row>
    <row r="77" spans="1:8" x14ac:dyDescent="0.25">
      <c r="B77" t="s">
        <v>347</v>
      </c>
      <c r="C77">
        <v>14</v>
      </c>
      <c r="D77" s="145" t="e">
        <f ca="1">LARGE(PEDIDO!$L$17:$L$34,'1. DADOS'!C77)</f>
        <v>#NUM!</v>
      </c>
      <c r="E77" t="e">
        <f ca="1">MATCH(D77,PEDIDO!$L$17:$L$34,0)</f>
        <v>#NUM!</v>
      </c>
    </row>
    <row r="80" spans="1:8" ht="21" x14ac:dyDescent="0.35">
      <c r="A80" s="6" t="s">
        <v>511</v>
      </c>
      <c r="B80" s="6"/>
      <c r="C80" s="6"/>
      <c r="D80" s="6"/>
      <c r="E80" s="6"/>
      <c r="F80" s="6"/>
      <c r="G80" s="6"/>
      <c r="H80" s="6"/>
    </row>
    <row r="82" spans="2:3" x14ac:dyDescent="0.25">
      <c r="B82" s="341" t="s">
        <v>362</v>
      </c>
      <c r="C82" s="341" t="s">
        <v>512</v>
      </c>
    </row>
    <row r="83" spans="2:3" x14ac:dyDescent="0.25">
      <c r="B83">
        <v>1</v>
      </c>
      <c r="C83" s="342" t="s">
        <v>513</v>
      </c>
    </row>
    <row r="84" spans="2:3" x14ac:dyDescent="0.25">
      <c r="B84">
        <v>10</v>
      </c>
      <c r="C84" s="342" t="s">
        <v>514</v>
      </c>
    </row>
    <row r="85" spans="2:3" x14ac:dyDescent="0.25">
      <c r="B85">
        <v>1008</v>
      </c>
      <c r="C85" s="342" t="s">
        <v>515</v>
      </c>
    </row>
    <row r="86" spans="2:3" x14ac:dyDescent="0.25">
      <c r="B86">
        <v>1010</v>
      </c>
      <c r="C86" s="342" t="s">
        <v>516</v>
      </c>
    </row>
    <row r="87" spans="2:3" x14ac:dyDescent="0.25">
      <c r="B87">
        <v>1011</v>
      </c>
      <c r="C87" s="342" t="s">
        <v>517</v>
      </c>
    </row>
    <row r="88" spans="2:3" x14ac:dyDescent="0.25">
      <c r="B88">
        <v>1014</v>
      </c>
      <c r="C88" s="342" t="s">
        <v>518</v>
      </c>
    </row>
    <row r="89" spans="2:3" x14ac:dyDescent="0.25">
      <c r="B89">
        <v>1016</v>
      </c>
      <c r="C89" s="342" t="s">
        <v>519</v>
      </c>
    </row>
    <row r="90" spans="2:3" x14ac:dyDescent="0.25">
      <c r="B90">
        <v>1021</v>
      </c>
      <c r="C90" s="342" t="s">
        <v>520</v>
      </c>
    </row>
    <row r="91" spans="2:3" x14ac:dyDescent="0.25">
      <c r="B91">
        <v>1023</v>
      </c>
      <c r="C91" s="342" t="s">
        <v>521</v>
      </c>
    </row>
    <row r="92" spans="2:3" x14ac:dyDescent="0.25">
      <c r="B92">
        <v>1024</v>
      </c>
      <c r="C92" s="342" t="s">
        <v>522</v>
      </c>
    </row>
    <row r="93" spans="2:3" x14ac:dyDescent="0.25">
      <c r="B93">
        <v>1026</v>
      </c>
      <c r="C93" s="342" t="s">
        <v>523</v>
      </c>
    </row>
    <row r="94" spans="2:3" x14ac:dyDescent="0.25">
      <c r="B94">
        <v>1027</v>
      </c>
      <c r="C94" s="342" t="s">
        <v>524</v>
      </c>
    </row>
    <row r="95" spans="2:3" x14ac:dyDescent="0.25">
      <c r="B95">
        <v>1029</v>
      </c>
      <c r="C95" s="342" t="s">
        <v>525</v>
      </c>
    </row>
    <row r="96" spans="2:3" x14ac:dyDescent="0.25">
      <c r="B96">
        <v>1033</v>
      </c>
      <c r="C96" s="342" t="s">
        <v>526</v>
      </c>
    </row>
    <row r="97" spans="2:3" x14ac:dyDescent="0.25">
      <c r="B97">
        <v>1042</v>
      </c>
      <c r="C97" s="342" t="s">
        <v>527</v>
      </c>
    </row>
    <row r="98" spans="2:3" x14ac:dyDescent="0.25">
      <c r="B98">
        <v>1045</v>
      </c>
      <c r="C98" s="342" t="s">
        <v>528</v>
      </c>
    </row>
    <row r="99" spans="2:3" x14ac:dyDescent="0.25">
      <c r="B99">
        <v>1053</v>
      </c>
      <c r="C99" s="342" t="s">
        <v>529</v>
      </c>
    </row>
    <row r="100" spans="2:3" x14ac:dyDescent="0.25">
      <c r="B100">
        <v>1057</v>
      </c>
      <c r="C100" s="342" t="s">
        <v>530</v>
      </c>
    </row>
    <row r="101" spans="2:3" x14ac:dyDescent="0.25">
      <c r="B101">
        <v>1058</v>
      </c>
      <c r="C101" s="342" t="s">
        <v>531</v>
      </c>
    </row>
    <row r="102" spans="2:3" x14ac:dyDescent="0.25">
      <c r="B102">
        <v>1063</v>
      </c>
      <c r="C102" s="342" t="s">
        <v>532</v>
      </c>
    </row>
    <row r="103" spans="2:3" x14ac:dyDescent="0.25">
      <c r="B103">
        <v>1065</v>
      </c>
      <c r="C103" s="342" t="s">
        <v>533</v>
      </c>
    </row>
    <row r="104" spans="2:3" x14ac:dyDescent="0.25">
      <c r="B104">
        <v>1069</v>
      </c>
      <c r="C104" s="342" t="s">
        <v>534</v>
      </c>
    </row>
    <row r="105" spans="2:3" x14ac:dyDescent="0.25">
      <c r="B105">
        <v>1073</v>
      </c>
      <c r="C105" s="342" t="s">
        <v>535</v>
      </c>
    </row>
    <row r="106" spans="2:3" x14ac:dyDescent="0.25">
      <c r="B106">
        <v>1074</v>
      </c>
      <c r="C106" s="342" t="s">
        <v>536</v>
      </c>
    </row>
    <row r="107" spans="2:3" x14ac:dyDescent="0.25">
      <c r="B107">
        <v>1089</v>
      </c>
      <c r="C107" s="342" t="s">
        <v>537</v>
      </c>
    </row>
    <row r="108" spans="2:3" x14ac:dyDescent="0.25">
      <c r="B108">
        <v>1134</v>
      </c>
      <c r="C108" s="342" t="s">
        <v>538</v>
      </c>
    </row>
    <row r="109" spans="2:3" x14ac:dyDescent="0.25">
      <c r="B109">
        <v>1138</v>
      </c>
      <c r="C109" s="342" t="s">
        <v>539</v>
      </c>
    </row>
    <row r="110" spans="2:3" x14ac:dyDescent="0.25">
      <c r="B110">
        <v>1140</v>
      </c>
      <c r="C110" s="342" t="s">
        <v>540</v>
      </c>
    </row>
    <row r="111" spans="2:3" x14ac:dyDescent="0.25">
      <c r="B111">
        <v>1145</v>
      </c>
      <c r="C111" s="342" t="s">
        <v>541</v>
      </c>
    </row>
    <row r="112" spans="2:3" x14ac:dyDescent="0.25">
      <c r="B112">
        <v>1146</v>
      </c>
      <c r="C112" s="342" t="s">
        <v>542</v>
      </c>
    </row>
    <row r="113" spans="2:3" x14ac:dyDescent="0.25">
      <c r="B113">
        <v>1151</v>
      </c>
      <c r="C113" s="342" t="s">
        <v>543</v>
      </c>
    </row>
    <row r="114" spans="2:3" x14ac:dyDescent="0.25">
      <c r="B114">
        <v>1210</v>
      </c>
      <c r="C114" s="342" t="s">
        <v>544</v>
      </c>
    </row>
    <row r="115" spans="2:3" x14ac:dyDescent="0.25">
      <c r="B115">
        <v>1225</v>
      </c>
      <c r="C115" s="342" t="s">
        <v>545</v>
      </c>
    </row>
    <row r="116" spans="2:3" x14ac:dyDescent="0.25">
      <c r="B116">
        <v>1229</v>
      </c>
      <c r="C116" s="342" t="s">
        <v>546</v>
      </c>
    </row>
    <row r="117" spans="2:3" x14ac:dyDescent="0.25">
      <c r="B117">
        <v>1230</v>
      </c>
      <c r="C117" s="342" t="s">
        <v>547</v>
      </c>
    </row>
    <row r="118" spans="2:3" x14ac:dyDescent="0.25">
      <c r="B118">
        <v>1231</v>
      </c>
      <c r="C118" s="342" t="s">
        <v>548</v>
      </c>
    </row>
    <row r="119" spans="2:3" x14ac:dyDescent="0.25">
      <c r="B119">
        <v>1232</v>
      </c>
      <c r="C119" s="342" t="s">
        <v>549</v>
      </c>
    </row>
    <row r="120" spans="2:3" x14ac:dyDescent="0.25">
      <c r="B120">
        <v>1233</v>
      </c>
      <c r="C120" s="342" t="s">
        <v>550</v>
      </c>
    </row>
    <row r="121" spans="2:3" x14ac:dyDescent="0.25">
      <c r="B121">
        <v>1234</v>
      </c>
      <c r="C121" s="342" t="s">
        <v>551</v>
      </c>
    </row>
    <row r="122" spans="2:3" x14ac:dyDescent="0.25">
      <c r="B122">
        <v>1235</v>
      </c>
      <c r="C122" s="342" t="s">
        <v>552</v>
      </c>
    </row>
    <row r="123" spans="2:3" x14ac:dyDescent="0.25">
      <c r="B123">
        <v>1236</v>
      </c>
      <c r="C123" s="342" t="s">
        <v>553</v>
      </c>
    </row>
    <row r="124" spans="2:3" x14ac:dyDescent="0.25">
      <c r="B124">
        <v>1237</v>
      </c>
      <c r="C124" s="342" t="s">
        <v>554</v>
      </c>
    </row>
    <row r="125" spans="2:3" x14ac:dyDescent="0.25">
      <c r="B125">
        <v>1238</v>
      </c>
      <c r="C125" s="342" t="s">
        <v>555</v>
      </c>
    </row>
    <row r="126" spans="2:3" x14ac:dyDescent="0.25">
      <c r="B126">
        <v>1239</v>
      </c>
      <c r="C126" s="342" t="s">
        <v>556</v>
      </c>
    </row>
    <row r="127" spans="2:3" x14ac:dyDescent="0.25">
      <c r="B127">
        <v>1240</v>
      </c>
      <c r="C127" s="342" t="s">
        <v>557</v>
      </c>
    </row>
    <row r="128" spans="2:3" x14ac:dyDescent="0.25">
      <c r="B128">
        <v>1241</v>
      </c>
      <c r="C128" s="342" t="s">
        <v>558</v>
      </c>
    </row>
    <row r="129" spans="2:3" x14ac:dyDescent="0.25">
      <c r="B129">
        <v>1242</v>
      </c>
      <c r="C129" s="342" t="s">
        <v>559</v>
      </c>
    </row>
    <row r="130" spans="2:3" x14ac:dyDescent="0.25">
      <c r="B130">
        <v>1249</v>
      </c>
      <c r="C130" s="342" t="s">
        <v>560</v>
      </c>
    </row>
    <row r="131" spans="2:3" x14ac:dyDescent="0.25">
      <c r="B131">
        <v>1251</v>
      </c>
      <c r="C131" s="342" t="s">
        <v>561</v>
      </c>
    </row>
    <row r="132" spans="2:3" x14ac:dyDescent="0.25">
      <c r="B132">
        <v>1257</v>
      </c>
      <c r="C132" s="342" t="s">
        <v>562</v>
      </c>
    </row>
    <row r="133" spans="2:3" x14ac:dyDescent="0.25">
      <c r="B133">
        <v>1259</v>
      </c>
      <c r="C133" s="342" t="s">
        <v>563</v>
      </c>
    </row>
    <row r="134" spans="2:3" x14ac:dyDescent="0.25">
      <c r="B134">
        <v>1280</v>
      </c>
      <c r="C134" s="342" t="s">
        <v>564</v>
      </c>
    </row>
    <row r="135" spans="2:3" x14ac:dyDescent="0.25">
      <c r="B135">
        <v>1281</v>
      </c>
      <c r="C135" s="342" t="s">
        <v>565</v>
      </c>
    </row>
    <row r="136" spans="2:3" x14ac:dyDescent="0.25">
      <c r="B136">
        <v>1283</v>
      </c>
      <c r="C136" s="342" t="s">
        <v>566</v>
      </c>
    </row>
    <row r="137" spans="2:3" x14ac:dyDescent="0.25">
      <c r="B137">
        <v>1286</v>
      </c>
      <c r="C137" s="342" t="s">
        <v>567</v>
      </c>
    </row>
    <row r="138" spans="2:3" x14ac:dyDescent="0.25">
      <c r="B138">
        <v>1289</v>
      </c>
      <c r="C138" s="342" t="s">
        <v>568</v>
      </c>
    </row>
    <row r="139" spans="2:3" x14ac:dyDescent="0.25">
      <c r="B139">
        <v>1290</v>
      </c>
      <c r="C139" s="342" t="s">
        <v>569</v>
      </c>
    </row>
    <row r="140" spans="2:3" x14ac:dyDescent="0.25">
      <c r="B140">
        <v>1293</v>
      </c>
      <c r="C140" s="342" t="s">
        <v>570</v>
      </c>
    </row>
    <row r="141" spans="2:3" x14ac:dyDescent="0.25">
      <c r="B141">
        <v>1295</v>
      </c>
      <c r="C141" s="342" t="s">
        <v>571</v>
      </c>
    </row>
    <row r="142" spans="2:3" x14ac:dyDescent="0.25">
      <c r="B142">
        <v>1297</v>
      </c>
      <c r="C142" s="342" t="s">
        <v>572</v>
      </c>
    </row>
    <row r="143" spans="2:3" x14ac:dyDescent="0.25">
      <c r="B143">
        <v>1298</v>
      </c>
      <c r="C143" s="342" t="s">
        <v>573</v>
      </c>
    </row>
    <row r="144" spans="2:3" x14ac:dyDescent="0.25">
      <c r="B144">
        <v>1302</v>
      </c>
      <c r="C144" s="342" t="s">
        <v>574</v>
      </c>
    </row>
    <row r="145" spans="2:3" x14ac:dyDescent="0.25">
      <c r="B145">
        <v>1303</v>
      </c>
      <c r="C145" s="342" t="s">
        <v>575</v>
      </c>
    </row>
    <row r="146" spans="2:3" x14ac:dyDescent="0.25">
      <c r="B146">
        <v>1304</v>
      </c>
      <c r="C146" s="342" t="s">
        <v>576</v>
      </c>
    </row>
    <row r="147" spans="2:3" x14ac:dyDescent="0.25">
      <c r="B147">
        <v>1305</v>
      </c>
      <c r="C147" s="342" t="s">
        <v>577</v>
      </c>
    </row>
    <row r="148" spans="2:3" x14ac:dyDescent="0.25">
      <c r="B148">
        <v>1308</v>
      </c>
      <c r="C148" s="342" t="s">
        <v>578</v>
      </c>
    </row>
    <row r="149" spans="2:3" x14ac:dyDescent="0.25">
      <c r="B149">
        <v>1309</v>
      </c>
      <c r="C149" s="342" t="s">
        <v>579</v>
      </c>
    </row>
    <row r="150" spans="2:3" x14ac:dyDescent="0.25">
      <c r="B150">
        <v>1310</v>
      </c>
      <c r="C150" s="342" t="s">
        <v>580</v>
      </c>
    </row>
    <row r="151" spans="2:3" x14ac:dyDescent="0.25">
      <c r="B151">
        <v>1313</v>
      </c>
      <c r="C151" s="342" t="s">
        <v>581</v>
      </c>
    </row>
    <row r="152" spans="2:3" x14ac:dyDescent="0.25">
      <c r="B152">
        <v>1315</v>
      </c>
      <c r="C152" s="342" t="s">
        <v>582</v>
      </c>
    </row>
    <row r="153" spans="2:3" x14ac:dyDescent="0.25">
      <c r="B153">
        <v>1316</v>
      </c>
      <c r="C153" s="342" t="s">
        <v>583</v>
      </c>
    </row>
    <row r="154" spans="2:3" x14ac:dyDescent="0.25">
      <c r="B154">
        <v>1317</v>
      </c>
      <c r="C154" s="342" t="s">
        <v>584</v>
      </c>
    </row>
    <row r="155" spans="2:3" x14ac:dyDescent="0.25">
      <c r="B155">
        <v>1319</v>
      </c>
      <c r="C155" s="342" t="s">
        <v>585</v>
      </c>
    </row>
    <row r="156" spans="2:3" x14ac:dyDescent="0.25">
      <c r="B156">
        <v>1321</v>
      </c>
      <c r="C156" s="342" t="s">
        <v>586</v>
      </c>
    </row>
    <row r="157" spans="2:3" x14ac:dyDescent="0.25">
      <c r="B157">
        <v>1322</v>
      </c>
      <c r="C157" s="342" t="s">
        <v>587</v>
      </c>
    </row>
    <row r="158" spans="2:3" x14ac:dyDescent="0.25">
      <c r="B158">
        <v>1323</v>
      </c>
      <c r="C158" s="342" t="s">
        <v>588</v>
      </c>
    </row>
    <row r="159" spans="2:3" x14ac:dyDescent="0.25">
      <c r="B159">
        <v>1326</v>
      </c>
      <c r="C159" s="342" t="s">
        <v>589</v>
      </c>
    </row>
    <row r="160" spans="2:3" x14ac:dyDescent="0.25">
      <c r="B160">
        <v>1327</v>
      </c>
      <c r="C160" s="342" t="s">
        <v>590</v>
      </c>
    </row>
    <row r="161" spans="2:3" x14ac:dyDescent="0.25">
      <c r="B161">
        <v>1328</v>
      </c>
      <c r="C161" s="342" t="s">
        <v>591</v>
      </c>
    </row>
    <row r="162" spans="2:3" x14ac:dyDescent="0.25">
      <c r="B162">
        <v>1329</v>
      </c>
      <c r="C162" s="342" t="s">
        <v>592</v>
      </c>
    </row>
    <row r="163" spans="2:3" x14ac:dyDescent="0.25">
      <c r="B163">
        <v>1330</v>
      </c>
      <c r="C163" s="342" t="s">
        <v>593</v>
      </c>
    </row>
    <row r="164" spans="2:3" x14ac:dyDescent="0.25">
      <c r="B164">
        <v>1331</v>
      </c>
      <c r="C164" s="342" t="s">
        <v>594</v>
      </c>
    </row>
    <row r="165" spans="2:3" x14ac:dyDescent="0.25">
      <c r="B165">
        <v>1332</v>
      </c>
      <c r="C165" s="342" t="s">
        <v>595</v>
      </c>
    </row>
    <row r="166" spans="2:3" x14ac:dyDescent="0.25">
      <c r="B166">
        <v>1333</v>
      </c>
      <c r="C166" s="342" t="s">
        <v>596</v>
      </c>
    </row>
    <row r="167" spans="2:3" x14ac:dyDescent="0.25">
      <c r="B167">
        <v>1334</v>
      </c>
      <c r="C167" s="342" t="s">
        <v>597</v>
      </c>
    </row>
    <row r="168" spans="2:3" x14ac:dyDescent="0.25">
      <c r="B168">
        <v>1336</v>
      </c>
      <c r="C168" s="342" t="s">
        <v>598</v>
      </c>
    </row>
    <row r="169" spans="2:3" x14ac:dyDescent="0.25">
      <c r="B169">
        <v>1337</v>
      </c>
      <c r="C169" s="342" t="s">
        <v>599</v>
      </c>
    </row>
    <row r="170" spans="2:3" x14ac:dyDescent="0.25">
      <c r="B170">
        <v>1338</v>
      </c>
      <c r="C170" s="342" t="s">
        <v>600</v>
      </c>
    </row>
    <row r="171" spans="2:3" x14ac:dyDescent="0.25">
      <c r="B171">
        <v>1339</v>
      </c>
      <c r="C171" s="342" t="s">
        <v>601</v>
      </c>
    </row>
    <row r="172" spans="2:3" x14ac:dyDescent="0.25">
      <c r="B172">
        <v>1340</v>
      </c>
      <c r="C172" s="342" t="s">
        <v>602</v>
      </c>
    </row>
    <row r="173" spans="2:3" x14ac:dyDescent="0.25">
      <c r="B173">
        <v>1341</v>
      </c>
      <c r="C173" s="342" t="s">
        <v>603</v>
      </c>
    </row>
    <row r="174" spans="2:3" x14ac:dyDescent="0.25">
      <c r="B174">
        <v>1342</v>
      </c>
      <c r="C174" s="342" t="s">
        <v>604</v>
      </c>
    </row>
    <row r="175" spans="2:3" x14ac:dyDescent="0.25">
      <c r="B175">
        <v>1343</v>
      </c>
      <c r="C175" s="342" t="s">
        <v>605</v>
      </c>
    </row>
    <row r="176" spans="2:3" x14ac:dyDescent="0.25">
      <c r="B176">
        <v>1344</v>
      </c>
      <c r="C176" s="342" t="s">
        <v>606</v>
      </c>
    </row>
    <row r="177" spans="2:3" x14ac:dyDescent="0.25">
      <c r="B177">
        <v>1345</v>
      </c>
      <c r="C177" s="342" t="s">
        <v>607</v>
      </c>
    </row>
    <row r="178" spans="2:3" x14ac:dyDescent="0.25">
      <c r="B178">
        <v>1346</v>
      </c>
      <c r="C178" s="342" t="s">
        <v>608</v>
      </c>
    </row>
    <row r="179" spans="2:3" x14ac:dyDescent="0.25">
      <c r="B179">
        <v>1347</v>
      </c>
      <c r="C179" s="342" t="s">
        <v>609</v>
      </c>
    </row>
    <row r="180" spans="2:3" x14ac:dyDescent="0.25">
      <c r="B180">
        <v>1348</v>
      </c>
      <c r="C180" s="342" t="s">
        <v>610</v>
      </c>
    </row>
    <row r="181" spans="2:3" x14ac:dyDescent="0.25">
      <c r="B181">
        <v>1349</v>
      </c>
      <c r="C181" s="342" t="s">
        <v>611</v>
      </c>
    </row>
    <row r="182" spans="2:3" x14ac:dyDescent="0.25">
      <c r="B182">
        <v>1350</v>
      </c>
      <c r="C182" s="342" t="s">
        <v>612</v>
      </c>
    </row>
    <row r="183" spans="2:3" x14ac:dyDescent="0.25">
      <c r="B183">
        <v>1351</v>
      </c>
      <c r="C183" s="342" t="s">
        <v>629</v>
      </c>
    </row>
    <row r="184" spans="2:3" x14ac:dyDescent="0.25">
      <c r="B184">
        <v>1352</v>
      </c>
      <c r="C184" s="342" t="s">
        <v>630</v>
      </c>
    </row>
    <row r="185" spans="2:3" x14ac:dyDescent="0.25">
      <c r="B185">
        <v>1353</v>
      </c>
      <c r="C185" s="342" t="s">
        <v>632</v>
      </c>
    </row>
  </sheetData>
  <dataValidations count="1">
    <dataValidation type="list" allowBlank="1" showInputMessage="1" showErrorMessage="1" sqref="M22 M32:M36 M39:M43 M24:M30">
      <formula1>CODFISCAL</formula1>
    </dataValidation>
  </dataValidation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19</xdr:col>
                    <xdr:colOff>66675</xdr:colOff>
                    <xdr:row>20</xdr:row>
                    <xdr:rowOff>85725</xdr:rowOff>
                  </from>
                  <to>
                    <xdr:col>19</xdr:col>
                    <xdr:colOff>257175</xdr:colOff>
                    <xdr:row>20</xdr:row>
                    <xdr:rowOff>504825</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20</xdr:col>
                    <xdr:colOff>66675</xdr:colOff>
                    <xdr:row>20</xdr:row>
                    <xdr:rowOff>85725</xdr:rowOff>
                  </from>
                  <to>
                    <xdr:col>20</xdr:col>
                    <xdr:colOff>257175</xdr:colOff>
                    <xdr:row>20</xdr:row>
                    <xdr:rowOff>504825</xdr:rowOff>
                  </to>
                </anchor>
              </controlPr>
            </control>
          </mc:Choice>
        </mc:AlternateContent>
        <mc:AlternateContent xmlns:mc="http://schemas.openxmlformats.org/markup-compatibility/2006">
          <mc:Choice Requires="x14">
            <control shapeId="3075" r:id="rId6" name="Spinner 3">
              <controlPr defaultSize="0" autoPict="0">
                <anchor moveWithCells="1" sizeWithCells="1">
                  <from>
                    <xdr:col>21</xdr:col>
                    <xdr:colOff>66675</xdr:colOff>
                    <xdr:row>20</xdr:row>
                    <xdr:rowOff>85725</xdr:rowOff>
                  </from>
                  <to>
                    <xdr:col>21</xdr:col>
                    <xdr:colOff>257175</xdr:colOff>
                    <xdr:row>20</xdr:row>
                    <xdr:rowOff>504825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AM72"/>
  <sheetViews>
    <sheetView showGridLines="0" topLeftCell="A5" zoomScaleNormal="100" workbookViewId="0">
      <selection activeCell="AF36" sqref="AF36"/>
    </sheetView>
  </sheetViews>
  <sheetFormatPr defaultRowHeight="15" x14ac:dyDescent="0.25"/>
  <cols>
    <col min="3" max="3" width="27.5703125" bestFit="1" customWidth="1"/>
    <col min="11" max="26" width="0" hidden="1" customWidth="1"/>
  </cols>
  <sheetData>
    <row r="1" spans="1:39" ht="21" x14ac:dyDescent="0.35">
      <c r="A1" s="6" t="s">
        <v>25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row>
    <row r="3" spans="1:39" x14ac:dyDescent="0.25">
      <c r="D3" s="7" t="s">
        <v>20</v>
      </c>
      <c r="E3" s="7" t="s">
        <v>26</v>
      </c>
      <c r="F3" s="7" t="s">
        <v>27</v>
      </c>
      <c r="G3" s="7" t="s">
        <v>28</v>
      </c>
    </row>
    <row r="4" spans="1:39" x14ac:dyDescent="0.25">
      <c r="D4" s="8" t="s">
        <v>29</v>
      </c>
      <c r="E4" s="8" t="s">
        <v>29</v>
      </c>
      <c r="F4" s="8" t="str">
        <f>D4&amp;"."&amp;E4</f>
        <v>Sim.Sim</v>
      </c>
      <c r="G4" s="8">
        <v>3</v>
      </c>
      <c r="I4" s="9" t="s">
        <v>30</v>
      </c>
      <c r="J4" s="10" t="s">
        <v>410</v>
      </c>
    </row>
    <row r="5" spans="1:39" x14ac:dyDescent="0.25">
      <c r="D5" s="8" t="s">
        <v>29</v>
      </c>
      <c r="E5" s="8" t="s">
        <v>31</v>
      </c>
      <c r="F5" s="8" t="str">
        <f>D5&amp;"."&amp;E5</f>
        <v>Sim.Não</v>
      </c>
      <c r="G5" s="8" t="s">
        <v>32</v>
      </c>
    </row>
    <row r="6" spans="1:39" x14ac:dyDescent="0.25">
      <c r="D6" s="8" t="s">
        <v>31</v>
      </c>
      <c r="E6" s="8" t="s">
        <v>29</v>
      </c>
      <c r="F6" s="8" t="str">
        <f>D6&amp;"."&amp;E6</f>
        <v>Não.Sim</v>
      </c>
      <c r="G6" s="8">
        <v>4</v>
      </c>
    </row>
    <row r="7" spans="1:39" x14ac:dyDescent="0.25">
      <c r="D7" s="8" t="s">
        <v>31</v>
      </c>
      <c r="E7" s="8" t="s">
        <v>31</v>
      </c>
      <c r="F7" s="8" t="str">
        <f>D7&amp;"."&amp;E7</f>
        <v>Não.Não</v>
      </c>
      <c r="G7" s="8">
        <v>6</v>
      </c>
    </row>
    <row r="8" spans="1:39" ht="15.75" thickBot="1" x14ac:dyDescent="0.3"/>
    <row r="9" spans="1:39" ht="15.75" thickBot="1" x14ac:dyDescent="0.3">
      <c r="A9" s="387" t="s">
        <v>33</v>
      </c>
      <c r="B9" s="389" t="s">
        <v>34</v>
      </c>
      <c r="C9" s="391" t="s">
        <v>35</v>
      </c>
      <c r="D9" s="393" t="s">
        <v>36</v>
      </c>
      <c r="E9" s="394"/>
      <c r="F9" s="394"/>
      <c r="G9" s="394"/>
      <c r="H9" s="394"/>
      <c r="I9" s="394"/>
      <c r="J9" s="394"/>
      <c r="K9" s="394"/>
      <c r="L9" s="394"/>
      <c r="M9" s="394"/>
      <c r="N9" s="394"/>
      <c r="O9" s="394"/>
      <c r="P9" s="394"/>
      <c r="Q9" s="394"/>
      <c r="R9" s="394"/>
      <c r="S9" s="394"/>
      <c r="T9" s="394"/>
      <c r="U9" s="394"/>
      <c r="V9" s="394"/>
      <c r="W9" s="394"/>
      <c r="X9" s="394"/>
      <c r="Y9" s="394"/>
      <c r="Z9" s="394"/>
      <c r="AA9" s="394"/>
      <c r="AB9" s="394"/>
      <c r="AC9" s="394"/>
      <c r="AD9" s="395"/>
      <c r="AE9" s="396" t="s">
        <v>37</v>
      </c>
      <c r="AF9" s="385" t="s">
        <v>38</v>
      </c>
    </row>
    <row r="10" spans="1:39" ht="18" thickBot="1" x14ac:dyDescent="0.3">
      <c r="A10" s="388"/>
      <c r="B10" s="390"/>
      <c r="C10" s="392"/>
      <c r="D10" s="11" t="s">
        <v>39</v>
      </c>
      <c r="E10" s="11" t="s">
        <v>40</v>
      </c>
      <c r="F10" s="11" t="s">
        <v>41</v>
      </c>
      <c r="G10" s="11" t="s">
        <v>42</v>
      </c>
      <c r="H10" s="11" t="s">
        <v>43</v>
      </c>
      <c r="I10" s="11" t="s">
        <v>44</v>
      </c>
      <c r="J10" s="11" t="s">
        <v>45</v>
      </c>
      <c r="K10" s="11" t="s">
        <v>46</v>
      </c>
      <c r="L10" s="11" t="s">
        <v>47</v>
      </c>
      <c r="M10" s="11" t="s">
        <v>48</v>
      </c>
      <c r="N10" s="11" t="s">
        <v>49</v>
      </c>
      <c r="O10" s="11" t="s">
        <v>50</v>
      </c>
      <c r="P10" s="11" t="s">
        <v>51</v>
      </c>
      <c r="Q10" s="11" t="s">
        <v>52</v>
      </c>
      <c r="R10" s="11" t="s">
        <v>53</v>
      </c>
      <c r="S10" s="11" t="s">
        <v>54</v>
      </c>
      <c r="T10" s="11" t="s">
        <v>55</v>
      </c>
      <c r="U10" s="11" t="s">
        <v>56</v>
      </c>
      <c r="V10" s="11" t="s">
        <v>57</v>
      </c>
      <c r="W10" s="11" t="s">
        <v>58</v>
      </c>
      <c r="X10" s="12" t="s">
        <v>59</v>
      </c>
      <c r="Y10" s="11" t="s">
        <v>60</v>
      </c>
      <c r="Z10" s="11" t="s">
        <v>61</v>
      </c>
      <c r="AA10" s="12" t="s">
        <v>62</v>
      </c>
      <c r="AB10" s="11" t="s">
        <v>63</v>
      </c>
      <c r="AC10" s="11" t="s">
        <v>64</v>
      </c>
      <c r="AD10" s="11" t="s">
        <v>65</v>
      </c>
      <c r="AE10" s="397"/>
      <c r="AF10" s="386"/>
    </row>
    <row r="11" spans="1:39" ht="15.75" thickBot="1" x14ac:dyDescent="0.3">
      <c r="A11" s="13" t="s">
        <v>66</v>
      </c>
      <c r="B11" s="14" t="s">
        <v>67</v>
      </c>
      <c r="C11" s="15" t="s">
        <v>68</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t="s">
        <v>109</v>
      </c>
      <c r="AF11" s="17">
        <v>0.1</v>
      </c>
    </row>
    <row r="12" spans="1:39" ht="15.75" thickBot="1" x14ac:dyDescent="0.3">
      <c r="A12" s="18"/>
      <c r="B12" s="19" t="s">
        <v>70</v>
      </c>
      <c r="C12" s="20" t="s">
        <v>71</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16" t="s">
        <v>109</v>
      </c>
      <c r="AF12" s="22"/>
      <c r="AL12" s="23"/>
    </row>
    <row r="13" spans="1:39" ht="15.75" thickBot="1" x14ac:dyDescent="0.3">
      <c r="A13" s="18"/>
      <c r="B13" s="19" t="s">
        <v>70</v>
      </c>
      <c r="C13" s="20" t="s">
        <v>72</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16" t="s">
        <v>109</v>
      </c>
      <c r="AF13" s="22"/>
      <c r="AL13" s="23"/>
    </row>
    <row r="14" spans="1:39" ht="15.75" thickBot="1" x14ac:dyDescent="0.3">
      <c r="A14" s="18"/>
      <c r="B14" s="19" t="s">
        <v>73</v>
      </c>
      <c r="C14" s="20" t="s">
        <v>74</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16" t="s">
        <v>109</v>
      </c>
      <c r="AF14" s="22"/>
      <c r="AL14" s="23"/>
      <c r="AM14" s="24"/>
    </row>
    <row r="15" spans="1:39" ht="15.75" thickBot="1" x14ac:dyDescent="0.3">
      <c r="A15" s="18"/>
      <c r="B15" s="19" t="s">
        <v>73</v>
      </c>
      <c r="C15" s="20" t="s">
        <v>75</v>
      </c>
      <c r="D15" s="21"/>
      <c r="E15" s="21"/>
      <c r="F15" s="21"/>
      <c r="G15" s="21"/>
      <c r="H15" s="21"/>
      <c r="I15" s="21"/>
      <c r="J15" s="21"/>
      <c r="K15" s="21"/>
      <c r="L15" s="21"/>
      <c r="M15" s="21"/>
      <c r="N15" s="21"/>
      <c r="O15" s="21"/>
      <c r="P15" s="21"/>
      <c r="Q15" s="21"/>
      <c r="R15" s="21"/>
      <c r="S15" s="21"/>
      <c r="T15" s="25"/>
      <c r="U15" s="21"/>
      <c r="V15" s="21"/>
      <c r="W15" s="21"/>
      <c r="X15" s="21"/>
      <c r="Y15" s="21"/>
      <c r="Z15" s="21"/>
      <c r="AA15" s="21"/>
      <c r="AB15" s="21"/>
      <c r="AC15" s="21"/>
      <c r="AD15" s="21"/>
      <c r="AE15" s="16" t="s">
        <v>109</v>
      </c>
      <c r="AF15" s="22"/>
      <c r="AL15" s="23"/>
    </row>
    <row r="16" spans="1:39" ht="15.75" thickBot="1" x14ac:dyDescent="0.3">
      <c r="A16" s="18" t="s">
        <v>76</v>
      </c>
      <c r="B16" s="26" t="s">
        <v>77</v>
      </c>
      <c r="C16" s="20" t="s">
        <v>78</v>
      </c>
      <c r="D16" s="21"/>
      <c r="E16" s="21"/>
      <c r="F16" s="21"/>
      <c r="G16" s="21"/>
      <c r="H16" s="21"/>
      <c r="I16" s="21"/>
      <c r="J16" s="21"/>
      <c r="K16" s="21"/>
      <c r="L16" s="21"/>
      <c r="M16" s="21"/>
      <c r="N16" s="21"/>
      <c r="O16" s="21"/>
      <c r="P16" s="21"/>
      <c r="Q16" s="21"/>
      <c r="R16" s="21"/>
      <c r="S16" s="21"/>
      <c r="T16" s="25"/>
      <c r="U16" s="21"/>
      <c r="V16" s="21"/>
      <c r="W16" s="21"/>
      <c r="X16" s="21"/>
      <c r="Y16" s="21"/>
      <c r="Z16" s="21"/>
      <c r="AA16" s="21"/>
      <c r="AB16" s="21"/>
      <c r="AC16" s="21"/>
      <c r="AD16" s="21"/>
      <c r="AE16" s="16" t="s">
        <v>109</v>
      </c>
      <c r="AF16" s="22">
        <v>0.05</v>
      </c>
      <c r="AL16" s="23"/>
      <c r="AM16" s="24"/>
    </row>
    <row r="17" spans="1:39" ht="15.75" thickBot="1" x14ac:dyDescent="0.3">
      <c r="A17" s="18" t="s">
        <v>79</v>
      </c>
      <c r="B17" s="26" t="s">
        <v>77</v>
      </c>
      <c r="C17" s="20" t="s">
        <v>80</v>
      </c>
      <c r="D17" s="21"/>
      <c r="E17" s="21"/>
      <c r="F17" s="21"/>
      <c r="G17" s="21"/>
      <c r="H17" s="21"/>
      <c r="I17" s="21"/>
      <c r="J17" s="21"/>
      <c r="K17" s="21"/>
      <c r="L17" s="21"/>
      <c r="M17" s="21"/>
      <c r="N17" s="21"/>
      <c r="O17" s="21"/>
      <c r="P17" s="21"/>
      <c r="Q17" s="21"/>
      <c r="R17" s="21"/>
      <c r="S17" s="21"/>
      <c r="T17" s="25"/>
      <c r="U17" s="21"/>
      <c r="V17" s="21"/>
      <c r="W17" s="21"/>
      <c r="X17" s="21"/>
      <c r="Y17" s="21"/>
      <c r="Z17" s="21"/>
      <c r="AA17" s="21"/>
      <c r="AB17" s="21"/>
      <c r="AC17" s="21"/>
      <c r="AD17" s="21"/>
      <c r="AE17" s="16" t="s">
        <v>109</v>
      </c>
      <c r="AF17" s="22">
        <v>0.05</v>
      </c>
      <c r="AL17" s="23"/>
      <c r="AM17" s="24"/>
    </row>
    <row r="18" spans="1:39" ht="15.75" thickBot="1" x14ac:dyDescent="0.3">
      <c r="A18" s="18" t="s">
        <v>81</v>
      </c>
      <c r="B18" s="26" t="s">
        <v>77</v>
      </c>
      <c r="C18" s="20" t="s">
        <v>82</v>
      </c>
      <c r="D18" s="21"/>
      <c r="E18" s="21"/>
      <c r="F18" s="21"/>
      <c r="G18" s="21"/>
      <c r="H18" s="21"/>
      <c r="I18" s="21"/>
      <c r="J18" s="21"/>
      <c r="K18" s="21"/>
      <c r="L18" s="21"/>
      <c r="M18" s="21"/>
      <c r="N18" s="21"/>
      <c r="O18" s="21"/>
      <c r="P18" s="21"/>
      <c r="Q18" s="21"/>
      <c r="R18" s="21"/>
      <c r="S18" s="21"/>
      <c r="T18" s="25"/>
      <c r="U18" s="21"/>
      <c r="V18" s="21"/>
      <c r="W18" s="21"/>
      <c r="X18" s="21"/>
      <c r="Y18" s="21"/>
      <c r="Z18" s="21"/>
      <c r="AA18" s="21"/>
      <c r="AB18" s="21"/>
      <c r="AC18" s="21"/>
      <c r="AD18" s="21"/>
      <c r="AE18" s="16" t="s">
        <v>109</v>
      </c>
      <c r="AF18" s="22">
        <v>0</v>
      </c>
      <c r="AL18" s="23"/>
      <c r="AM18" s="24"/>
    </row>
    <row r="19" spans="1:39" ht="15.75" thickBot="1" x14ac:dyDescent="0.3">
      <c r="A19" s="18" t="s">
        <v>83</v>
      </c>
      <c r="B19" s="26" t="s">
        <v>77</v>
      </c>
      <c r="C19" s="20" t="s">
        <v>84</v>
      </c>
      <c r="D19" s="21"/>
      <c r="E19" s="21"/>
      <c r="F19" s="21"/>
      <c r="G19" s="21"/>
      <c r="H19" s="21"/>
      <c r="I19" s="21"/>
      <c r="J19" s="21"/>
      <c r="K19" s="21"/>
      <c r="L19" s="21"/>
      <c r="M19" s="21"/>
      <c r="N19" s="21"/>
      <c r="O19" s="21"/>
      <c r="P19" s="21"/>
      <c r="Q19" s="21"/>
      <c r="R19" s="21"/>
      <c r="S19" s="21"/>
      <c r="T19" s="25"/>
      <c r="U19" s="21"/>
      <c r="V19" s="21"/>
      <c r="W19" s="21"/>
      <c r="X19" s="21"/>
      <c r="Y19" s="21"/>
      <c r="Z19" s="21"/>
      <c r="AA19" s="21"/>
      <c r="AB19" s="21"/>
      <c r="AC19" s="21"/>
      <c r="AD19" s="21"/>
      <c r="AE19" s="16" t="s">
        <v>109</v>
      </c>
      <c r="AF19" s="22">
        <v>0</v>
      </c>
      <c r="AL19" s="23"/>
      <c r="AM19" s="24"/>
    </row>
    <row r="20" spans="1:39" x14ac:dyDescent="0.25">
      <c r="A20" s="18" t="s">
        <v>85</v>
      </c>
      <c r="B20" s="27" t="s">
        <v>86</v>
      </c>
      <c r="C20" s="20" t="s">
        <v>87</v>
      </c>
      <c r="D20" s="21"/>
      <c r="E20" s="21"/>
      <c r="F20" s="21"/>
      <c r="G20" s="21"/>
      <c r="H20" s="21"/>
      <c r="I20" s="21"/>
      <c r="J20" s="21"/>
      <c r="K20" s="21"/>
      <c r="L20" s="21"/>
      <c r="M20" s="21"/>
      <c r="N20" s="21"/>
      <c r="O20" s="21"/>
      <c r="P20" s="21"/>
      <c r="Q20" s="21"/>
      <c r="R20" s="21"/>
      <c r="S20" s="21"/>
      <c r="T20" s="25"/>
      <c r="U20" s="21"/>
      <c r="V20" s="21"/>
      <c r="W20" s="21"/>
      <c r="X20" s="21"/>
      <c r="Y20" s="21"/>
      <c r="Z20" s="21"/>
      <c r="AA20" s="21"/>
      <c r="AB20" s="21"/>
      <c r="AC20" s="21"/>
      <c r="AD20" s="21"/>
      <c r="AE20" s="16" t="s">
        <v>109</v>
      </c>
      <c r="AF20" s="22">
        <v>0</v>
      </c>
    </row>
    <row r="21" spans="1:39" ht="15.75" thickBot="1" x14ac:dyDescent="0.3">
      <c r="A21" s="18" t="s">
        <v>88</v>
      </c>
      <c r="B21" s="26" t="s">
        <v>89</v>
      </c>
      <c r="C21" s="20" t="s">
        <v>90</v>
      </c>
      <c r="D21" s="21">
        <v>44.88</v>
      </c>
      <c r="E21" s="21">
        <v>44.88</v>
      </c>
      <c r="F21" s="21">
        <v>43.14</v>
      </c>
      <c r="G21" s="21">
        <v>44</v>
      </c>
      <c r="H21" s="21">
        <v>43.13</v>
      </c>
      <c r="I21" s="21">
        <v>43.14</v>
      </c>
      <c r="J21" s="21">
        <v>43.14</v>
      </c>
      <c r="K21" s="21">
        <v>0</v>
      </c>
      <c r="L21" s="21">
        <v>44.88</v>
      </c>
      <c r="M21" s="21">
        <v>43.14</v>
      </c>
      <c r="N21" s="21">
        <v>44.88</v>
      </c>
      <c r="O21" s="21">
        <v>44.88</v>
      </c>
      <c r="P21" s="21">
        <v>44.88</v>
      </c>
      <c r="Q21" s="21">
        <v>44.88</v>
      </c>
      <c r="R21" s="21">
        <v>44.88</v>
      </c>
      <c r="S21" s="21">
        <v>44.88</v>
      </c>
      <c r="T21" s="21">
        <v>44.88</v>
      </c>
      <c r="U21" s="21">
        <v>44.88</v>
      </c>
      <c r="V21" s="21">
        <v>44.88</v>
      </c>
      <c r="W21" s="21">
        <v>35</v>
      </c>
      <c r="X21" s="21">
        <v>76</v>
      </c>
      <c r="Y21" s="21">
        <v>43.14</v>
      </c>
      <c r="Z21" s="21">
        <v>48.5</v>
      </c>
      <c r="AA21" s="21">
        <v>48.1</v>
      </c>
      <c r="AB21" s="21">
        <v>48.1</v>
      </c>
      <c r="AC21" s="21">
        <v>43.13</v>
      </c>
      <c r="AD21" s="21">
        <v>44.88</v>
      </c>
      <c r="AE21" s="21" t="str">
        <f t="shared" ref="AE21" si="0">IF(AD21&gt;0,"N","S")</f>
        <v>N</v>
      </c>
      <c r="AF21" s="22">
        <v>0</v>
      </c>
    </row>
    <row r="22" spans="1:39" x14ac:dyDescent="0.25">
      <c r="A22" s="18" t="s">
        <v>91</v>
      </c>
      <c r="B22" s="28" t="s">
        <v>92</v>
      </c>
      <c r="C22" s="20" t="s">
        <v>93</v>
      </c>
      <c r="D22" s="21"/>
      <c r="E22" s="21"/>
      <c r="F22" s="21"/>
      <c r="G22" s="21"/>
      <c r="H22" s="21"/>
      <c r="I22" s="21"/>
      <c r="J22" s="21"/>
      <c r="K22" s="21"/>
      <c r="L22" s="21"/>
      <c r="M22" s="21"/>
      <c r="N22" s="21"/>
      <c r="O22" s="21"/>
      <c r="P22" s="21"/>
      <c r="Q22" s="21"/>
      <c r="R22" s="21"/>
      <c r="S22" s="21"/>
      <c r="T22" s="25"/>
      <c r="U22" s="21"/>
      <c r="V22" s="21"/>
      <c r="W22" s="21"/>
      <c r="X22" s="21"/>
      <c r="Y22" s="21"/>
      <c r="Z22" s="21"/>
      <c r="AA22" s="21"/>
      <c r="AB22" s="21"/>
      <c r="AC22" s="21"/>
      <c r="AD22" s="21"/>
      <c r="AE22" s="16" t="s">
        <v>109</v>
      </c>
      <c r="AF22" s="22">
        <v>0.1</v>
      </c>
    </row>
    <row r="23" spans="1:39" x14ac:dyDescent="0.25">
      <c r="A23" s="18" t="s">
        <v>94</v>
      </c>
      <c r="B23" s="27" t="s">
        <v>95</v>
      </c>
      <c r="C23" s="20" t="s">
        <v>96</v>
      </c>
      <c r="D23" s="399">
        <v>21</v>
      </c>
      <c r="E23" s="399">
        <v>37.369999999999997</v>
      </c>
      <c r="F23" s="399">
        <v>0</v>
      </c>
      <c r="G23" s="399">
        <v>0</v>
      </c>
      <c r="H23" s="399">
        <v>53.73</v>
      </c>
      <c r="I23" s="399">
        <v>0</v>
      </c>
      <c r="J23" s="399">
        <v>62.7</v>
      </c>
      <c r="K23" s="399">
        <v>0</v>
      </c>
      <c r="L23" s="399">
        <v>0</v>
      </c>
      <c r="M23" s="399">
        <v>0</v>
      </c>
      <c r="N23" s="399">
        <v>0</v>
      </c>
      <c r="O23" s="399">
        <v>0</v>
      </c>
      <c r="P23" s="399">
        <v>0</v>
      </c>
      <c r="Q23" s="399">
        <v>0</v>
      </c>
      <c r="R23" s="399">
        <v>0</v>
      </c>
      <c r="S23" s="399">
        <v>0</v>
      </c>
      <c r="T23" s="400">
        <v>0</v>
      </c>
      <c r="U23" s="399">
        <v>30.04</v>
      </c>
      <c r="V23" s="399">
        <v>0</v>
      </c>
      <c r="W23" s="399">
        <v>0</v>
      </c>
      <c r="X23" s="399">
        <v>51.19</v>
      </c>
      <c r="Y23" s="399">
        <v>49.37</v>
      </c>
      <c r="Z23" s="399">
        <v>0</v>
      </c>
      <c r="AA23" s="399">
        <v>0</v>
      </c>
      <c r="AB23" s="399">
        <v>30.11</v>
      </c>
      <c r="AC23" s="399">
        <v>0</v>
      </c>
      <c r="AD23" s="400">
        <v>51.19</v>
      </c>
      <c r="AE23" s="398" t="s">
        <v>69</v>
      </c>
      <c r="AF23" s="22">
        <v>0.05</v>
      </c>
    </row>
    <row r="24" spans="1:39" ht="15.75" thickBot="1" x14ac:dyDescent="0.3">
      <c r="A24" s="18" t="s">
        <v>97</v>
      </c>
      <c r="B24" s="27" t="s">
        <v>98</v>
      </c>
      <c r="C24" s="20" t="s">
        <v>99</v>
      </c>
      <c r="D24" s="21">
        <v>70</v>
      </c>
      <c r="E24" s="21">
        <v>52.39</v>
      </c>
      <c r="F24" s="21">
        <v>0</v>
      </c>
      <c r="G24" s="21">
        <v>0</v>
      </c>
      <c r="H24" s="21">
        <v>59.04</v>
      </c>
      <c r="I24" s="21">
        <v>20</v>
      </c>
      <c r="J24" s="21">
        <v>51.4</v>
      </c>
      <c r="K24" s="21">
        <v>0</v>
      </c>
      <c r="L24" s="21">
        <v>0</v>
      </c>
      <c r="M24" s="21">
        <v>0</v>
      </c>
      <c r="N24" s="21">
        <v>45.61</v>
      </c>
      <c r="O24" s="21">
        <v>0</v>
      </c>
      <c r="P24" s="21">
        <v>0</v>
      </c>
      <c r="Q24" s="21">
        <v>0</v>
      </c>
      <c r="R24" s="21">
        <v>0</v>
      </c>
      <c r="S24" s="21">
        <v>0</v>
      </c>
      <c r="T24" s="21">
        <v>56.26</v>
      </c>
      <c r="U24" s="21">
        <v>56.26</v>
      </c>
      <c r="V24" s="21">
        <v>0</v>
      </c>
      <c r="W24" s="21">
        <v>0</v>
      </c>
      <c r="X24" s="21">
        <v>56.26</v>
      </c>
      <c r="Y24" s="21">
        <v>0</v>
      </c>
      <c r="Z24" s="21">
        <v>0</v>
      </c>
      <c r="AA24" s="21">
        <v>60.47</v>
      </c>
      <c r="AB24" s="21">
        <v>49.52</v>
      </c>
      <c r="AC24" s="21">
        <v>50.55</v>
      </c>
      <c r="AD24" s="21">
        <v>70.599999999999994</v>
      </c>
      <c r="AE24" s="21" t="s">
        <v>69</v>
      </c>
      <c r="AF24" s="22">
        <v>0.1</v>
      </c>
    </row>
    <row r="25" spans="1:39" x14ac:dyDescent="0.25">
      <c r="A25" s="29" t="s">
        <v>100</v>
      </c>
      <c r="B25" s="28" t="s">
        <v>101</v>
      </c>
      <c r="C25" s="20" t="s">
        <v>102</v>
      </c>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16" t="s">
        <v>109</v>
      </c>
      <c r="AF25" s="22">
        <v>0</v>
      </c>
    </row>
    <row r="26" spans="1:39" ht="15.75" thickBot="1" x14ac:dyDescent="0.3">
      <c r="A26" s="18" t="s">
        <v>103</v>
      </c>
      <c r="B26" s="27" t="s">
        <v>104</v>
      </c>
      <c r="C26" s="20" t="s">
        <v>105</v>
      </c>
      <c r="D26" s="21">
        <v>36</v>
      </c>
      <c r="E26" s="21">
        <v>36.29</v>
      </c>
      <c r="F26" s="21">
        <v>0</v>
      </c>
      <c r="G26" s="21">
        <v>0</v>
      </c>
      <c r="H26" s="21">
        <v>53.73</v>
      </c>
      <c r="I26" s="21">
        <v>20</v>
      </c>
      <c r="J26" s="21">
        <v>62.7</v>
      </c>
      <c r="K26" s="21">
        <v>0</v>
      </c>
      <c r="L26" s="21">
        <v>0</v>
      </c>
      <c r="M26" s="21">
        <v>0</v>
      </c>
      <c r="N26" s="21">
        <v>53.95</v>
      </c>
      <c r="O26" s="21">
        <v>0</v>
      </c>
      <c r="P26" s="21">
        <v>0</v>
      </c>
      <c r="Q26" s="21">
        <v>0</v>
      </c>
      <c r="R26" s="21">
        <v>0</v>
      </c>
      <c r="S26" s="21">
        <v>0</v>
      </c>
      <c r="T26" s="21">
        <v>0</v>
      </c>
      <c r="U26" s="21">
        <v>45.67</v>
      </c>
      <c r="V26" s="21">
        <v>0</v>
      </c>
      <c r="W26" s="21">
        <v>0</v>
      </c>
      <c r="X26" s="21">
        <v>44.88</v>
      </c>
      <c r="Y26" s="21">
        <v>34.65</v>
      </c>
      <c r="Z26" s="21">
        <v>49.08</v>
      </c>
      <c r="AA26" s="30">
        <v>48.01</v>
      </c>
      <c r="AB26" s="30">
        <v>45.1</v>
      </c>
      <c r="AC26" s="30">
        <v>0</v>
      </c>
      <c r="AD26" s="401">
        <v>45.67</v>
      </c>
      <c r="AE26" s="21" t="str">
        <f t="shared" ref="AE26" si="1">IF(AD26&gt;0,"N","S")</f>
        <v>N</v>
      </c>
      <c r="AF26" s="22">
        <v>0</v>
      </c>
    </row>
    <row r="27" spans="1:39" ht="15.75" thickBot="1" x14ac:dyDescent="0.3">
      <c r="A27" s="18" t="s">
        <v>106</v>
      </c>
      <c r="B27" s="27" t="s">
        <v>107</v>
      </c>
      <c r="C27" s="20" t="s">
        <v>108</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16" t="s">
        <v>109</v>
      </c>
      <c r="AF27" s="22">
        <v>0</v>
      </c>
    </row>
    <row r="28" spans="1:39" ht="15.75" thickBot="1" x14ac:dyDescent="0.3">
      <c r="A28" s="18" t="s">
        <v>110</v>
      </c>
      <c r="B28" s="28" t="s">
        <v>111</v>
      </c>
      <c r="C28" s="20" t="s">
        <v>112</v>
      </c>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16" t="s">
        <v>109</v>
      </c>
      <c r="AF28" s="22">
        <v>0</v>
      </c>
    </row>
    <row r="29" spans="1:39" ht="15.75" thickBot="1" x14ac:dyDescent="0.3">
      <c r="A29" s="18" t="s">
        <v>113</v>
      </c>
      <c r="B29" s="26" t="s">
        <v>114</v>
      </c>
      <c r="C29" s="20" t="s">
        <v>115</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16" t="s">
        <v>109</v>
      </c>
      <c r="AF29" s="22">
        <v>0</v>
      </c>
    </row>
    <row r="30" spans="1:39" ht="15.75" thickBot="1" x14ac:dyDescent="0.3">
      <c r="A30" s="18" t="s">
        <v>116</v>
      </c>
      <c r="B30" s="26" t="s">
        <v>117</v>
      </c>
      <c r="C30" s="20" t="s">
        <v>118</v>
      </c>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16" t="s">
        <v>109</v>
      </c>
      <c r="AF30" s="22">
        <v>0</v>
      </c>
    </row>
    <row r="31" spans="1:39" x14ac:dyDescent="0.25">
      <c r="A31" s="18" t="s">
        <v>119</v>
      </c>
      <c r="B31" s="28" t="s">
        <v>120</v>
      </c>
      <c r="C31" s="20" t="s">
        <v>121</v>
      </c>
      <c r="D31" s="21"/>
      <c r="E31" s="21"/>
      <c r="F31" s="21"/>
      <c r="G31" s="21"/>
      <c r="H31" s="21"/>
      <c r="I31" s="21"/>
      <c r="J31" s="21"/>
      <c r="K31" s="21"/>
      <c r="L31" s="21"/>
      <c r="M31" s="21"/>
      <c r="N31" s="21"/>
      <c r="O31" s="21"/>
      <c r="P31" s="21"/>
      <c r="Q31" s="21"/>
      <c r="R31" s="21"/>
      <c r="S31" s="21"/>
      <c r="T31" s="21"/>
      <c r="U31" s="21"/>
      <c r="V31" s="21"/>
      <c r="W31" s="21"/>
      <c r="X31" s="21"/>
      <c r="Y31" s="21"/>
      <c r="Z31" s="21"/>
      <c r="AA31" s="30"/>
      <c r="AB31" s="21"/>
      <c r="AC31" s="21"/>
      <c r="AD31" s="21"/>
      <c r="AE31" s="16" t="s">
        <v>109</v>
      </c>
      <c r="AF31" s="22">
        <v>0.22</v>
      </c>
    </row>
    <row r="32" spans="1:39" x14ac:dyDescent="0.25">
      <c r="A32" s="31" t="s">
        <v>122</v>
      </c>
      <c r="B32" s="32" t="s">
        <v>123</v>
      </c>
      <c r="C32" s="33" t="s">
        <v>124</v>
      </c>
      <c r="D32" s="21">
        <v>0</v>
      </c>
      <c r="E32" s="21">
        <v>33.07</v>
      </c>
      <c r="F32" s="21">
        <v>0</v>
      </c>
      <c r="G32" s="21">
        <v>0</v>
      </c>
      <c r="H32" s="21">
        <v>53.73</v>
      </c>
      <c r="I32" s="21">
        <v>20</v>
      </c>
      <c r="J32" s="21">
        <v>62.7</v>
      </c>
      <c r="K32" s="21">
        <v>0</v>
      </c>
      <c r="L32" s="21">
        <v>0</v>
      </c>
      <c r="M32" s="21">
        <v>0</v>
      </c>
      <c r="N32" s="21">
        <v>82.8</v>
      </c>
      <c r="O32" s="21">
        <v>0</v>
      </c>
      <c r="P32" s="21">
        <v>0</v>
      </c>
      <c r="Q32" s="21">
        <v>0</v>
      </c>
      <c r="R32" s="21">
        <v>0</v>
      </c>
      <c r="S32" s="21">
        <v>0</v>
      </c>
      <c r="T32" s="21">
        <v>0</v>
      </c>
      <c r="U32" s="21">
        <v>30</v>
      </c>
      <c r="V32" s="21">
        <v>0</v>
      </c>
      <c r="W32" s="21">
        <v>0</v>
      </c>
      <c r="X32" s="21">
        <v>51.19</v>
      </c>
      <c r="Y32" s="21">
        <v>49.37</v>
      </c>
      <c r="Z32" s="21">
        <v>42.86</v>
      </c>
      <c r="AA32" s="30">
        <v>38.18</v>
      </c>
      <c r="AB32" s="30">
        <v>38.28</v>
      </c>
      <c r="AC32" s="30">
        <v>0</v>
      </c>
      <c r="AD32" s="30">
        <v>51.19</v>
      </c>
      <c r="AE32" s="21" t="str">
        <f t="shared" ref="AE32:AE33" si="2">IF(AD32&gt;0,"N","S")</f>
        <v>N</v>
      </c>
      <c r="AF32" s="34">
        <v>0.05</v>
      </c>
    </row>
    <row r="33" spans="1:32" ht="15.75" thickBot="1" x14ac:dyDescent="0.3">
      <c r="A33" s="31" t="s">
        <v>125</v>
      </c>
      <c r="B33" s="32" t="s">
        <v>126</v>
      </c>
      <c r="C33" s="33" t="s">
        <v>127</v>
      </c>
      <c r="D33" s="21">
        <v>0</v>
      </c>
      <c r="E33" s="21">
        <v>33.07</v>
      </c>
      <c r="F33" s="21">
        <v>0</v>
      </c>
      <c r="G33" s="21">
        <v>0</v>
      </c>
      <c r="H33" s="21">
        <v>53.73</v>
      </c>
      <c r="I33" s="21">
        <v>20</v>
      </c>
      <c r="J33" s="21">
        <v>62.7</v>
      </c>
      <c r="K33" s="21">
        <v>0</v>
      </c>
      <c r="L33" s="21">
        <v>0</v>
      </c>
      <c r="M33" s="21">
        <v>0</v>
      </c>
      <c r="N33" s="21">
        <v>82.8</v>
      </c>
      <c r="O33" s="21">
        <v>0</v>
      </c>
      <c r="P33" s="21">
        <v>0</v>
      </c>
      <c r="Q33" s="21">
        <v>0</v>
      </c>
      <c r="R33" s="21">
        <v>0</v>
      </c>
      <c r="S33" s="21">
        <v>0</v>
      </c>
      <c r="T33" s="21">
        <v>0</v>
      </c>
      <c r="U33" s="21">
        <v>30</v>
      </c>
      <c r="V33" s="21">
        <v>0</v>
      </c>
      <c r="W33" s="21">
        <v>0</v>
      </c>
      <c r="X33" s="21">
        <v>51.19</v>
      </c>
      <c r="Y33" s="21">
        <v>49.37</v>
      </c>
      <c r="Z33" s="21">
        <v>42.86</v>
      </c>
      <c r="AA33" s="30">
        <v>38.18</v>
      </c>
      <c r="AB33" s="30">
        <v>38.28</v>
      </c>
      <c r="AC33" s="30">
        <v>0</v>
      </c>
      <c r="AD33" s="30">
        <v>51.19</v>
      </c>
      <c r="AE33" s="21" t="str">
        <f t="shared" si="2"/>
        <v>N</v>
      </c>
      <c r="AF33" s="34">
        <v>0.05</v>
      </c>
    </row>
    <row r="34" spans="1:32" x14ac:dyDescent="0.25">
      <c r="A34" s="18" t="s">
        <v>128</v>
      </c>
      <c r="B34" s="19" t="s">
        <v>129</v>
      </c>
      <c r="C34" s="20" t="s">
        <v>130</v>
      </c>
      <c r="D34" s="21"/>
      <c r="E34" s="21"/>
      <c r="F34" s="21"/>
      <c r="G34" s="21"/>
      <c r="H34" s="21"/>
      <c r="I34" s="21"/>
      <c r="J34" s="21"/>
      <c r="K34" s="21"/>
      <c r="L34" s="21"/>
      <c r="M34" s="21"/>
      <c r="N34" s="21"/>
      <c r="O34" s="21"/>
      <c r="P34" s="21"/>
      <c r="Q34" s="21"/>
      <c r="R34" s="21"/>
      <c r="S34" s="21"/>
      <c r="T34" s="21"/>
      <c r="U34" s="21"/>
      <c r="V34" s="21"/>
      <c r="W34" s="21"/>
      <c r="X34" s="21"/>
      <c r="Y34" s="21"/>
      <c r="Z34" s="21"/>
      <c r="AA34" s="30"/>
      <c r="AB34" s="21"/>
      <c r="AC34" s="21"/>
      <c r="AD34" s="21"/>
      <c r="AE34" s="16" t="s">
        <v>109</v>
      </c>
      <c r="AF34" s="22">
        <v>0</v>
      </c>
    </row>
    <row r="35" spans="1:32" ht="15.75" thickBot="1" x14ac:dyDescent="0.3">
      <c r="A35" s="31" t="s">
        <v>131</v>
      </c>
      <c r="B35" s="32" t="s">
        <v>132</v>
      </c>
      <c r="C35" s="33" t="s">
        <v>133</v>
      </c>
      <c r="D35" s="21">
        <v>0</v>
      </c>
      <c r="E35" s="21">
        <v>33.07</v>
      </c>
      <c r="F35" s="21">
        <v>0</v>
      </c>
      <c r="G35" s="21">
        <v>0</v>
      </c>
      <c r="H35" s="21">
        <v>53.73</v>
      </c>
      <c r="I35" s="21">
        <v>20</v>
      </c>
      <c r="J35" s="21">
        <v>62.7</v>
      </c>
      <c r="K35" s="21">
        <v>0</v>
      </c>
      <c r="L35" s="21">
        <v>0</v>
      </c>
      <c r="M35" s="21">
        <v>0</v>
      </c>
      <c r="N35" s="21">
        <v>82.8</v>
      </c>
      <c r="O35" s="21">
        <v>0</v>
      </c>
      <c r="P35" s="21">
        <v>0</v>
      </c>
      <c r="Q35" s="21">
        <v>0</v>
      </c>
      <c r="R35" s="21">
        <v>0</v>
      </c>
      <c r="S35" s="21">
        <v>0</v>
      </c>
      <c r="T35" s="21">
        <v>0</v>
      </c>
      <c r="U35" s="21">
        <v>30</v>
      </c>
      <c r="V35" s="21">
        <v>0</v>
      </c>
      <c r="W35" s="21">
        <v>0</v>
      </c>
      <c r="X35" s="21">
        <v>51.19</v>
      </c>
      <c r="Y35" s="21">
        <v>49.37</v>
      </c>
      <c r="Z35" s="21">
        <v>42.86</v>
      </c>
      <c r="AA35" s="30">
        <v>38.18</v>
      </c>
      <c r="AB35" s="30">
        <v>38.28</v>
      </c>
      <c r="AC35" s="30">
        <v>0</v>
      </c>
      <c r="AD35" s="30">
        <v>51.19</v>
      </c>
      <c r="AE35" s="21" t="str">
        <f t="shared" ref="AE35" si="3">IF(AD35&gt;0,"N","S")</f>
        <v>N</v>
      </c>
      <c r="AF35" s="34">
        <v>0.05</v>
      </c>
    </row>
    <row r="36" spans="1:32" ht="15.75" thickBot="1" x14ac:dyDescent="0.3">
      <c r="A36" s="18" t="s">
        <v>134</v>
      </c>
      <c r="B36" s="27"/>
      <c r="C36" s="20" t="s">
        <v>135</v>
      </c>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16" t="s">
        <v>109</v>
      </c>
      <c r="AF36" s="22"/>
    </row>
    <row r="37" spans="1:32" ht="15.75" thickBot="1" x14ac:dyDescent="0.3">
      <c r="A37" s="18" t="s">
        <v>136</v>
      </c>
      <c r="B37" s="28"/>
      <c r="C37" s="20" t="s">
        <v>137</v>
      </c>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16" t="s">
        <v>109</v>
      </c>
      <c r="AF37" s="22"/>
    </row>
    <row r="38" spans="1:32" ht="15.75" thickBot="1" x14ac:dyDescent="0.3">
      <c r="A38" s="18" t="s">
        <v>138</v>
      </c>
      <c r="B38" s="27"/>
      <c r="C38" s="25" t="s">
        <v>139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16" t="s">
        <v>109</v>
      </c>
      <c r="AF38" s="22"/>
    </row>
    <row r="39" spans="1:32" ht="15.75" thickBot="1" x14ac:dyDescent="0.3">
      <c r="A39" s="35"/>
      <c r="B39" s="36"/>
      <c r="C39" s="37"/>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16" t="s">
        <v>109</v>
      </c>
      <c r="AF39" s="39"/>
    </row>
    <row r="42" spans="1:32" ht="21" x14ac:dyDescent="0.35">
      <c r="A42" s="6" t="s">
        <v>140</v>
      </c>
      <c r="B42" s="6"/>
      <c r="C42" s="6"/>
      <c r="D42" s="6"/>
      <c r="E42" s="6"/>
      <c r="F42" s="6"/>
      <c r="G42" s="6"/>
      <c r="H42" s="6"/>
      <c r="I42" s="6"/>
      <c r="J42" s="6"/>
      <c r="K42" s="6"/>
      <c r="L42" s="6"/>
      <c r="M42" s="6"/>
      <c r="N42" s="6"/>
      <c r="O42" s="6"/>
      <c r="P42" s="6"/>
      <c r="Q42" s="6"/>
      <c r="R42" s="6"/>
      <c r="S42" s="6"/>
      <c r="T42" s="6"/>
      <c r="U42" s="6"/>
      <c r="V42" s="6"/>
      <c r="W42" s="6"/>
      <c r="Y42" s="6" t="s">
        <v>141</v>
      </c>
      <c r="Z42" s="6"/>
      <c r="AA42" s="6"/>
      <c r="AB42" s="6"/>
      <c r="AC42" s="6"/>
      <c r="AD42" s="6"/>
      <c r="AE42" s="6"/>
      <c r="AF42" s="6"/>
    </row>
    <row r="43" spans="1:32" x14ac:dyDescent="0.25">
      <c r="A43" s="40" t="s">
        <v>56</v>
      </c>
      <c r="B43" s="40" t="s">
        <v>39</v>
      </c>
      <c r="C43" s="40" t="s">
        <v>58</v>
      </c>
      <c r="D43" s="40" t="s">
        <v>52</v>
      </c>
      <c r="E43" s="40" t="s">
        <v>49</v>
      </c>
      <c r="F43" s="40" t="s">
        <v>60</v>
      </c>
      <c r="G43" s="40" t="s">
        <v>48</v>
      </c>
      <c r="H43" s="40" t="s">
        <v>50</v>
      </c>
      <c r="I43" s="40" t="s">
        <v>46</v>
      </c>
      <c r="J43" s="40" t="s">
        <v>45</v>
      </c>
      <c r="K43" s="40" t="s">
        <v>59</v>
      </c>
      <c r="L43" s="40" t="s">
        <v>44</v>
      </c>
      <c r="M43" s="40" t="s">
        <v>54</v>
      </c>
      <c r="N43" s="40" t="s">
        <v>63</v>
      </c>
      <c r="O43" s="40" t="s">
        <v>55</v>
      </c>
      <c r="P43" s="40" t="s">
        <v>51</v>
      </c>
      <c r="Q43" s="40" t="s">
        <v>61</v>
      </c>
      <c r="R43" s="40" t="s">
        <v>53</v>
      </c>
      <c r="S43" s="40" t="s">
        <v>65</v>
      </c>
      <c r="T43" s="40" t="s">
        <v>64</v>
      </c>
      <c r="U43" s="40" t="s">
        <v>62</v>
      </c>
      <c r="V43" s="40" t="s">
        <v>57</v>
      </c>
      <c r="W43" s="40" t="s">
        <v>47</v>
      </c>
    </row>
    <row r="44" spans="1:32" x14ac:dyDescent="0.25">
      <c r="A44" s="41" t="s">
        <v>142</v>
      </c>
      <c r="B44" s="41" t="s">
        <v>143</v>
      </c>
      <c r="C44" s="41" t="s">
        <v>144</v>
      </c>
      <c r="D44" s="41" t="s">
        <v>145</v>
      </c>
      <c r="E44" s="41" t="s">
        <v>146</v>
      </c>
      <c r="F44" s="41" t="s">
        <v>147</v>
      </c>
      <c r="G44" s="41" t="s">
        <v>148</v>
      </c>
      <c r="H44" s="41" t="s">
        <v>149</v>
      </c>
      <c r="I44" s="41" t="s">
        <v>150</v>
      </c>
      <c r="J44" s="41" t="s">
        <v>151</v>
      </c>
      <c r="K44" s="41" t="s">
        <v>152</v>
      </c>
      <c r="L44" s="41" t="s">
        <v>153</v>
      </c>
      <c r="M44" s="41" t="s">
        <v>154</v>
      </c>
      <c r="N44" s="41" t="s">
        <v>155</v>
      </c>
      <c r="O44" s="41" t="s">
        <v>156</v>
      </c>
      <c r="P44" s="41" t="s">
        <v>157</v>
      </c>
      <c r="Q44" s="41" t="s">
        <v>158</v>
      </c>
      <c r="R44" s="41" t="s">
        <v>159</v>
      </c>
      <c r="S44" s="41" t="s">
        <v>160</v>
      </c>
      <c r="T44" s="41" t="s">
        <v>161</v>
      </c>
      <c r="U44" s="41" t="s">
        <v>162</v>
      </c>
      <c r="V44" s="41" t="s">
        <v>163</v>
      </c>
      <c r="W44" s="41" t="s">
        <v>164</v>
      </c>
    </row>
    <row r="45" spans="1:32" ht="45" x14ac:dyDescent="0.25">
      <c r="A45" s="41" t="s">
        <v>165</v>
      </c>
      <c r="B45" s="41"/>
      <c r="C45" s="41" t="s">
        <v>166</v>
      </c>
      <c r="D45" s="41" t="s">
        <v>167</v>
      </c>
      <c r="E45" s="41"/>
      <c r="F45" s="41" t="s">
        <v>168</v>
      </c>
      <c r="G45" s="41" t="s">
        <v>169</v>
      </c>
      <c r="H45" s="41" t="s">
        <v>170</v>
      </c>
      <c r="I45" s="41" t="s">
        <v>171</v>
      </c>
      <c r="J45" s="41" t="s">
        <v>172</v>
      </c>
      <c r="K45" s="41" t="s">
        <v>173</v>
      </c>
      <c r="L45" s="41" t="s">
        <v>174</v>
      </c>
      <c r="M45" s="41" t="s">
        <v>175</v>
      </c>
      <c r="N45" s="41" t="s">
        <v>176</v>
      </c>
      <c r="O45" s="41" t="s">
        <v>177</v>
      </c>
      <c r="P45" s="41"/>
      <c r="Q45" s="41" t="s">
        <v>178</v>
      </c>
      <c r="R45" s="41" t="s">
        <v>179</v>
      </c>
      <c r="S45" s="41" t="s">
        <v>180</v>
      </c>
      <c r="T45" s="41" t="s">
        <v>181</v>
      </c>
      <c r="U45" s="41" t="s">
        <v>182</v>
      </c>
      <c r="V45" s="41"/>
      <c r="W45" s="41" t="s">
        <v>183</v>
      </c>
      <c r="Z45" s="42" t="s">
        <v>184</v>
      </c>
      <c r="AA45" s="42" t="s">
        <v>185</v>
      </c>
      <c r="AB45" s="42" t="s">
        <v>186</v>
      </c>
      <c r="AC45" s="42" t="s">
        <v>187</v>
      </c>
      <c r="AD45" s="42" t="s">
        <v>188</v>
      </c>
      <c r="AE45" s="42" t="s">
        <v>189</v>
      </c>
    </row>
    <row r="46" spans="1:32" x14ac:dyDescent="0.25">
      <c r="A46" s="41"/>
      <c r="B46" s="41"/>
      <c r="C46" s="41" t="s">
        <v>190</v>
      </c>
      <c r="D46" s="41" t="s">
        <v>191</v>
      </c>
      <c r="E46" s="41"/>
      <c r="F46" s="41" t="s">
        <v>192</v>
      </c>
      <c r="G46" s="41" t="s">
        <v>193</v>
      </c>
      <c r="H46" s="41" t="s">
        <v>194</v>
      </c>
      <c r="I46" s="41" t="s">
        <v>195</v>
      </c>
      <c r="J46" s="41" t="s">
        <v>196</v>
      </c>
      <c r="K46" s="41" t="s">
        <v>197</v>
      </c>
      <c r="L46" s="41" t="s">
        <v>198</v>
      </c>
      <c r="M46" s="41" t="s">
        <v>199</v>
      </c>
      <c r="N46" s="41" t="s">
        <v>200</v>
      </c>
      <c r="O46" s="41" t="s">
        <v>201</v>
      </c>
      <c r="P46" s="41"/>
      <c r="Q46" s="41" t="s">
        <v>202</v>
      </c>
      <c r="R46" s="41" t="s">
        <v>203</v>
      </c>
      <c r="S46" s="41" t="s">
        <v>204</v>
      </c>
      <c r="T46" s="41" t="s">
        <v>205</v>
      </c>
      <c r="U46" s="41" t="s">
        <v>206</v>
      </c>
      <c r="V46" s="41"/>
      <c r="W46" s="41" t="s">
        <v>207</v>
      </c>
      <c r="Z46" s="43" t="s">
        <v>43</v>
      </c>
      <c r="AA46" s="43">
        <v>8</v>
      </c>
      <c r="AB46" s="44">
        <v>0.12</v>
      </c>
      <c r="AC46" s="44">
        <v>0.12</v>
      </c>
      <c r="AD46" s="44">
        <v>0.17</v>
      </c>
      <c r="AE46" s="44">
        <v>0.12</v>
      </c>
    </row>
    <row r="47" spans="1:32" x14ac:dyDescent="0.25">
      <c r="A47" s="41"/>
      <c r="B47" s="41"/>
      <c r="C47" s="41" t="s">
        <v>208</v>
      </c>
      <c r="D47" s="41" t="s">
        <v>209</v>
      </c>
      <c r="E47" s="41"/>
      <c r="F47" s="41" t="s">
        <v>210</v>
      </c>
      <c r="G47" s="41" t="s">
        <v>211</v>
      </c>
      <c r="H47" s="41" t="s">
        <v>212</v>
      </c>
      <c r="I47" s="41"/>
      <c r="J47" s="41" t="s">
        <v>213</v>
      </c>
      <c r="K47" s="41" t="s">
        <v>214</v>
      </c>
      <c r="L47" s="41"/>
      <c r="M47" s="41" t="s">
        <v>215</v>
      </c>
      <c r="N47" s="41" t="s">
        <v>216</v>
      </c>
      <c r="O47" s="41" t="s">
        <v>217</v>
      </c>
      <c r="P47" s="41"/>
      <c r="Q47" s="41" t="s">
        <v>218</v>
      </c>
      <c r="R47" s="41" t="s">
        <v>219</v>
      </c>
      <c r="S47" s="41" t="s">
        <v>220</v>
      </c>
      <c r="T47" s="41" t="s">
        <v>221</v>
      </c>
      <c r="U47" s="41" t="s">
        <v>222</v>
      </c>
      <c r="V47" s="41"/>
      <c r="W47" s="41"/>
      <c r="Z47" s="43" t="s">
        <v>56</v>
      </c>
      <c r="AA47" s="43">
        <v>21</v>
      </c>
      <c r="AB47" s="44">
        <v>0.12</v>
      </c>
      <c r="AC47" s="44">
        <v>0.12</v>
      </c>
      <c r="AD47" s="44">
        <v>0.17</v>
      </c>
      <c r="AE47" s="44">
        <v>0.12</v>
      </c>
    </row>
    <row r="48" spans="1:32" x14ac:dyDescent="0.25">
      <c r="A48" s="41"/>
      <c r="B48" s="41"/>
      <c r="C48" s="41" t="s">
        <v>223</v>
      </c>
      <c r="D48" s="41"/>
      <c r="E48" s="41"/>
      <c r="F48" s="41" t="s">
        <v>224</v>
      </c>
      <c r="G48" s="41" t="s">
        <v>225</v>
      </c>
      <c r="H48" s="41"/>
      <c r="I48" s="41"/>
      <c r="J48" s="41"/>
      <c r="K48" s="41" t="s">
        <v>226</v>
      </c>
      <c r="L48" s="41"/>
      <c r="M48" s="41"/>
      <c r="N48" s="41" t="s">
        <v>227</v>
      </c>
      <c r="O48" s="41" t="s">
        <v>217</v>
      </c>
      <c r="P48" s="41"/>
      <c r="Q48" s="41" t="s">
        <v>228</v>
      </c>
      <c r="R48" s="41"/>
      <c r="S48" s="41" t="s">
        <v>229</v>
      </c>
      <c r="T48" s="41" t="s">
        <v>230</v>
      </c>
      <c r="U48" s="41" t="s">
        <v>231</v>
      </c>
      <c r="V48" s="41"/>
      <c r="W48" s="41"/>
      <c r="Z48" s="43" t="s">
        <v>39</v>
      </c>
      <c r="AA48" s="43">
        <v>4</v>
      </c>
      <c r="AB48" s="44">
        <v>0.12</v>
      </c>
      <c r="AC48" s="44">
        <v>0.12</v>
      </c>
      <c r="AD48" s="44">
        <v>0.18</v>
      </c>
      <c r="AE48" s="44">
        <v>0.12</v>
      </c>
    </row>
    <row r="49" spans="1:31" x14ac:dyDescent="0.25">
      <c r="A49" s="41"/>
      <c r="B49" s="41"/>
      <c r="C49" s="41" t="s">
        <v>232</v>
      </c>
      <c r="D49" s="41"/>
      <c r="E49" s="41"/>
      <c r="F49" s="41"/>
      <c r="G49" s="41"/>
      <c r="H49" s="41"/>
      <c r="I49" s="41"/>
      <c r="J49" s="41"/>
      <c r="K49" s="41" t="s">
        <v>233</v>
      </c>
      <c r="L49" s="41"/>
      <c r="M49" s="41"/>
      <c r="N49" s="41" t="s">
        <v>234</v>
      </c>
      <c r="O49" s="41" t="s">
        <v>235</v>
      </c>
      <c r="P49" s="41"/>
      <c r="Q49" s="41" t="s">
        <v>236</v>
      </c>
      <c r="R49" s="41"/>
      <c r="S49" s="41" t="s">
        <v>237</v>
      </c>
      <c r="T49" s="41" t="s">
        <v>238</v>
      </c>
      <c r="U49" s="41" t="s">
        <v>239</v>
      </c>
      <c r="V49" s="41"/>
      <c r="W49" s="41"/>
      <c r="Z49" s="43" t="s">
        <v>40</v>
      </c>
      <c r="AA49" s="43">
        <v>5</v>
      </c>
      <c r="AB49" s="44">
        <v>0.12</v>
      </c>
      <c r="AC49" s="44">
        <v>0.12</v>
      </c>
      <c r="AD49" s="44">
        <v>0.18</v>
      </c>
      <c r="AE49" s="44">
        <v>0.12</v>
      </c>
    </row>
    <row r="50" spans="1:31" x14ac:dyDescent="0.25">
      <c r="A50" s="41"/>
      <c r="B50" s="41"/>
      <c r="C50" s="41" t="s">
        <v>240</v>
      </c>
      <c r="D50" s="41"/>
      <c r="E50" s="41"/>
      <c r="F50" s="41"/>
      <c r="G50" s="41"/>
      <c r="H50" s="41"/>
      <c r="I50" s="41"/>
      <c r="J50" s="41"/>
      <c r="K50" s="41" t="s">
        <v>241</v>
      </c>
      <c r="L50" s="41"/>
      <c r="M50" s="41"/>
      <c r="N50" s="41" t="s">
        <v>242</v>
      </c>
      <c r="O50" s="41" t="s">
        <v>243</v>
      </c>
      <c r="P50" s="41"/>
      <c r="Q50" s="41" t="s">
        <v>244</v>
      </c>
      <c r="R50" s="41"/>
      <c r="S50" s="41"/>
      <c r="T50" s="41" t="s">
        <v>245</v>
      </c>
      <c r="U50" s="41" t="s">
        <v>246</v>
      </c>
      <c r="V50" s="41"/>
      <c r="W50" s="41"/>
      <c r="Z50" s="43" t="s">
        <v>58</v>
      </c>
      <c r="AA50" s="43">
        <v>23</v>
      </c>
      <c r="AB50" s="44">
        <v>0.12</v>
      </c>
      <c r="AC50" s="44">
        <v>0.12</v>
      </c>
      <c r="AD50" s="44">
        <v>0.18</v>
      </c>
      <c r="AE50" s="44">
        <v>0.17</v>
      </c>
    </row>
    <row r="51" spans="1:31" x14ac:dyDescent="0.25">
      <c r="A51" s="41"/>
      <c r="B51" s="41"/>
      <c r="C51" s="41" t="s">
        <v>247</v>
      </c>
      <c r="D51" s="41"/>
      <c r="E51" s="41"/>
      <c r="F51" s="41"/>
      <c r="G51" s="41"/>
      <c r="H51" s="41"/>
      <c r="I51" s="41"/>
      <c r="J51" s="41"/>
      <c r="K51" s="41" t="s">
        <v>248</v>
      </c>
      <c r="L51" s="41"/>
      <c r="M51" s="41"/>
      <c r="N51" s="41" t="s">
        <v>249</v>
      </c>
      <c r="O51" s="41" t="s">
        <v>250</v>
      </c>
      <c r="P51" s="41"/>
      <c r="Q51" s="41" t="s">
        <v>251</v>
      </c>
      <c r="R51" s="41"/>
      <c r="S51" s="41"/>
      <c r="T51" s="41"/>
      <c r="U51" s="41" t="s">
        <v>252</v>
      </c>
      <c r="V51" s="41"/>
      <c r="W51" s="41"/>
      <c r="Z51" s="43" t="s">
        <v>52</v>
      </c>
      <c r="AA51" s="43">
        <v>17</v>
      </c>
      <c r="AB51" s="44">
        <v>0.12</v>
      </c>
      <c r="AC51" s="44">
        <v>0.12</v>
      </c>
      <c r="AD51" s="44">
        <v>0.18</v>
      </c>
      <c r="AE51" s="44">
        <v>0.12</v>
      </c>
    </row>
    <row r="52" spans="1:31" x14ac:dyDescent="0.25">
      <c r="A52" s="41"/>
      <c r="B52" s="41"/>
      <c r="C52" s="41" t="s">
        <v>253</v>
      </c>
      <c r="D52" s="41"/>
      <c r="E52" s="41"/>
      <c r="F52" s="41"/>
      <c r="G52" s="41"/>
      <c r="H52" s="41"/>
      <c r="I52" s="41"/>
      <c r="J52" s="41"/>
      <c r="K52" s="41" t="s">
        <v>254</v>
      </c>
      <c r="L52" s="41"/>
      <c r="M52" s="41"/>
      <c r="N52" s="41" t="s">
        <v>255</v>
      </c>
      <c r="O52" s="41"/>
      <c r="P52" s="41"/>
      <c r="Q52" s="41" t="s">
        <v>256</v>
      </c>
      <c r="R52" s="41"/>
      <c r="S52" s="41"/>
      <c r="T52" s="41"/>
      <c r="U52" s="41" t="s">
        <v>257</v>
      </c>
      <c r="V52" s="41"/>
      <c r="W52" s="41"/>
      <c r="Z52" s="43" t="s">
        <v>49</v>
      </c>
      <c r="AA52" s="43">
        <v>14</v>
      </c>
      <c r="AB52" s="44">
        <v>0.12</v>
      </c>
      <c r="AC52" s="44">
        <v>0.12</v>
      </c>
      <c r="AD52" s="44">
        <v>0.18</v>
      </c>
      <c r="AE52" s="44">
        <v>0.12</v>
      </c>
    </row>
    <row r="53" spans="1:31" x14ac:dyDescent="0.25">
      <c r="A53" s="41"/>
      <c r="B53" s="41"/>
      <c r="C53" s="41" t="s">
        <v>258</v>
      </c>
      <c r="D53" s="41"/>
      <c r="E53" s="41"/>
      <c r="F53" s="41"/>
      <c r="G53" s="41"/>
      <c r="H53" s="41"/>
      <c r="I53" s="41"/>
      <c r="J53" s="41"/>
      <c r="K53" s="41" t="s">
        <v>259</v>
      </c>
      <c r="L53" s="41"/>
      <c r="M53" s="41"/>
      <c r="N53" s="41"/>
      <c r="O53" s="41"/>
      <c r="P53" s="41"/>
      <c r="Q53" s="41"/>
      <c r="R53" s="41"/>
      <c r="S53" s="41"/>
      <c r="T53" s="41"/>
      <c r="U53" s="41" t="s">
        <v>260</v>
      </c>
      <c r="V53" s="41"/>
      <c r="W53" s="41"/>
      <c r="Z53" s="43" t="s">
        <v>60</v>
      </c>
      <c r="AA53" s="43">
        <v>25</v>
      </c>
      <c r="AB53" s="44">
        <v>0.12</v>
      </c>
      <c r="AC53" s="44">
        <v>0.12</v>
      </c>
      <c r="AD53" s="44">
        <v>0.17</v>
      </c>
      <c r="AE53" s="44">
        <v>0.12</v>
      </c>
    </row>
    <row r="54" spans="1:31" x14ac:dyDescent="0.25">
      <c r="A54" s="41"/>
      <c r="B54" s="41"/>
      <c r="C54" s="41" t="s">
        <v>261</v>
      </c>
      <c r="D54" s="41"/>
      <c r="E54" s="41"/>
      <c r="F54" s="41"/>
      <c r="G54" s="41"/>
      <c r="H54" s="41"/>
      <c r="I54" s="41"/>
      <c r="J54" s="41"/>
      <c r="K54" s="41" t="s">
        <v>262</v>
      </c>
      <c r="L54" s="41"/>
      <c r="M54" s="41"/>
      <c r="N54" s="41"/>
      <c r="O54" s="41"/>
      <c r="P54" s="41"/>
      <c r="Q54" s="41"/>
      <c r="R54" s="41"/>
      <c r="S54" s="41"/>
      <c r="T54" s="41"/>
      <c r="U54" s="41" t="s">
        <v>263</v>
      </c>
      <c r="V54" s="41"/>
      <c r="W54" s="41"/>
      <c r="Z54" s="43" t="s">
        <v>48</v>
      </c>
      <c r="AA54" s="43">
        <v>13</v>
      </c>
      <c r="AB54" s="44">
        <v>0.12</v>
      </c>
      <c r="AC54" s="44">
        <v>0.12</v>
      </c>
      <c r="AD54" s="44">
        <v>0.17</v>
      </c>
      <c r="AE54" s="44">
        <v>0.12</v>
      </c>
    </row>
    <row r="55" spans="1:31" x14ac:dyDescent="0.25">
      <c r="A55" s="41"/>
      <c r="B55" s="41"/>
      <c r="C55" s="41" t="s">
        <v>264</v>
      </c>
      <c r="D55" s="41"/>
      <c r="E55" s="41"/>
      <c r="F55" s="41"/>
      <c r="G55" s="41"/>
      <c r="H55" s="41"/>
      <c r="I55" s="41"/>
      <c r="J55" s="41"/>
      <c r="K55" s="41" t="s">
        <v>265</v>
      </c>
      <c r="L55" s="41"/>
      <c r="M55" s="41"/>
      <c r="N55" s="41"/>
      <c r="O55" s="41"/>
      <c r="P55" s="41"/>
      <c r="Q55" s="41"/>
      <c r="R55" s="41"/>
      <c r="S55" s="41"/>
      <c r="T55" s="41"/>
      <c r="U55" s="41" t="s">
        <v>266</v>
      </c>
      <c r="V55" s="41"/>
      <c r="W55" s="41"/>
      <c r="Z55" s="43" t="s">
        <v>50</v>
      </c>
      <c r="AA55" s="43">
        <v>15</v>
      </c>
      <c r="AB55" s="44">
        <v>0.12</v>
      </c>
      <c r="AC55" s="44">
        <v>0.12</v>
      </c>
      <c r="AD55" s="44">
        <v>0.18</v>
      </c>
      <c r="AE55" s="44">
        <v>0.12</v>
      </c>
    </row>
    <row r="56" spans="1:31" x14ac:dyDescent="0.25">
      <c r="A56" s="41"/>
      <c r="B56" s="41"/>
      <c r="C56" s="41" t="s">
        <v>267</v>
      </c>
      <c r="D56" s="41"/>
      <c r="E56" s="41"/>
      <c r="F56" s="41"/>
      <c r="G56" s="41"/>
      <c r="H56" s="41"/>
      <c r="I56" s="41"/>
      <c r="J56" s="41"/>
      <c r="K56" s="41" t="s">
        <v>268</v>
      </c>
      <c r="L56" s="41"/>
      <c r="M56" s="41"/>
      <c r="N56" s="41"/>
      <c r="O56" s="41"/>
      <c r="P56" s="41"/>
      <c r="Q56" s="41"/>
      <c r="R56" s="41"/>
      <c r="S56" s="41"/>
      <c r="T56" s="41"/>
      <c r="U56" s="41" t="s">
        <v>269</v>
      </c>
      <c r="V56" s="41"/>
      <c r="W56" s="41"/>
      <c r="Z56" s="43" t="s">
        <v>59</v>
      </c>
      <c r="AA56" s="43">
        <v>24</v>
      </c>
      <c r="AB56" s="44">
        <v>0.12</v>
      </c>
      <c r="AC56" s="44">
        <v>0.12</v>
      </c>
      <c r="AD56" s="44">
        <v>0.18</v>
      </c>
      <c r="AE56" s="44">
        <v>0.12</v>
      </c>
    </row>
    <row r="57" spans="1:31" x14ac:dyDescent="0.25">
      <c r="A57" s="41"/>
      <c r="B57" s="41"/>
      <c r="C57" s="41" t="s">
        <v>615</v>
      </c>
      <c r="D57" s="41"/>
      <c r="E57" s="41"/>
      <c r="F57" s="41"/>
      <c r="G57" s="41"/>
      <c r="H57" s="41"/>
      <c r="I57" s="41"/>
      <c r="J57" s="41"/>
      <c r="K57" s="41"/>
      <c r="L57" s="41"/>
      <c r="M57" s="41"/>
      <c r="N57" s="41"/>
      <c r="O57" s="41"/>
      <c r="P57" s="41"/>
      <c r="Q57" s="41"/>
      <c r="R57" s="41"/>
      <c r="S57" s="41"/>
      <c r="T57" s="41"/>
      <c r="U57" s="41" t="s">
        <v>270</v>
      </c>
      <c r="V57" s="41"/>
      <c r="W57" s="41"/>
      <c r="Z57" s="43" t="s">
        <v>45</v>
      </c>
      <c r="AA57" s="43">
        <v>10</v>
      </c>
      <c r="AB57" s="44">
        <v>0.12</v>
      </c>
      <c r="AC57" s="44">
        <v>0.12</v>
      </c>
      <c r="AD57" s="44">
        <v>0.17</v>
      </c>
      <c r="AE57" s="44">
        <v>0.12</v>
      </c>
    </row>
    <row r="58" spans="1:31" x14ac:dyDescent="0.25">
      <c r="A58" s="41"/>
      <c r="B58" s="41"/>
      <c r="C58" s="41"/>
      <c r="D58" s="41"/>
      <c r="E58" s="41"/>
      <c r="F58" s="41"/>
      <c r="G58" s="41"/>
      <c r="H58" s="41"/>
      <c r="I58" s="41"/>
      <c r="J58" s="41"/>
      <c r="K58" s="41"/>
      <c r="L58" s="41"/>
      <c r="M58" s="41"/>
      <c r="N58" s="41"/>
      <c r="O58" s="41"/>
      <c r="P58" s="41"/>
      <c r="Q58" s="41"/>
      <c r="R58" s="41"/>
      <c r="S58" s="41"/>
      <c r="T58" s="41"/>
      <c r="U58" s="41" t="s">
        <v>271</v>
      </c>
      <c r="V58" s="41"/>
      <c r="W58" s="41"/>
      <c r="Z58" s="43" t="s">
        <v>46</v>
      </c>
      <c r="AA58" s="43">
        <v>11</v>
      </c>
      <c r="AB58" s="44">
        <v>0.12</v>
      </c>
      <c r="AC58" s="44">
        <v>0.12</v>
      </c>
      <c r="AD58" s="44">
        <v>0.17</v>
      </c>
      <c r="AE58" s="44">
        <v>0.12</v>
      </c>
    </row>
    <row r="59" spans="1:31" x14ac:dyDescent="0.25">
      <c r="A59" s="41"/>
      <c r="B59" s="41"/>
      <c r="C59" s="41"/>
      <c r="D59" s="41"/>
      <c r="E59" s="41"/>
      <c r="F59" s="41"/>
      <c r="G59" s="41"/>
      <c r="H59" s="41"/>
      <c r="I59" s="41"/>
      <c r="J59" s="41"/>
      <c r="K59" s="41"/>
      <c r="L59" s="41"/>
      <c r="M59" s="41"/>
      <c r="N59" s="41"/>
      <c r="O59" s="41"/>
      <c r="P59" s="41"/>
      <c r="Q59" s="41"/>
      <c r="R59" s="41"/>
      <c r="S59" s="41"/>
      <c r="T59" s="41"/>
      <c r="U59" s="41" t="s">
        <v>272</v>
      </c>
      <c r="V59" s="41"/>
      <c r="W59" s="41"/>
      <c r="Z59" s="43" t="s">
        <v>44</v>
      </c>
      <c r="AA59" s="43">
        <v>9</v>
      </c>
      <c r="AB59" s="44">
        <v>0.12</v>
      </c>
      <c r="AC59" s="44">
        <v>0.12</v>
      </c>
      <c r="AD59" s="44">
        <v>0.17</v>
      </c>
      <c r="AE59" s="44">
        <v>0.12</v>
      </c>
    </row>
    <row r="60" spans="1:31" x14ac:dyDescent="0.25">
      <c r="A60" s="41"/>
      <c r="B60" s="41"/>
      <c r="C60" s="41"/>
      <c r="D60" s="41"/>
      <c r="E60" s="41"/>
      <c r="F60" s="41"/>
      <c r="G60" s="41"/>
      <c r="H60" s="41"/>
      <c r="I60" s="41"/>
      <c r="J60" s="41"/>
      <c r="K60" s="41"/>
      <c r="L60" s="41"/>
      <c r="M60" s="41"/>
      <c r="N60" s="41"/>
      <c r="O60" s="41"/>
      <c r="P60" s="41"/>
      <c r="Q60" s="41"/>
      <c r="R60" s="41"/>
      <c r="S60" s="41"/>
      <c r="T60" s="41"/>
      <c r="U60" s="41" t="s">
        <v>273</v>
      </c>
      <c r="V60" s="41"/>
      <c r="W60" s="41"/>
      <c r="Z60" s="43" t="s">
        <v>54</v>
      </c>
      <c r="AA60" s="43">
        <v>19</v>
      </c>
      <c r="AB60" s="44">
        <v>0.12</v>
      </c>
      <c r="AC60" s="44">
        <v>0.12</v>
      </c>
      <c r="AD60" s="44">
        <v>0.18</v>
      </c>
      <c r="AE60" s="44">
        <v>0.12</v>
      </c>
    </row>
    <row r="61" spans="1:31" x14ac:dyDescent="0.25">
      <c r="A61" s="41"/>
      <c r="B61" s="41"/>
      <c r="C61" s="41"/>
      <c r="D61" s="41"/>
      <c r="E61" s="41"/>
      <c r="F61" s="41"/>
      <c r="G61" s="41"/>
      <c r="H61" s="41"/>
      <c r="I61" s="41"/>
      <c r="J61" s="41"/>
      <c r="K61" s="41"/>
      <c r="L61" s="41"/>
      <c r="M61" s="41"/>
      <c r="N61" s="41"/>
      <c r="O61" s="41"/>
      <c r="P61" s="41"/>
      <c r="Q61" s="41"/>
      <c r="R61" s="41"/>
      <c r="S61" s="41"/>
      <c r="T61" s="41"/>
      <c r="U61" s="41" t="s">
        <v>274</v>
      </c>
      <c r="V61" s="41"/>
      <c r="W61" s="41"/>
      <c r="Z61" s="43" t="s">
        <v>55</v>
      </c>
      <c r="AA61" s="43">
        <v>20</v>
      </c>
      <c r="AB61" s="44">
        <v>0.12</v>
      </c>
      <c r="AC61" s="44">
        <v>0.12</v>
      </c>
      <c r="AD61" s="44">
        <v>0.18</v>
      </c>
      <c r="AE61" s="44">
        <v>0.12</v>
      </c>
    </row>
    <row r="62" spans="1:31" x14ac:dyDescent="0.25">
      <c r="A62" s="41"/>
      <c r="B62" s="41"/>
      <c r="C62" s="41"/>
      <c r="D62" s="41"/>
      <c r="E62" s="41"/>
      <c r="F62" s="41"/>
      <c r="G62" s="41"/>
      <c r="H62" s="41"/>
      <c r="I62" s="41"/>
      <c r="J62" s="41"/>
      <c r="K62" s="41"/>
      <c r="L62" s="41"/>
      <c r="M62" s="41"/>
      <c r="N62" s="41"/>
      <c r="O62" s="41"/>
      <c r="P62" s="41"/>
      <c r="Q62" s="41"/>
      <c r="R62" s="41"/>
      <c r="S62" s="41"/>
      <c r="T62" s="41"/>
      <c r="U62" s="41" t="s">
        <v>275</v>
      </c>
      <c r="V62" s="41"/>
      <c r="W62" s="41"/>
      <c r="Z62" s="43" t="s">
        <v>51</v>
      </c>
      <c r="AA62" s="43">
        <v>16</v>
      </c>
      <c r="AB62" s="44">
        <v>0.12</v>
      </c>
      <c r="AC62" s="44">
        <v>0.12</v>
      </c>
      <c r="AD62" s="44">
        <v>0.17</v>
      </c>
      <c r="AE62" s="44">
        <v>0.12</v>
      </c>
    </row>
    <row r="63" spans="1:31" x14ac:dyDescent="0.25">
      <c r="A63" s="41"/>
      <c r="B63" s="41"/>
      <c r="C63" s="41"/>
      <c r="D63" s="41"/>
      <c r="E63" s="41"/>
      <c r="F63" s="41"/>
      <c r="G63" s="41"/>
      <c r="H63" s="41"/>
      <c r="I63" s="41"/>
      <c r="J63" s="41"/>
      <c r="K63" s="41"/>
      <c r="L63" s="41"/>
      <c r="M63" s="41"/>
      <c r="N63" s="41"/>
      <c r="O63" s="41"/>
      <c r="P63" s="41"/>
      <c r="Q63" s="41"/>
      <c r="R63" s="41"/>
      <c r="S63" s="41"/>
      <c r="T63" s="41"/>
      <c r="U63" s="41" t="s">
        <v>276</v>
      </c>
      <c r="V63" s="41"/>
      <c r="W63" s="41"/>
      <c r="Z63" s="43" t="s">
        <v>63</v>
      </c>
      <c r="AA63" s="43">
        <v>28</v>
      </c>
      <c r="AB63" s="44">
        <v>0.12</v>
      </c>
      <c r="AC63" s="44">
        <v>0.12</v>
      </c>
      <c r="AD63" s="44">
        <v>0.18</v>
      </c>
      <c r="AE63" s="44">
        <v>0.12</v>
      </c>
    </row>
    <row r="64" spans="1:31" x14ac:dyDescent="0.25">
      <c r="A64" s="41"/>
      <c r="B64" s="41"/>
      <c r="C64" s="41"/>
      <c r="D64" s="41"/>
      <c r="E64" s="41"/>
      <c r="F64" s="41"/>
      <c r="G64" s="41"/>
      <c r="H64" s="41"/>
      <c r="I64" s="41"/>
      <c r="J64" s="41"/>
      <c r="K64" s="41"/>
      <c r="L64" s="41"/>
      <c r="M64" s="41"/>
      <c r="N64" s="41"/>
      <c r="O64" s="41"/>
      <c r="P64" s="41"/>
      <c r="Q64" s="41"/>
      <c r="R64" s="41"/>
      <c r="S64" s="41"/>
      <c r="T64" s="41"/>
      <c r="U64" s="41" t="s">
        <v>277</v>
      </c>
      <c r="V64" s="41"/>
      <c r="W64" s="41"/>
      <c r="Z64" s="43" t="s">
        <v>61</v>
      </c>
      <c r="AA64" s="43">
        <v>26</v>
      </c>
      <c r="AB64" s="44">
        <v>0.12</v>
      </c>
      <c r="AC64" s="44">
        <v>0.12</v>
      </c>
      <c r="AD64" s="44">
        <v>0.2</v>
      </c>
      <c r="AE64" s="44">
        <v>0.12</v>
      </c>
    </row>
    <row r="65" spans="1:31" x14ac:dyDescent="0.25">
      <c r="A65" s="41"/>
      <c r="B65" s="41"/>
      <c r="C65" s="41"/>
      <c r="D65" s="41"/>
      <c r="E65" s="41"/>
      <c r="F65" s="41"/>
      <c r="G65" s="41"/>
      <c r="H65" s="41"/>
      <c r="I65" s="41"/>
      <c r="J65" s="41"/>
      <c r="K65" s="41"/>
      <c r="L65" s="41"/>
      <c r="M65" s="41"/>
      <c r="N65" s="41"/>
      <c r="O65" s="41"/>
      <c r="P65" s="41"/>
      <c r="Q65" s="41"/>
      <c r="R65" s="41"/>
      <c r="S65" s="41"/>
      <c r="T65" s="41"/>
      <c r="U65" s="41" t="s">
        <v>278</v>
      </c>
      <c r="V65" s="41"/>
      <c r="W65" s="41"/>
      <c r="Z65" s="43" t="s">
        <v>53</v>
      </c>
      <c r="AA65" s="43">
        <v>18</v>
      </c>
      <c r="AB65" s="44">
        <v>0.12</v>
      </c>
      <c r="AC65" s="44">
        <v>0.12</v>
      </c>
      <c r="AD65" s="44">
        <v>0.18</v>
      </c>
      <c r="AE65" s="44">
        <v>0.12</v>
      </c>
    </row>
    <row r="66" spans="1:31" x14ac:dyDescent="0.25">
      <c r="Z66" s="43" t="s">
        <v>42</v>
      </c>
      <c r="AA66" s="43">
        <v>7</v>
      </c>
      <c r="AB66" s="44">
        <v>0.12</v>
      </c>
      <c r="AC66" s="44">
        <v>0.12</v>
      </c>
      <c r="AD66" s="44">
        <v>0.17</v>
      </c>
      <c r="AE66" s="44">
        <v>0.12</v>
      </c>
    </row>
    <row r="67" spans="1:31" x14ac:dyDescent="0.25">
      <c r="Z67" s="43" t="s">
        <v>41</v>
      </c>
      <c r="AA67" s="43">
        <v>6</v>
      </c>
      <c r="AB67" s="44">
        <v>0.12</v>
      </c>
      <c r="AC67" s="44">
        <v>0.12</v>
      </c>
      <c r="AD67" s="44">
        <v>0.17</v>
      </c>
      <c r="AE67" s="44">
        <v>0.12</v>
      </c>
    </row>
    <row r="68" spans="1:31" x14ac:dyDescent="0.25">
      <c r="Z68" s="43" t="s">
        <v>65</v>
      </c>
      <c r="AA68" s="43">
        <v>30</v>
      </c>
      <c r="AB68" s="44">
        <v>0.12</v>
      </c>
      <c r="AC68" s="44">
        <v>0.12</v>
      </c>
      <c r="AD68" s="44">
        <v>0.18</v>
      </c>
      <c r="AE68" s="44">
        <v>0.12</v>
      </c>
    </row>
    <row r="69" spans="1:31" x14ac:dyDescent="0.25">
      <c r="Z69" s="43" t="s">
        <v>64</v>
      </c>
      <c r="AA69" s="43">
        <v>29</v>
      </c>
      <c r="AB69" s="44">
        <v>0.12</v>
      </c>
      <c r="AC69" s="44">
        <v>0.12</v>
      </c>
      <c r="AD69" s="44">
        <v>0.17</v>
      </c>
      <c r="AE69" s="44">
        <v>0.12</v>
      </c>
    </row>
    <row r="70" spans="1:31" x14ac:dyDescent="0.25">
      <c r="Z70" s="43" t="s">
        <v>57</v>
      </c>
      <c r="AA70" s="43">
        <v>22</v>
      </c>
      <c r="AB70" s="44">
        <v>0.12</v>
      </c>
      <c r="AC70" s="44">
        <v>0.12</v>
      </c>
      <c r="AD70" s="44">
        <v>0.18</v>
      </c>
      <c r="AE70" s="44">
        <v>0.12</v>
      </c>
    </row>
    <row r="71" spans="1:31" x14ac:dyDescent="0.25">
      <c r="Z71" s="43" t="s">
        <v>62</v>
      </c>
      <c r="AA71" s="43">
        <v>27</v>
      </c>
      <c r="AB71" s="44">
        <v>0.12</v>
      </c>
      <c r="AC71" s="44">
        <v>0.18</v>
      </c>
      <c r="AD71" s="44">
        <v>0.18</v>
      </c>
      <c r="AE71" s="44">
        <v>0.12</v>
      </c>
    </row>
    <row r="72" spans="1:31" x14ac:dyDescent="0.25">
      <c r="Z72" s="43" t="s">
        <v>47</v>
      </c>
      <c r="AA72" s="43">
        <v>12</v>
      </c>
      <c r="AB72" s="44">
        <v>0.12</v>
      </c>
      <c r="AC72" s="44">
        <v>0.12</v>
      </c>
      <c r="AD72" s="44">
        <v>0.18</v>
      </c>
      <c r="AE72" s="44">
        <v>0.12</v>
      </c>
    </row>
  </sheetData>
  <sheetProtection password="D9FD" sheet="1" objects="1" scenarios="1"/>
  <mergeCells count="6">
    <mergeCell ref="AF9:AF10"/>
    <mergeCell ref="A9:A10"/>
    <mergeCell ref="B9:B10"/>
    <mergeCell ref="C9:C10"/>
    <mergeCell ref="D9:AD9"/>
    <mergeCell ref="AE9:AE10"/>
  </mergeCells>
  <conditionalFormatting sqref="A44:T65">
    <cfRule type="expression" dxfId="35" priority="1" stopIfTrue="1">
      <formula>VLOOKUP(F44,$J$14:$K$34,2,0)=1</formula>
    </cfRule>
  </conditionalFormatting>
  <conditionalFormatting sqref="U53:U65">
    <cfRule type="expression" dxfId="34" priority="2" stopIfTrue="1">
      <formula>VLOOKUP(AV53,$J$14:$K$34,2,0)=1</formula>
    </cfRule>
  </conditionalFormatting>
  <conditionalFormatting sqref="V44:W65">
    <cfRule type="expression" dxfId="33" priority="3" stopIfTrue="1">
      <formula>VLOOKUP(#REF!,$J$14:$K$34,2,0)=1</formula>
    </cfRule>
  </conditionalFormatting>
  <conditionalFormatting sqref="U44:U52">
    <cfRule type="expression" dxfId="32" priority="4" stopIfTrue="1">
      <formula>VLOOKUP(#REF!,$J$14:$K$34,2,0)=1</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5"/>
  <dimension ref="A1:AJ177"/>
  <sheetViews>
    <sheetView showGridLines="0" zoomScaleNormal="100" workbookViewId="0">
      <pane ySplit="3" topLeftCell="A124" activePane="bottomLeft" state="frozen"/>
      <selection activeCell="F91" sqref="F91"/>
      <selection pane="bottomLeft" activeCell="O132" sqref="O132"/>
    </sheetView>
  </sheetViews>
  <sheetFormatPr defaultRowHeight="15" x14ac:dyDescent="0.25"/>
  <cols>
    <col min="1" max="1" width="20.85546875" bestFit="1" customWidth="1"/>
    <col min="2" max="2" width="9.140625" customWidth="1"/>
    <col min="3" max="3" width="19.140625" customWidth="1"/>
    <col min="4" max="4" width="9.140625" customWidth="1"/>
    <col min="5" max="5" width="11.85546875" customWidth="1"/>
    <col min="6" max="7" width="13.7109375" customWidth="1"/>
    <col min="8" max="8" width="16.7109375" customWidth="1"/>
    <col min="9" max="9" width="11" customWidth="1"/>
    <col min="10" max="10" width="16" customWidth="1"/>
    <col min="11" max="11" width="11.140625" customWidth="1"/>
    <col min="16" max="16" width="10.5703125" customWidth="1"/>
    <col min="18" max="18" width="19.140625" bestFit="1" customWidth="1"/>
    <col min="19" max="19" width="9.5703125" bestFit="1" customWidth="1"/>
    <col min="20" max="20" width="10.85546875" bestFit="1" customWidth="1"/>
    <col min="21" max="21" width="14.85546875" customWidth="1"/>
    <col min="22" max="22" width="12.5703125" customWidth="1"/>
    <col min="23" max="23" width="12.28515625" bestFit="1" customWidth="1"/>
    <col min="24" max="24" width="14.28515625" customWidth="1"/>
    <col min="25" max="25" width="13.42578125" customWidth="1"/>
    <col min="26" max="26" width="1.7109375" customWidth="1"/>
    <col min="27" max="27" width="11.85546875" customWidth="1"/>
    <col min="28" max="28" width="11.7109375" customWidth="1"/>
  </cols>
  <sheetData>
    <row r="1" spans="1:28" x14ac:dyDescent="0.25">
      <c r="F1" s="146"/>
      <c r="G1" s="146"/>
      <c r="H1" s="146"/>
      <c r="J1" s="146"/>
    </row>
    <row r="2" spans="1:28" ht="18.75" x14ac:dyDescent="0.3">
      <c r="F2" s="146"/>
      <c r="G2" s="146"/>
      <c r="H2" s="146"/>
      <c r="J2" s="146"/>
      <c r="M2" s="147" t="s">
        <v>348</v>
      </c>
      <c r="N2" s="148"/>
      <c r="O2" s="148"/>
      <c r="P2" s="148"/>
      <c r="R2" s="147" t="s">
        <v>349</v>
      </c>
    </row>
    <row r="3" spans="1:28" ht="45" x14ac:dyDescent="0.25">
      <c r="A3" s="149" t="s">
        <v>350</v>
      </c>
      <c r="B3" s="149" t="s">
        <v>351</v>
      </c>
      <c r="C3" s="149" t="s">
        <v>352</v>
      </c>
      <c r="D3" s="150" t="s">
        <v>353</v>
      </c>
      <c r="E3" s="149" t="s">
        <v>354</v>
      </c>
      <c r="F3" s="149" t="s">
        <v>355</v>
      </c>
      <c r="G3" s="149" t="s">
        <v>356</v>
      </c>
      <c r="H3" s="149" t="s">
        <v>357</v>
      </c>
      <c r="I3" s="151" t="s">
        <v>358</v>
      </c>
      <c r="J3" s="152" t="s">
        <v>359</v>
      </c>
      <c r="K3" s="153" t="s">
        <v>360</v>
      </c>
      <c r="M3" s="154" t="s">
        <v>184</v>
      </c>
      <c r="N3" s="154" t="s">
        <v>361</v>
      </c>
      <c r="O3" s="154" t="s">
        <v>280</v>
      </c>
      <c r="P3" s="154" t="s">
        <v>353</v>
      </c>
      <c r="R3" s="155" t="s">
        <v>279</v>
      </c>
      <c r="S3" s="155" t="s">
        <v>184</v>
      </c>
      <c r="T3" s="156" t="s">
        <v>362</v>
      </c>
      <c r="U3" s="155" t="s">
        <v>363</v>
      </c>
      <c r="V3" s="156" t="s">
        <v>364</v>
      </c>
      <c r="W3" s="156" t="s">
        <v>365</v>
      </c>
      <c r="X3" s="155" t="s">
        <v>366</v>
      </c>
      <c r="Y3" s="157" t="s">
        <v>367</v>
      </c>
      <c r="AA3" s="158" t="s">
        <v>368</v>
      </c>
      <c r="AB3" s="159" t="s">
        <v>369</v>
      </c>
    </row>
    <row r="4" spans="1:28" x14ac:dyDescent="0.25">
      <c r="A4" s="160" t="s">
        <v>142</v>
      </c>
      <c r="B4" s="161" t="s">
        <v>56</v>
      </c>
      <c r="C4" s="162" t="str">
        <f>B4&amp;A4</f>
        <v>ALArapiraca</v>
      </c>
      <c r="D4" s="163" t="str">
        <f t="shared" ref="D4:D67" ca="1" si="0">IF(A4="","",IF(ISERROR(MATCH(A4,INDIRECT(B4),0)),"Cadastro errado","Cadastro ok"))</f>
        <v>Cadastro ok</v>
      </c>
      <c r="E4" s="164" t="s">
        <v>370</v>
      </c>
      <c r="F4" s="165">
        <f>IF(E4="",0,VLOOKUP(E4,$T$4:$AB$17,9,FALSE))</f>
        <v>0</v>
      </c>
      <c r="G4" s="165">
        <f>IF(E4="",0,VLOOKUP(E4,$T$4:$Y$17,6,FALSE))</f>
        <v>0</v>
      </c>
      <c r="H4" s="166" t="s">
        <v>408</v>
      </c>
      <c r="I4" s="167">
        <f t="shared" ref="I4:I67" si="1">IF(AND(H4&lt;&gt;"",G4&lt;&gt;"",F4&lt;&gt;""),(VLOOKUP(H4,FAIXAS_TRANSPORTE,4,FALSE)+G4+F4),"")</f>
        <v>0.45</v>
      </c>
      <c r="J4" s="166" t="s">
        <v>406</v>
      </c>
      <c r="K4" s="168">
        <f t="shared" ref="K4:K67" si="2">IF(J4="","",VLOOKUP(J4,FAIXAS_TRANSPORTE,4,FALSE))</f>
        <v>0.21</v>
      </c>
      <c r="M4" s="169" t="s">
        <v>56</v>
      </c>
      <c r="N4" s="170">
        <f ca="1">COUNTA(INDIRECT(M4))</f>
        <v>2</v>
      </c>
      <c r="O4" s="170">
        <f>COUNTIF($B$4:$B$177,M4)</f>
        <v>2</v>
      </c>
      <c r="P4" s="171" t="str">
        <f ca="1">IF(N4=O4,"Sincronizado","Rever")</f>
        <v>Sincronizado</v>
      </c>
      <c r="R4" s="172" t="s">
        <v>240</v>
      </c>
      <c r="S4" s="173" t="s">
        <v>58</v>
      </c>
      <c r="T4" s="174" t="s">
        <v>372</v>
      </c>
      <c r="U4" s="175">
        <v>23285</v>
      </c>
      <c r="V4" s="176">
        <v>2208.7399999999998</v>
      </c>
      <c r="W4" s="176">
        <v>2321.2800000000002</v>
      </c>
      <c r="X4" s="176">
        <v>1045.8</v>
      </c>
      <c r="Y4" s="177">
        <f t="shared" ref="Y4:Y10" si="3">(SUM(V4:W4)+X4/12)/U4</f>
        <v>0.19828945673180159</v>
      </c>
      <c r="AA4" s="176">
        <v>2193.5500000000002</v>
      </c>
      <c r="AB4" s="178">
        <f>AA4/25000</f>
        <v>8.7742000000000001E-2</v>
      </c>
    </row>
    <row r="5" spans="1:28" x14ac:dyDescent="0.25">
      <c r="A5" s="160" t="s">
        <v>165</v>
      </c>
      <c r="B5" s="161" t="s">
        <v>56</v>
      </c>
      <c r="C5" s="162" t="str">
        <f t="shared" ref="C5:C68" si="4">B5&amp;A5</f>
        <v>ALMaceió</v>
      </c>
      <c r="D5" s="49" t="str">
        <f t="shared" ca="1" si="0"/>
        <v>Cadastro ok</v>
      </c>
      <c r="E5" s="179" t="s">
        <v>370</v>
      </c>
      <c r="F5" s="165">
        <f t="shared" ref="F5:F68" si="5">IF(E5="",0,VLOOKUP(E5,$T$4:$AB$17,9,FALSE))</f>
        <v>0</v>
      </c>
      <c r="G5" s="165">
        <f t="shared" ref="G5:G68" si="6">IF(E5="",0,VLOOKUP(E5,$T$4:$Y$17,6,FALSE))</f>
        <v>0</v>
      </c>
      <c r="H5" s="166" t="s">
        <v>408</v>
      </c>
      <c r="I5" s="167">
        <f t="shared" si="1"/>
        <v>0.45</v>
      </c>
      <c r="J5" s="166" t="s">
        <v>406</v>
      </c>
      <c r="K5" s="168">
        <f t="shared" si="2"/>
        <v>0.21</v>
      </c>
      <c r="M5" s="180" t="s">
        <v>39</v>
      </c>
      <c r="N5" s="181">
        <f ca="1">COUNTA(INDIRECT(M5))</f>
        <v>1</v>
      </c>
      <c r="O5" s="181">
        <f t="shared" ref="O5:O17" si="7">COUNTIF($B$4:$B$177,M5)</f>
        <v>0</v>
      </c>
      <c r="P5" s="182" t="str">
        <f t="shared" ref="P5:P26" ca="1" si="8">IF(N5=O5,"Sincronizado","Rever")</f>
        <v>Rever</v>
      </c>
      <c r="R5" s="172" t="s">
        <v>247</v>
      </c>
      <c r="S5" s="173" t="s">
        <v>58</v>
      </c>
      <c r="T5" s="174" t="s">
        <v>373</v>
      </c>
      <c r="U5" s="175">
        <v>11640</v>
      </c>
      <c r="V5" s="176">
        <v>1198.7</v>
      </c>
      <c r="W5" s="176">
        <v>2321.2800000000002</v>
      </c>
      <c r="X5" s="176">
        <v>481.45</v>
      </c>
      <c r="Y5" s="177">
        <f t="shared" si="3"/>
        <v>0.30585058705612833</v>
      </c>
      <c r="AA5" s="176">
        <v>2400</v>
      </c>
      <c r="AB5" s="178">
        <f>AA5/25000</f>
        <v>9.6000000000000002E-2</v>
      </c>
    </row>
    <row r="6" spans="1:28" x14ac:dyDescent="0.25">
      <c r="A6" s="160" t="s">
        <v>144</v>
      </c>
      <c r="B6" s="161" t="s">
        <v>58</v>
      </c>
      <c r="C6" s="162" t="str">
        <f t="shared" si="4"/>
        <v>BAAlagoinhas</v>
      </c>
      <c r="D6" s="49" t="str">
        <f t="shared" ca="1" si="0"/>
        <v>Cadastro ok</v>
      </c>
      <c r="E6" s="179" t="s">
        <v>370</v>
      </c>
      <c r="F6" s="165">
        <f t="shared" si="5"/>
        <v>0</v>
      </c>
      <c r="G6" s="165">
        <f t="shared" si="6"/>
        <v>0</v>
      </c>
      <c r="H6" s="166" t="s">
        <v>385</v>
      </c>
      <c r="I6" s="167">
        <f t="shared" si="1"/>
        <v>0.9</v>
      </c>
      <c r="J6" s="166" t="s">
        <v>378</v>
      </c>
      <c r="K6" s="168">
        <f t="shared" si="2"/>
        <v>0.16</v>
      </c>
      <c r="L6" s="183"/>
      <c r="M6" s="180" t="s">
        <v>58</v>
      </c>
      <c r="N6" s="181">
        <f ca="1">COUNTA(INDIRECT(M6))</f>
        <v>14</v>
      </c>
      <c r="O6" s="181">
        <f t="shared" si="7"/>
        <v>14</v>
      </c>
      <c r="P6" s="182" t="str">
        <f t="shared" ca="1" si="8"/>
        <v>Sincronizado</v>
      </c>
      <c r="R6" s="172" t="s">
        <v>261</v>
      </c>
      <c r="S6" s="173" t="s">
        <v>58</v>
      </c>
      <c r="T6" s="174" t="s">
        <v>375</v>
      </c>
      <c r="U6" s="175">
        <v>98602</v>
      </c>
      <c r="V6" s="176">
        <v>6750.76</v>
      </c>
      <c r="W6" s="176">
        <v>2321.2800000000002</v>
      </c>
      <c r="X6" s="176">
        <v>2338.14</v>
      </c>
      <c r="Y6" s="177">
        <f t="shared" si="3"/>
        <v>9.3982728545059943E-2</v>
      </c>
      <c r="AA6" s="176">
        <v>760</v>
      </c>
      <c r="AB6" s="178">
        <f t="shared" ref="AB6:AB17" si="9">AA6/14000</f>
        <v>5.4285714285714284E-2</v>
      </c>
    </row>
    <row r="7" spans="1:28" x14ac:dyDescent="0.25">
      <c r="A7" s="160" t="s">
        <v>166</v>
      </c>
      <c r="B7" s="161" t="s">
        <v>58</v>
      </c>
      <c r="C7" s="162" t="str">
        <f t="shared" si="4"/>
        <v>BABarreiras</v>
      </c>
      <c r="D7" s="49" t="str">
        <f t="shared" ca="1" si="0"/>
        <v>Cadastro ok</v>
      </c>
      <c r="E7" s="179" t="s">
        <v>370</v>
      </c>
      <c r="F7" s="165">
        <f t="shared" si="5"/>
        <v>0</v>
      </c>
      <c r="G7" s="165">
        <f t="shared" si="6"/>
        <v>0</v>
      </c>
      <c r="H7" s="166" t="s">
        <v>374</v>
      </c>
      <c r="I7" s="167">
        <f t="shared" si="1"/>
        <v>0.73</v>
      </c>
      <c r="J7" s="166" t="s">
        <v>378</v>
      </c>
      <c r="K7" s="168">
        <f t="shared" si="2"/>
        <v>0.16</v>
      </c>
      <c r="M7" s="180" t="s">
        <v>52</v>
      </c>
      <c r="N7" s="181">
        <f t="shared" ref="N7:N26" ca="1" si="10">COUNTA(INDIRECT(M7))</f>
        <v>4</v>
      </c>
      <c r="O7" s="181">
        <f t="shared" si="7"/>
        <v>4</v>
      </c>
      <c r="P7" s="182" t="str">
        <f t="shared" ca="1" si="8"/>
        <v>Sincronizado</v>
      </c>
      <c r="R7" s="172" t="s">
        <v>250</v>
      </c>
      <c r="S7" s="173" t="s">
        <v>55</v>
      </c>
      <c r="T7" s="174" t="s">
        <v>377</v>
      </c>
      <c r="U7" s="175">
        <v>45520</v>
      </c>
      <c r="V7" s="176">
        <v>8541.02</v>
      </c>
      <c r="W7" s="176">
        <v>1928.58</v>
      </c>
      <c r="X7" s="176">
        <v>0</v>
      </c>
      <c r="Y7" s="177">
        <f t="shared" si="3"/>
        <v>0.23</v>
      </c>
      <c r="AA7" s="176">
        <v>4750</v>
      </c>
      <c r="AB7" s="178">
        <f>AA7/25000</f>
        <v>0.19</v>
      </c>
    </row>
    <row r="8" spans="1:28" x14ac:dyDescent="0.25">
      <c r="A8" s="160" t="s">
        <v>190</v>
      </c>
      <c r="B8" s="161" t="s">
        <v>58</v>
      </c>
      <c r="C8" s="162" t="str">
        <f t="shared" si="4"/>
        <v>BACamaçari</v>
      </c>
      <c r="D8" s="49" t="str">
        <f t="shared" ca="1" si="0"/>
        <v>Cadastro ok</v>
      </c>
      <c r="E8" s="179" t="s">
        <v>370</v>
      </c>
      <c r="F8" s="165">
        <f t="shared" si="5"/>
        <v>0</v>
      </c>
      <c r="G8" s="165">
        <f t="shared" si="6"/>
        <v>0</v>
      </c>
      <c r="H8" s="166" t="s">
        <v>394</v>
      </c>
      <c r="I8" s="167">
        <f t="shared" si="1"/>
        <v>0.2</v>
      </c>
      <c r="J8" s="166" t="s">
        <v>379</v>
      </c>
      <c r="K8" s="168">
        <f t="shared" si="2"/>
        <v>0.05</v>
      </c>
      <c r="M8" s="180" t="s">
        <v>49</v>
      </c>
      <c r="N8" s="181">
        <f t="shared" ca="1" si="10"/>
        <v>1</v>
      </c>
      <c r="O8" s="181">
        <f t="shared" si="7"/>
        <v>1</v>
      </c>
      <c r="P8" s="182" t="str">
        <f t="shared" ca="1" si="8"/>
        <v>Sincronizado</v>
      </c>
      <c r="R8" s="172" t="s">
        <v>277</v>
      </c>
      <c r="S8" s="173" t="s">
        <v>62</v>
      </c>
      <c r="T8" s="174" t="s">
        <v>380</v>
      </c>
      <c r="U8" s="175">
        <v>74919</v>
      </c>
      <c r="V8" s="176">
        <v>4601.8599999999997</v>
      </c>
      <c r="W8" s="176">
        <v>2321.2800000000002</v>
      </c>
      <c r="X8" s="176">
        <v>3045.58</v>
      </c>
      <c r="Y8" s="177">
        <f t="shared" si="3"/>
        <v>9.579597075953139E-2</v>
      </c>
      <c r="AA8" s="176">
        <v>2965.12</v>
      </c>
      <c r="AB8" s="178">
        <f t="shared" si="9"/>
        <v>0.21179428571428571</v>
      </c>
    </row>
    <row r="9" spans="1:28" x14ac:dyDescent="0.25">
      <c r="A9" s="160" t="s">
        <v>208</v>
      </c>
      <c r="B9" s="161" t="s">
        <v>58</v>
      </c>
      <c r="C9" s="162" t="str">
        <f t="shared" si="4"/>
        <v>BAEunápolis</v>
      </c>
      <c r="D9" s="49" t="str">
        <f t="shared" ca="1" si="0"/>
        <v>Cadastro ok</v>
      </c>
      <c r="E9" s="179" t="s">
        <v>370</v>
      </c>
      <c r="F9" s="165">
        <f t="shared" si="5"/>
        <v>0</v>
      </c>
      <c r="G9" s="165">
        <f t="shared" si="6"/>
        <v>0</v>
      </c>
      <c r="H9" s="166" t="s">
        <v>376</v>
      </c>
      <c r="I9" s="167">
        <f t="shared" si="1"/>
        <v>0.6</v>
      </c>
      <c r="J9" s="166" t="s">
        <v>378</v>
      </c>
      <c r="K9" s="168">
        <f t="shared" si="2"/>
        <v>0.16</v>
      </c>
      <c r="M9" s="180" t="s">
        <v>60</v>
      </c>
      <c r="N9" s="181">
        <f t="shared" ca="1" si="10"/>
        <v>5</v>
      </c>
      <c r="O9" s="181">
        <f t="shared" si="7"/>
        <v>5</v>
      </c>
      <c r="P9" s="182" t="str">
        <f t="shared" ca="1" si="8"/>
        <v>Sincronizado</v>
      </c>
      <c r="R9" s="172" t="s">
        <v>173</v>
      </c>
      <c r="S9" s="173" t="s">
        <v>59</v>
      </c>
      <c r="T9" s="174" t="s">
        <v>381</v>
      </c>
      <c r="U9" s="175">
        <v>16700</v>
      </c>
      <c r="V9" s="176">
        <v>3500</v>
      </c>
      <c r="W9" s="176">
        <v>2321.2800000000002</v>
      </c>
      <c r="X9" s="176">
        <v>3759.14</v>
      </c>
      <c r="Y9" s="177">
        <f t="shared" si="3"/>
        <v>0.36733782435129742</v>
      </c>
      <c r="AA9" s="176">
        <v>3906.4</v>
      </c>
      <c r="AB9" s="178">
        <f>AA9/25000</f>
        <v>0.15625600000000001</v>
      </c>
    </row>
    <row r="10" spans="1:28" x14ac:dyDescent="0.25">
      <c r="A10" s="160" t="s">
        <v>223</v>
      </c>
      <c r="B10" s="161" t="s">
        <v>58</v>
      </c>
      <c r="C10" s="162" t="str">
        <f t="shared" si="4"/>
        <v>BAFeira de Santana</v>
      </c>
      <c r="D10" s="49" t="str">
        <f t="shared" ca="1" si="0"/>
        <v>Cadastro ok</v>
      </c>
      <c r="E10" s="179" t="s">
        <v>370</v>
      </c>
      <c r="F10" s="165">
        <f t="shared" si="5"/>
        <v>0</v>
      </c>
      <c r="G10" s="165">
        <f t="shared" si="6"/>
        <v>0</v>
      </c>
      <c r="H10" s="166" t="s">
        <v>408</v>
      </c>
      <c r="I10" s="167">
        <f t="shared" si="1"/>
        <v>0.45</v>
      </c>
      <c r="J10" s="166" t="s">
        <v>378</v>
      </c>
      <c r="K10" s="168">
        <f t="shared" si="2"/>
        <v>0.16</v>
      </c>
      <c r="M10" s="180" t="s">
        <v>48</v>
      </c>
      <c r="N10" s="181">
        <f t="shared" ca="1" si="10"/>
        <v>5</v>
      </c>
      <c r="O10" s="181">
        <f t="shared" si="7"/>
        <v>5</v>
      </c>
      <c r="P10" s="182" t="str">
        <f t="shared" ca="1" si="8"/>
        <v>Sincronizado</v>
      </c>
      <c r="R10" s="172" t="s">
        <v>382</v>
      </c>
      <c r="S10" s="173" t="s">
        <v>48</v>
      </c>
      <c r="T10" s="174" t="s">
        <v>383</v>
      </c>
      <c r="U10" s="175">
        <v>14009</v>
      </c>
      <c r="V10" s="176">
        <v>2255</v>
      </c>
      <c r="W10" s="176">
        <v>2321.2800000000002</v>
      </c>
      <c r="X10" s="176">
        <v>887.18</v>
      </c>
      <c r="Y10" s="177">
        <f t="shared" si="3"/>
        <v>0.33194458324410503</v>
      </c>
      <c r="AA10" s="176">
        <v>3644.9279999999999</v>
      </c>
      <c r="AB10" s="178">
        <f t="shared" si="9"/>
        <v>0.26035199999999997</v>
      </c>
    </row>
    <row r="11" spans="1:28" x14ac:dyDescent="0.25">
      <c r="A11" s="160" t="s">
        <v>232</v>
      </c>
      <c r="B11" s="161" t="s">
        <v>58</v>
      </c>
      <c r="C11" s="162" t="str">
        <f t="shared" si="4"/>
        <v>BAInhambupe</v>
      </c>
      <c r="D11" s="49" t="str">
        <f t="shared" ca="1" si="0"/>
        <v>Cadastro ok</v>
      </c>
      <c r="E11" s="179" t="s">
        <v>370</v>
      </c>
      <c r="F11" s="165">
        <f t="shared" si="5"/>
        <v>0</v>
      </c>
      <c r="G11" s="165">
        <f t="shared" si="6"/>
        <v>0</v>
      </c>
      <c r="H11" s="166" t="s">
        <v>374</v>
      </c>
      <c r="I11" s="167">
        <f t="shared" si="1"/>
        <v>0.73</v>
      </c>
      <c r="J11" s="166" t="s">
        <v>378</v>
      </c>
      <c r="K11" s="168">
        <f t="shared" si="2"/>
        <v>0.16</v>
      </c>
      <c r="M11" s="180" t="s">
        <v>50</v>
      </c>
      <c r="N11" s="181">
        <f t="shared" ca="1" si="10"/>
        <v>4</v>
      </c>
      <c r="O11" s="181">
        <f t="shared" si="7"/>
        <v>4</v>
      </c>
      <c r="P11" s="182" t="str">
        <f t="shared" ca="1" si="8"/>
        <v>Sincronizado</v>
      </c>
      <c r="R11" s="172" t="s">
        <v>384</v>
      </c>
      <c r="S11" s="173" t="s">
        <v>58</v>
      </c>
      <c r="T11" s="174" t="s">
        <v>370</v>
      </c>
      <c r="U11" s="184"/>
      <c r="V11" s="185"/>
      <c r="W11" s="185"/>
      <c r="X11" s="185"/>
      <c r="Y11" s="177"/>
      <c r="AA11" s="185"/>
      <c r="AB11" s="178">
        <f t="shared" si="9"/>
        <v>0</v>
      </c>
    </row>
    <row r="12" spans="1:28" x14ac:dyDescent="0.25">
      <c r="A12" s="160" t="s">
        <v>240</v>
      </c>
      <c r="B12" s="161" t="s">
        <v>58</v>
      </c>
      <c r="C12" s="162" t="str">
        <f t="shared" si="4"/>
        <v>BAItabuna</v>
      </c>
      <c r="D12" s="49" t="str">
        <f t="shared" ca="1" si="0"/>
        <v>Cadastro ok</v>
      </c>
      <c r="E12" s="179" t="s">
        <v>370</v>
      </c>
      <c r="F12" s="165">
        <f t="shared" si="5"/>
        <v>0</v>
      </c>
      <c r="G12" s="165">
        <f t="shared" si="6"/>
        <v>0</v>
      </c>
      <c r="H12" s="166" t="s">
        <v>376</v>
      </c>
      <c r="I12" s="167">
        <f t="shared" si="1"/>
        <v>0.6</v>
      </c>
      <c r="J12" s="166" t="s">
        <v>378</v>
      </c>
      <c r="K12" s="168">
        <f t="shared" si="2"/>
        <v>0.16</v>
      </c>
      <c r="M12" s="180" t="s">
        <v>46</v>
      </c>
      <c r="N12" s="181">
        <f t="shared" ca="1" si="10"/>
        <v>3</v>
      </c>
      <c r="O12" s="181">
        <f t="shared" si="7"/>
        <v>3</v>
      </c>
      <c r="P12" s="182" t="str">
        <f t="shared" ca="1" si="8"/>
        <v>Sincronizado</v>
      </c>
      <c r="R12" s="172"/>
      <c r="S12" s="173"/>
      <c r="T12" s="174"/>
      <c r="U12" s="184"/>
      <c r="V12" s="185"/>
      <c r="W12" s="185"/>
      <c r="X12" s="185"/>
      <c r="Y12" s="177"/>
      <c r="AA12" s="185"/>
      <c r="AB12" s="178">
        <f t="shared" si="9"/>
        <v>0</v>
      </c>
    </row>
    <row r="13" spans="1:28" x14ac:dyDescent="0.25">
      <c r="A13" s="160" t="s">
        <v>247</v>
      </c>
      <c r="B13" s="161" t="s">
        <v>58</v>
      </c>
      <c r="C13" s="162" t="str">
        <f t="shared" si="4"/>
        <v>BAJuazeiro</v>
      </c>
      <c r="D13" s="49" t="str">
        <f t="shared" ca="1" si="0"/>
        <v>Cadastro ok</v>
      </c>
      <c r="E13" s="179" t="s">
        <v>370</v>
      </c>
      <c r="F13" s="165">
        <f t="shared" si="5"/>
        <v>0</v>
      </c>
      <c r="G13" s="165">
        <f t="shared" si="6"/>
        <v>0</v>
      </c>
      <c r="H13" s="166" t="s">
        <v>376</v>
      </c>
      <c r="I13" s="167">
        <f t="shared" si="1"/>
        <v>0.6</v>
      </c>
      <c r="J13" s="166" t="s">
        <v>378</v>
      </c>
      <c r="K13" s="168">
        <f t="shared" si="2"/>
        <v>0.16</v>
      </c>
      <c r="M13" s="180" t="s">
        <v>45</v>
      </c>
      <c r="N13" s="181">
        <f t="shared" ca="1" si="10"/>
        <v>4</v>
      </c>
      <c r="O13" s="181">
        <f t="shared" si="7"/>
        <v>4</v>
      </c>
      <c r="P13" s="182" t="str">
        <f t="shared" ca="1" si="8"/>
        <v>Sincronizado</v>
      </c>
      <c r="R13" s="172"/>
      <c r="S13" s="173"/>
      <c r="T13" s="174"/>
      <c r="U13" s="184"/>
      <c r="V13" s="185"/>
      <c r="W13" s="185"/>
      <c r="X13" s="185"/>
      <c r="Y13" s="177"/>
      <c r="AA13" s="185"/>
      <c r="AB13" s="178">
        <f t="shared" si="9"/>
        <v>0</v>
      </c>
    </row>
    <row r="14" spans="1:28" x14ac:dyDescent="0.25">
      <c r="A14" s="160" t="s">
        <v>267</v>
      </c>
      <c r="B14" s="161" t="s">
        <v>58</v>
      </c>
      <c r="C14" s="162" t="str">
        <f t="shared" si="4"/>
        <v>BALauro de Freitas</v>
      </c>
      <c r="D14" s="49" t="str">
        <f t="shared" ca="1" si="0"/>
        <v>Cadastro ok</v>
      </c>
      <c r="E14" s="179" t="s">
        <v>370</v>
      </c>
      <c r="F14" s="165">
        <f t="shared" si="5"/>
        <v>0</v>
      </c>
      <c r="G14" s="165">
        <f t="shared" si="6"/>
        <v>0</v>
      </c>
      <c r="H14" s="166" t="s">
        <v>394</v>
      </c>
      <c r="I14" s="167">
        <f t="shared" si="1"/>
        <v>0.2</v>
      </c>
      <c r="J14" s="166" t="s">
        <v>379</v>
      </c>
      <c r="K14" s="168">
        <f t="shared" si="2"/>
        <v>0.05</v>
      </c>
      <c r="M14" s="180" t="s">
        <v>59</v>
      </c>
      <c r="N14" s="181">
        <f t="shared" ca="1" si="10"/>
        <v>13</v>
      </c>
      <c r="O14" s="181">
        <f t="shared" si="7"/>
        <v>13</v>
      </c>
      <c r="P14" s="182" t="str">
        <f t="shared" ca="1" si="8"/>
        <v>Sincronizado</v>
      </c>
      <c r="R14" s="172"/>
      <c r="S14" s="173"/>
      <c r="T14" s="174"/>
      <c r="U14" s="184"/>
      <c r="V14" s="185"/>
      <c r="W14" s="185"/>
      <c r="X14" s="185"/>
      <c r="Y14" s="177"/>
      <c r="AA14" s="185"/>
      <c r="AB14" s="178">
        <f t="shared" si="9"/>
        <v>0</v>
      </c>
    </row>
    <row r="15" spans="1:28" x14ac:dyDescent="0.25">
      <c r="A15" s="160" t="s">
        <v>253</v>
      </c>
      <c r="B15" s="161" t="s">
        <v>58</v>
      </c>
      <c r="C15" s="162" t="str">
        <f t="shared" si="4"/>
        <v>BALuís Eduardo Magalhães</v>
      </c>
      <c r="D15" s="49" t="str">
        <f t="shared" ca="1" si="0"/>
        <v>Cadastro ok</v>
      </c>
      <c r="E15" s="179" t="s">
        <v>370</v>
      </c>
      <c r="F15" s="165">
        <f t="shared" si="5"/>
        <v>0</v>
      </c>
      <c r="G15" s="165">
        <f t="shared" si="6"/>
        <v>0</v>
      </c>
      <c r="H15" s="166" t="s">
        <v>374</v>
      </c>
      <c r="I15" s="167">
        <f t="shared" si="1"/>
        <v>0.73</v>
      </c>
      <c r="J15" s="166" t="s">
        <v>378</v>
      </c>
      <c r="K15" s="168">
        <f t="shared" si="2"/>
        <v>0.16</v>
      </c>
      <c r="M15" s="180" t="s">
        <v>44</v>
      </c>
      <c r="N15" s="181">
        <f t="shared" ca="1" si="10"/>
        <v>3</v>
      </c>
      <c r="O15" s="181">
        <f t="shared" si="7"/>
        <v>3</v>
      </c>
      <c r="P15" s="182" t="str">
        <f t="shared" ca="1" si="8"/>
        <v>Sincronizado</v>
      </c>
      <c r="R15" s="172"/>
      <c r="S15" s="173"/>
      <c r="T15" s="174"/>
      <c r="U15" s="184"/>
      <c r="V15" s="185"/>
      <c r="W15" s="185"/>
      <c r="X15" s="185"/>
      <c r="Y15" s="177"/>
      <c r="AA15" s="185"/>
      <c r="AB15" s="178">
        <f t="shared" si="9"/>
        <v>0</v>
      </c>
    </row>
    <row r="16" spans="1:28" x14ac:dyDescent="0.25">
      <c r="A16" s="160" t="s">
        <v>258</v>
      </c>
      <c r="B16" s="161" t="s">
        <v>58</v>
      </c>
      <c r="C16" s="162" t="str">
        <f t="shared" si="4"/>
        <v>BAPaulo Afonso</v>
      </c>
      <c r="D16" s="49" t="str">
        <f t="shared" ca="1" si="0"/>
        <v>Cadastro ok</v>
      </c>
      <c r="E16" s="179" t="s">
        <v>370</v>
      </c>
      <c r="F16" s="165">
        <f t="shared" si="5"/>
        <v>0</v>
      </c>
      <c r="G16" s="165">
        <f t="shared" si="6"/>
        <v>0</v>
      </c>
      <c r="H16" s="166" t="s">
        <v>374</v>
      </c>
      <c r="I16" s="167">
        <f t="shared" si="1"/>
        <v>0.73</v>
      </c>
      <c r="J16" s="166" t="s">
        <v>378</v>
      </c>
      <c r="K16" s="168">
        <f t="shared" si="2"/>
        <v>0.16</v>
      </c>
      <c r="M16" s="180" t="s">
        <v>54</v>
      </c>
      <c r="N16" s="181">
        <f t="shared" ca="1" si="10"/>
        <v>4</v>
      </c>
      <c r="O16" s="181">
        <f t="shared" si="7"/>
        <v>4</v>
      </c>
      <c r="P16" s="182" t="str">
        <f t="shared" ca="1" si="8"/>
        <v>Sincronizado</v>
      </c>
      <c r="R16" s="172"/>
      <c r="S16" s="173"/>
      <c r="T16" s="174"/>
      <c r="U16" s="184"/>
      <c r="V16" s="185"/>
      <c r="W16" s="185"/>
      <c r="X16" s="185"/>
      <c r="Y16" s="177"/>
      <c r="AA16" s="185"/>
      <c r="AB16" s="178">
        <f t="shared" si="9"/>
        <v>0</v>
      </c>
    </row>
    <row r="17" spans="1:28" x14ac:dyDescent="0.25">
      <c r="A17" s="160" t="s">
        <v>261</v>
      </c>
      <c r="B17" s="161" t="s">
        <v>58</v>
      </c>
      <c r="C17" s="162" t="str">
        <f t="shared" si="4"/>
        <v>BASalvador</v>
      </c>
      <c r="D17" s="49" t="str">
        <f t="shared" ca="1" si="0"/>
        <v>Cadastro ok</v>
      </c>
      <c r="E17" s="179" t="s">
        <v>370</v>
      </c>
      <c r="F17" s="165">
        <f t="shared" si="5"/>
        <v>0</v>
      </c>
      <c r="G17" s="165">
        <f t="shared" si="6"/>
        <v>0</v>
      </c>
      <c r="H17" s="166" t="s">
        <v>394</v>
      </c>
      <c r="I17" s="167">
        <f t="shared" si="1"/>
        <v>0.2</v>
      </c>
      <c r="J17" s="166" t="s">
        <v>379</v>
      </c>
      <c r="K17" s="168">
        <f t="shared" si="2"/>
        <v>0.05</v>
      </c>
      <c r="M17" s="180" t="s">
        <v>63</v>
      </c>
      <c r="N17" s="181">
        <f t="shared" ca="1" si="10"/>
        <v>9</v>
      </c>
      <c r="O17" s="181">
        <f t="shared" si="7"/>
        <v>9</v>
      </c>
      <c r="P17" s="182" t="str">
        <f t="shared" ca="1" si="8"/>
        <v>Sincronizado</v>
      </c>
      <c r="R17" s="172"/>
      <c r="S17" s="173"/>
      <c r="T17" s="174"/>
      <c r="U17" s="184"/>
      <c r="V17" s="185"/>
      <c r="W17" s="185"/>
      <c r="X17" s="185"/>
      <c r="Y17" s="177"/>
      <c r="AA17" s="185"/>
      <c r="AB17" s="178">
        <f t="shared" si="9"/>
        <v>0</v>
      </c>
    </row>
    <row r="18" spans="1:28" x14ac:dyDescent="0.25">
      <c r="A18" s="160" t="s">
        <v>264</v>
      </c>
      <c r="B18" s="161" t="s">
        <v>58</v>
      </c>
      <c r="C18" s="162" t="str">
        <f t="shared" si="4"/>
        <v>BAVitória da Conquista</v>
      </c>
      <c r="D18" s="49" t="str">
        <f t="shared" ca="1" si="0"/>
        <v>Cadastro ok</v>
      </c>
      <c r="E18" s="179" t="s">
        <v>370</v>
      </c>
      <c r="F18" s="165">
        <f t="shared" si="5"/>
        <v>0</v>
      </c>
      <c r="G18" s="165">
        <f t="shared" si="6"/>
        <v>0</v>
      </c>
      <c r="H18" s="166" t="s">
        <v>385</v>
      </c>
      <c r="I18" s="167">
        <f t="shared" si="1"/>
        <v>0.9</v>
      </c>
      <c r="J18" s="166" t="s">
        <v>378</v>
      </c>
      <c r="K18" s="168">
        <f t="shared" si="2"/>
        <v>0.16</v>
      </c>
      <c r="M18" s="180" t="s">
        <v>55</v>
      </c>
      <c r="N18" s="181">
        <f t="shared" ca="1" si="10"/>
        <v>8</v>
      </c>
      <c r="O18" s="181">
        <f t="shared" ref="O18:O26" si="11">COUNTIF($B$4:$B$126,M18)</f>
        <v>6</v>
      </c>
      <c r="P18" s="182" t="str">
        <f t="shared" ca="1" si="8"/>
        <v>Rever</v>
      </c>
    </row>
    <row r="19" spans="1:28" ht="18.75" x14ac:dyDescent="0.3">
      <c r="A19" s="160" t="s">
        <v>209</v>
      </c>
      <c r="B19" s="161" t="s">
        <v>52</v>
      </c>
      <c r="C19" s="162" t="str">
        <f t="shared" si="4"/>
        <v>CEFortaleza</v>
      </c>
      <c r="D19" s="49" t="str">
        <f t="shared" ca="1" si="0"/>
        <v>Cadastro ok</v>
      </c>
      <c r="E19" s="179" t="s">
        <v>370</v>
      </c>
      <c r="F19" s="165">
        <f t="shared" si="5"/>
        <v>0</v>
      </c>
      <c r="G19" s="165">
        <f t="shared" si="6"/>
        <v>0</v>
      </c>
      <c r="H19" s="166" t="s">
        <v>376</v>
      </c>
      <c r="I19" s="167">
        <f t="shared" si="1"/>
        <v>0.6</v>
      </c>
      <c r="J19" s="166" t="s">
        <v>406</v>
      </c>
      <c r="K19" s="168">
        <f t="shared" si="2"/>
        <v>0.21</v>
      </c>
      <c r="M19" s="180" t="s">
        <v>51</v>
      </c>
      <c r="N19" s="181">
        <f t="shared" ca="1" si="10"/>
        <v>1</v>
      </c>
      <c r="O19" s="181">
        <f t="shared" si="11"/>
        <v>1</v>
      </c>
      <c r="P19" s="182" t="str">
        <f t="shared" ca="1" si="8"/>
        <v>Sincronizado</v>
      </c>
      <c r="R19" s="147" t="s">
        <v>386</v>
      </c>
    </row>
    <row r="20" spans="1:28" x14ac:dyDescent="0.25">
      <c r="A20" s="160" t="s">
        <v>145</v>
      </c>
      <c r="B20" s="161" t="s">
        <v>52</v>
      </c>
      <c r="C20" s="162" t="str">
        <f t="shared" si="4"/>
        <v>CEJuazeiro do Norte</v>
      </c>
      <c r="D20" s="49" t="str">
        <f t="shared" ca="1" si="0"/>
        <v>Cadastro ok</v>
      </c>
      <c r="E20" s="179" t="s">
        <v>370</v>
      </c>
      <c r="F20" s="165">
        <f t="shared" si="5"/>
        <v>0</v>
      </c>
      <c r="G20" s="165">
        <f t="shared" si="6"/>
        <v>0</v>
      </c>
      <c r="H20" s="166" t="s">
        <v>385</v>
      </c>
      <c r="I20" s="167">
        <f t="shared" si="1"/>
        <v>0.9</v>
      </c>
      <c r="J20" s="166" t="s">
        <v>406</v>
      </c>
      <c r="K20" s="168">
        <f t="shared" si="2"/>
        <v>0.21</v>
      </c>
      <c r="M20" s="180" t="s">
        <v>61</v>
      </c>
      <c r="N20" s="181">
        <f t="shared" ca="1" si="10"/>
        <v>9</v>
      </c>
      <c r="O20" s="181">
        <f t="shared" si="11"/>
        <v>8</v>
      </c>
      <c r="P20" s="182" t="str">
        <f t="shared" ca="1" si="8"/>
        <v>Rever</v>
      </c>
      <c r="R20" t="s">
        <v>387</v>
      </c>
      <c r="T20" s="186">
        <v>23</v>
      </c>
    </row>
    <row r="21" spans="1:28" x14ac:dyDescent="0.25">
      <c r="A21" s="160" t="s">
        <v>167</v>
      </c>
      <c r="B21" s="161" t="s">
        <v>52</v>
      </c>
      <c r="C21" s="162" t="str">
        <f t="shared" si="4"/>
        <v>CESobral</v>
      </c>
      <c r="D21" s="49" t="str">
        <f t="shared" ca="1" si="0"/>
        <v>Cadastro ok</v>
      </c>
      <c r="E21" s="179" t="s">
        <v>370</v>
      </c>
      <c r="F21" s="165">
        <f t="shared" si="5"/>
        <v>0</v>
      </c>
      <c r="G21" s="165">
        <f t="shared" si="6"/>
        <v>0</v>
      </c>
      <c r="H21" s="166" t="s">
        <v>385</v>
      </c>
      <c r="I21" s="167">
        <f t="shared" si="1"/>
        <v>0.9</v>
      </c>
      <c r="J21" s="166" t="s">
        <v>406</v>
      </c>
      <c r="K21" s="168">
        <f t="shared" si="2"/>
        <v>0.21</v>
      </c>
      <c r="M21" s="180" t="s">
        <v>53</v>
      </c>
      <c r="N21" s="181">
        <f t="shared" ca="1" si="10"/>
        <v>4</v>
      </c>
      <c r="O21" s="181">
        <f t="shared" si="11"/>
        <v>3</v>
      </c>
      <c r="P21" s="182" t="str">
        <f t="shared" ca="1" si="8"/>
        <v>Rever</v>
      </c>
    </row>
    <row r="22" spans="1:28" ht="18.75" x14ac:dyDescent="0.3">
      <c r="A22" s="160" t="s">
        <v>146</v>
      </c>
      <c r="B22" s="161" t="s">
        <v>49</v>
      </c>
      <c r="C22" s="162" t="str">
        <f t="shared" si="4"/>
        <v>DFBrasília</v>
      </c>
      <c r="D22" s="49" t="str">
        <f t="shared" ca="1" si="0"/>
        <v>Cadastro ok</v>
      </c>
      <c r="E22" s="179" t="s">
        <v>370</v>
      </c>
      <c r="F22" s="165">
        <f t="shared" si="5"/>
        <v>0</v>
      </c>
      <c r="G22" s="165">
        <f t="shared" si="6"/>
        <v>0</v>
      </c>
      <c r="H22" s="166" t="s">
        <v>385</v>
      </c>
      <c r="I22" s="167">
        <f t="shared" si="1"/>
        <v>0.9</v>
      </c>
      <c r="J22" s="166" t="s">
        <v>406</v>
      </c>
      <c r="K22" s="168">
        <f t="shared" si="2"/>
        <v>0.21</v>
      </c>
      <c r="M22" s="180" t="s">
        <v>65</v>
      </c>
      <c r="N22" s="181">
        <f t="shared" ca="1" si="10"/>
        <v>6</v>
      </c>
      <c r="O22" s="181">
        <f t="shared" si="11"/>
        <v>6</v>
      </c>
      <c r="P22" s="182" t="str">
        <f t="shared" ca="1" si="8"/>
        <v>Sincronizado</v>
      </c>
      <c r="R22" s="147" t="s">
        <v>388</v>
      </c>
    </row>
    <row r="23" spans="1:28" x14ac:dyDescent="0.25">
      <c r="A23" s="160" t="s">
        <v>147</v>
      </c>
      <c r="B23" s="161" t="s">
        <v>60</v>
      </c>
      <c r="C23" s="162" t="str">
        <f t="shared" si="4"/>
        <v>ESAnchieta</v>
      </c>
      <c r="D23" s="49" t="str">
        <f t="shared" ca="1" si="0"/>
        <v>Cadastro ok</v>
      </c>
      <c r="E23" s="179" t="s">
        <v>370</v>
      </c>
      <c r="F23" s="165">
        <f t="shared" si="5"/>
        <v>0</v>
      </c>
      <c r="G23" s="165">
        <f t="shared" si="6"/>
        <v>0</v>
      </c>
      <c r="H23" s="166" t="s">
        <v>385</v>
      </c>
      <c r="I23" s="167">
        <f t="shared" si="1"/>
        <v>0.9</v>
      </c>
      <c r="J23" s="166" t="s">
        <v>394</v>
      </c>
      <c r="K23" s="168">
        <f t="shared" si="2"/>
        <v>0.2</v>
      </c>
      <c r="M23" s="180" t="s">
        <v>64</v>
      </c>
      <c r="N23" s="181">
        <f t="shared" ca="1" si="10"/>
        <v>7</v>
      </c>
      <c r="O23" s="181">
        <f t="shared" si="11"/>
        <v>7</v>
      </c>
      <c r="P23" s="182" t="str">
        <f t="shared" ca="1" si="8"/>
        <v>Sincronizado</v>
      </c>
      <c r="R23" s="187" t="s">
        <v>390</v>
      </c>
      <c r="S23" s="188" t="s">
        <v>391</v>
      </c>
      <c r="T23" s="189" t="s">
        <v>392</v>
      </c>
      <c r="U23" s="190" t="s">
        <v>393</v>
      </c>
    </row>
    <row r="24" spans="1:28" x14ac:dyDescent="0.25">
      <c r="A24" s="160" t="s">
        <v>168</v>
      </c>
      <c r="B24" s="161" t="s">
        <v>60</v>
      </c>
      <c r="C24" s="162" t="str">
        <f t="shared" si="4"/>
        <v>ESAracruz</v>
      </c>
      <c r="D24" s="49" t="str">
        <f t="shared" ca="1" si="0"/>
        <v>Cadastro ok</v>
      </c>
      <c r="E24" s="179" t="s">
        <v>370</v>
      </c>
      <c r="F24" s="165">
        <f t="shared" si="5"/>
        <v>0</v>
      </c>
      <c r="G24" s="165">
        <f t="shared" si="6"/>
        <v>0</v>
      </c>
      <c r="H24" s="166" t="s">
        <v>385</v>
      </c>
      <c r="I24" s="167">
        <f t="shared" si="1"/>
        <v>0.9</v>
      </c>
      <c r="J24" s="166" t="s">
        <v>394</v>
      </c>
      <c r="K24" s="168">
        <f t="shared" si="2"/>
        <v>0.2</v>
      </c>
      <c r="M24" s="180" t="s">
        <v>62</v>
      </c>
      <c r="N24" s="181">
        <f t="shared" ca="1" si="10"/>
        <v>22</v>
      </c>
      <c r="O24" s="181">
        <f t="shared" si="11"/>
        <v>22</v>
      </c>
      <c r="P24" s="182" t="str">
        <f t="shared" ca="1" si="8"/>
        <v>Sincronizado</v>
      </c>
      <c r="R24" s="191" t="str">
        <f>"Faixa A ("&amp;S24&amp;" a "&amp;T24&amp;")"</f>
        <v>Faixa A (0 a 0,05)</v>
      </c>
      <c r="S24" s="192">
        <v>0</v>
      </c>
      <c r="T24" s="193">
        <v>0.05</v>
      </c>
      <c r="U24" s="194">
        <f t="shared" ref="U24:U42" si="12">T24</f>
        <v>0.05</v>
      </c>
      <c r="V24" s="195" t="str">
        <f t="shared" ref="V24:V42" si="13">LEFT(R24,7)</f>
        <v>Faixa A</v>
      </c>
    </row>
    <row r="25" spans="1:28" x14ac:dyDescent="0.25">
      <c r="A25" s="160" t="s">
        <v>192</v>
      </c>
      <c r="B25" s="161" t="s">
        <v>60</v>
      </c>
      <c r="C25" s="162" t="str">
        <f t="shared" si="4"/>
        <v>ESLinhares</v>
      </c>
      <c r="D25" s="49" t="str">
        <f t="shared" ca="1" si="0"/>
        <v>Cadastro ok</v>
      </c>
      <c r="E25" s="179" t="s">
        <v>370</v>
      </c>
      <c r="F25" s="165">
        <f t="shared" si="5"/>
        <v>0</v>
      </c>
      <c r="G25" s="165">
        <f t="shared" si="6"/>
        <v>0</v>
      </c>
      <c r="H25" s="166" t="s">
        <v>385</v>
      </c>
      <c r="I25" s="167">
        <f t="shared" si="1"/>
        <v>0.9</v>
      </c>
      <c r="J25" s="166" t="s">
        <v>394</v>
      </c>
      <c r="K25" s="168">
        <f t="shared" si="2"/>
        <v>0.2</v>
      </c>
      <c r="M25" s="180" t="s">
        <v>57</v>
      </c>
      <c r="N25" s="181">
        <f t="shared" ca="1" si="10"/>
        <v>1</v>
      </c>
      <c r="O25" s="181">
        <f t="shared" si="11"/>
        <v>1</v>
      </c>
      <c r="P25" s="182" t="str">
        <f t="shared" ca="1" si="8"/>
        <v>Sincronizado</v>
      </c>
      <c r="R25" s="191" t="str">
        <f>"Faixa B ("&amp;S25&amp;" a "&amp;T25&amp;")"</f>
        <v>Faixa B (0,06 a 0,11)</v>
      </c>
      <c r="S25" s="192">
        <f t="shared" ref="S25:S32" si="14">T24+0.01</f>
        <v>6.0000000000000005E-2</v>
      </c>
      <c r="T25" s="193">
        <v>0.11</v>
      </c>
      <c r="U25" s="194">
        <f t="shared" si="12"/>
        <v>0.11</v>
      </c>
      <c r="V25" s="195" t="str">
        <f t="shared" si="13"/>
        <v>Faixa B</v>
      </c>
    </row>
    <row r="26" spans="1:28" x14ac:dyDescent="0.25">
      <c r="A26" s="160" t="s">
        <v>210</v>
      </c>
      <c r="B26" s="161" t="s">
        <v>60</v>
      </c>
      <c r="C26" s="162" t="str">
        <f t="shared" si="4"/>
        <v>ESVila Velha</v>
      </c>
      <c r="D26" s="49" t="str">
        <f t="shared" ca="1" si="0"/>
        <v>Cadastro ok</v>
      </c>
      <c r="E26" s="179" t="s">
        <v>370</v>
      </c>
      <c r="F26" s="165">
        <f t="shared" si="5"/>
        <v>0</v>
      </c>
      <c r="G26" s="165">
        <f t="shared" si="6"/>
        <v>0</v>
      </c>
      <c r="H26" s="166" t="s">
        <v>385</v>
      </c>
      <c r="I26" s="167">
        <f t="shared" si="1"/>
        <v>0.9</v>
      </c>
      <c r="J26" s="166" t="s">
        <v>394</v>
      </c>
      <c r="K26" s="168">
        <f t="shared" si="2"/>
        <v>0.2</v>
      </c>
      <c r="M26" s="196" t="s">
        <v>47</v>
      </c>
      <c r="N26" s="197">
        <f t="shared" ca="1" si="10"/>
        <v>3</v>
      </c>
      <c r="O26" s="197">
        <f t="shared" si="11"/>
        <v>2</v>
      </c>
      <c r="P26" s="198" t="str">
        <f t="shared" ca="1" si="8"/>
        <v>Rever</v>
      </c>
      <c r="R26" s="191" t="str">
        <f>"Faixa C ("&amp;S26&amp;" a "&amp;T26&amp;")"</f>
        <v>Faixa C (0,12 a 0,16)</v>
      </c>
      <c r="S26" s="192">
        <f t="shared" si="14"/>
        <v>0.12</v>
      </c>
      <c r="T26" s="193">
        <v>0.16</v>
      </c>
      <c r="U26" s="194">
        <f t="shared" si="12"/>
        <v>0.16</v>
      </c>
      <c r="V26" s="195" t="str">
        <f t="shared" si="13"/>
        <v>Faixa C</v>
      </c>
    </row>
    <row r="27" spans="1:28" x14ac:dyDescent="0.25">
      <c r="A27" s="160" t="s">
        <v>224</v>
      </c>
      <c r="B27" s="161" t="s">
        <v>60</v>
      </c>
      <c r="C27" s="162" t="str">
        <f t="shared" si="4"/>
        <v>ESVitória</v>
      </c>
      <c r="D27" s="49" t="str">
        <f t="shared" ca="1" si="0"/>
        <v>Cadastro ok</v>
      </c>
      <c r="E27" s="179" t="s">
        <v>370</v>
      </c>
      <c r="F27" s="165">
        <f t="shared" si="5"/>
        <v>0</v>
      </c>
      <c r="G27" s="165">
        <f t="shared" si="6"/>
        <v>0</v>
      </c>
      <c r="H27" s="166" t="s">
        <v>385</v>
      </c>
      <c r="I27" s="167">
        <f t="shared" si="1"/>
        <v>0.9</v>
      </c>
      <c r="J27" s="166" t="s">
        <v>394</v>
      </c>
      <c r="K27" s="168">
        <f t="shared" si="2"/>
        <v>0.2</v>
      </c>
      <c r="R27" s="191" t="str">
        <f>"Faixa D ("&amp;S27&amp;" a "&amp;T27&amp;")"</f>
        <v>Faixa D (0,17 a 0,18)</v>
      </c>
      <c r="S27" s="192">
        <f t="shared" si="14"/>
        <v>0.17</v>
      </c>
      <c r="T27" s="193">
        <v>0.18</v>
      </c>
      <c r="U27" s="194">
        <f t="shared" si="12"/>
        <v>0.18</v>
      </c>
      <c r="V27" s="195" t="str">
        <f t="shared" si="13"/>
        <v>Faixa D</v>
      </c>
    </row>
    <row r="28" spans="1:28" x14ac:dyDescent="0.25">
      <c r="A28" s="160" t="s">
        <v>148</v>
      </c>
      <c r="B28" s="161" t="s">
        <v>48</v>
      </c>
      <c r="C28" s="162" t="str">
        <f t="shared" si="4"/>
        <v>GOAnápolis</v>
      </c>
      <c r="D28" s="49" t="str">
        <f t="shared" ca="1" si="0"/>
        <v>Cadastro ok</v>
      </c>
      <c r="E28" s="179" t="s">
        <v>370</v>
      </c>
      <c r="F28" s="165">
        <f t="shared" si="5"/>
        <v>0</v>
      </c>
      <c r="G28" s="165">
        <f t="shared" si="6"/>
        <v>0</v>
      </c>
      <c r="H28" s="166" t="s">
        <v>385</v>
      </c>
      <c r="I28" s="167">
        <f t="shared" si="1"/>
        <v>0.9</v>
      </c>
      <c r="J28" s="166" t="s">
        <v>395</v>
      </c>
      <c r="K28" s="168">
        <f t="shared" si="2"/>
        <v>0.3</v>
      </c>
      <c r="R28" s="191" t="str">
        <f>"Faixa E ("&amp;S28&amp;" a "&amp;T28&amp;")"</f>
        <v>Faixa E (0,19 a 0,2)</v>
      </c>
      <c r="S28" s="192">
        <f t="shared" si="14"/>
        <v>0.19</v>
      </c>
      <c r="T28" s="193">
        <v>0.2</v>
      </c>
      <c r="U28" s="194">
        <f t="shared" si="12"/>
        <v>0.2</v>
      </c>
      <c r="V28" s="195" t="str">
        <f t="shared" si="13"/>
        <v>Faixa E</v>
      </c>
    </row>
    <row r="29" spans="1:28" x14ac:dyDescent="0.25">
      <c r="A29" s="160" t="s">
        <v>169</v>
      </c>
      <c r="B29" s="161" t="s">
        <v>48</v>
      </c>
      <c r="C29" s="162" t="str">
        <f t="shared" si="4"/>
        <v>GOAparecida de Goiânia</v>
      </c>
      <c r="D29" s="49" t="str">
        <f t="shared" ca="1" si="0"/>
        <v>Cadastro ok</v>
      </c>
      <c r="E29" s="179" t="s">
        <v>370</v>
      </c>
      <c r="F29" s="165">
        <f t="shared" si="5"/>
        <v>0</v>
      </c>
      <c r="G29" s="165">
        <f t="shared" si="6"/>
        <v>0</v>
      </c>
      <c r="H29" s="166" t="s">
        <v>385</v>
      </c>
      <c r="I29" s="167">
        <f t="shared" si="1"/>
        <v>0.9</v>
      </c>
      <c r="J29" s="166" t="s">
        <v>395</v>
      </c>
      <c r="K29" s="168">
        <f t="shared" si="2"/>
        <v>0.3</v>
      </c>
      <c r="R29" s="191" t="str">
        <f>"Faixa F ("&amp;S29&amp;" a "&amp;T29&amp;")"</f>
        <v>Faixa F (0,21 a 0,21)</v>
      </c>
      <c r="S29" s="192">
        <f t="shared" si="14"/>
        <v>0.21000000000000002</v>
      </c>
      <c r="T29" s="193">
        <v>0.21</v>
      </c>
      <c r="U29" s="194">
        <f t="shared" si="12"/>
        <v>0.21</v>
      </c>
      <c r="V29" s="195" t="str">
        <f t="shared" si="13"/>
        <v>Faixa F</v>
      </c>
    </row>
    <row r="30" spans="1:28" x14ac:dyDescent="0.25">
      <c r="A30" s="160" t="s">
        <v>193</v>
      </c>
      <c r="B30" s="161" t="s">
        <v>48</v>
      </c>
      <c r="C30" s="162" t="str">
        <f t="shared" si="4"/>
        <v>GOCatalão</v>
      </c>
      <c r="D30" s="49" t="str">
        <f t="shared" ca="1" si="0"/>
        <v>Cadastro ok</v>
      </c>
      <c r="E30" s="179" t="s">
        <v>370</v>
      </c>
      <c r="F30" s="165">
        <f t="shared" si="5"/>
        <v>0</v>
      </c>
      <c r="G30" s="165">
        <f t="shared" si="6"/>
        <v>0</v>
      </c>
      <c r="H30" s="166" t="s">
        <v>385</v>
      </c>
      <c r="I30" s="167">
        <f t="shared" si="1"/>
        <v>0.9</v>
      </c>
      <c r="J30" s="166" t="s">
        <v>395</v>
      </c>
      <c r="K30" s="168">
        <f t="shared" si="2"/>
        <v>0.3</v>
      </c>
      <c r="R30" s="191" t="str">
        <f>"Faixa G ("&amp;S30&amp;" a "&amp;T30&amp;")"</f>
        <v>Faixa G (0,22 a 0,22)</v>
      </c>
      <c r="S30" s="192">
        <f t="shared" si="14"/>
        <v>0.22</v>
      </c>
      <c r="T30" s="193">
        <v>0.22</v>
      </c>
      <c r="U30" s="194">
        <f t="shared" si="12"/>
        <v>0.22</v>
      </c>
      <c r="V30" s="195" t="str">
        <f t="shared" si="13"/>
        <v>Faixa G</v>
      </c>
    </row>
    <row r="31" spans="1:28" x14ac:dyDescent="0.25">
      <c r="A31" s="160" t="s">
        <v>211</v>
      </c>
      <c r="B31" s="161" t="s">
        <v>48</v>
      </c>
      <c r="C31" s="162" t="str">
        <f t="shared" si="4"/>
        <v>GORio Verde</v>
      </c>
      <c r="D31" s="49" t="str">
        <f t="shared" ca="1" si="0"/>
        <v>Cadastro ok</v>
      </c>
      <c r="E31" s="179" t="s">
        <v>370</v>
      </c>
      <c r="F31" s="165">
        <f t="shared" si="5"/>
        <v>0</v>
      </c>
      <c r="G31" s="165">
        <f t="shared" si="6"/>
        <v>0</v>
      </c>
      <c r="H31" s="166" t="s">
        <v>385</v>
      </c>
      <c r="I31" s="167">
        <f t="shared" si="1"/>
        <v>0.9</v>
      </c>
      <c r="J31" s="166" t="s">
        <v>395</v>
      </c>
      <c r="K31" s="168">
        <f t="shared" si="2"/>
        <v>0.3</v>
      </c>
      <c r="L31" s="183"/>
      <c r="R31" s="191" t="str">
        <f>"Faixa H ("&amp;S31&amp;" a "&amp;T31&amp;")"</f>
        <v>Faixa H (0,23 a 0,24)</v>
      </c>
      <c r="S31" s="192">
        <f t="shared" si="14"/>
        <v>0.23</v>
      </c>
      <c r="T31" s="193">
        <v>0.24</v>
      </c>
      <c r="U31" s="194">
        <f t="shared" si="12"/>
        <v>0.24</v>
      </c>
      <c r="V31" s="195" t="str">
        <f t="shared" si="13"/>
        <v>Faixa H</v>
      </c>
    </row>
    <row r="32" spans="1:28" x14ac:dyDescent="0.25">
      <c r="A32" s="160" t="s">
        <v>225</v>
      </c>
      <c r="B32" s="161" t="s">
        <v>48</v>
      </c>
      <c r="C32" s="162" t="str">
        <f t="shared" si="4"/>
        <v>GOGoiânia</v>
      </c>
      <c r="D32" s="49" t="str">
        <f t="shared" ca="1" si="0"/>
        <v>Cadastro ok</v>
      </c>
      <c r="E32" s="179" t="s">
        <v>370</v>
      </c>
      <c r="F32" s="165">
        <f t="shared" si="5"/>
        <v>0</v>
      </c>
      <c r="G32" s="165">
        <f t="shared" si="6"/>
        <v>0</v>
      </c>
      <c r="H32" s="166" t="s">
        <v>385</v>
      </c>
      <c r="I32" s="167">
        <f t="shared" si="1"/>
        <v>0.9</v>
      </c>
      <c r="J32" s="166" t="s">
        <v>395</v>
      </c>
      <c r="K32" s="168">
        <f t="shared" si="2"/>
        <v>0.3</v>
      </c>
      <c r="M32" s="199"/>
      <c r="R32" s="191" t="str">
        <f>"Faixa I ("&amp;S32&amp;" a "&amp;T32&amp;")"</f>
        <v>Faixa I (0,25 a 0,27)</v>
      </c>
      <c r="S32" s="192">
        <f t="shared" si="14"/>
        <v>0.25</v>
      </c>
      <c r="T32" s="193">
        <v>0.27</v>
      </c>
      <c r="U32" s="194">
        <f t="shared" si="12"/>
        <v>0.27</v>
      </c>
      <c r="V32" s="195" t="str">
        <f t="shared" si="13"/>
        <v>Faixa I</v>
      </c>
    </row>
    <row r="33" spans="1:23" x14ac:dyDescent="0.25">
      <c r="A33" s="160" t="s">
        <v>149</v>
      </c>
      <c r="B33" s="161" t="s">
        <v>50</v>
      </c>
      <c r="C33" s="162" t="str">
        <f t="shared" si="4"/>
        <v>MAAçailândia</v>
      </c>
      <c r="D33" s="49" t="str">
        <f t="shared" ca="1" si="0"/>
        <v>Cadastro ok</v>
      </c>
      <c r="E33" s="179" t="s">
        <v>370</v>
      </c>
      <c r="F33" s="165">
        <f t="shared" si="5"/>
        <v>0</v>
      </c>
      <c r="G33" s="165">
        <f t="shared" si="6"/>
        <v>0</v>
      </c>
      <c r="H33" s="166" t="s">
        <v>385</v>
      </c>
      <c r="I33" s="167">
        <f t="shared" si="1"/>
        <v>0.9</v>
      </c>
      <c r="J33" s="166" t="s">
        <v>371</v>
      </c>
      <c r="K33" s="168">
        <f t="shared" si="2"/>
        <v>0.36</v>
      </c>
      <c r="R33" s="191" t="str">
        <f>"Faixa J ("&amp;S33&amp;" a "&amp;T33&amp;")"</f>
        <v>Faixa J (0,22 a 0,3)</v>
      </c>
      <c r="S33" s="192">
        <f>T29+0.01</f>
        <v>0.22</v>
      </c>
      <c r="T33" s="193">
        <v>0.3</v>
      </c>
      <c r="U33" s="194">
        <f t="shared" si="12"/>
        <v>0.3</v>
      </c>
      <c r="V33" s="195" t="str">
        <f t="shared" si="13"/>
        <v>Faixa J</v>
      </c>
    </row>
    <row r="34" spans="1:23" x14ac:dyDescent="0.25">
      <c r="A34" s="160" t="s">
        <v>170</v>
      </c>
      <c r="B34" s="161" t="s">
        <v>50</v>
      </c>
      <c r="C34" s="162" t="str">
        <f t="shared" si="4"/>
        <v>MABalsas</v>
      </c>
      <c r="D34" s="49" t="str">
        <f t="shared" ca="1" si="0"/>
        <v>Cadastro ok</v>
      </c>
      <c r="E34" s="179" t="s">
        <v>370</v>
      </c>
      <c r="F34" s="165">
        <f t="shared" si="5"/>
        <v>0</v>
      </c>
      <c r="G34" s="165">
        <f t="shared" si="6"/>
        <v>0</v>
      </c>
      <c r="H34" s="166" t="s">
        <v>385</v>
      </c>
      <c r="I34" s="167">
        <f t="shared" si="1"/>
        <v>0.9</v>
      </c>
      <c r="J34" s="166" t="s">
        <v>371</v>
      </c>
      <c r="K34" s="168">
        <f t="shared" si="2"/>
        <v>0.36</v>
      </c>
      <c r="R34" s="191" t="str">
        <f>"Faixa K ("&amp;S34&amp;" a "&amp;T34&amp;")"</f>
        <v>Faixa K (0,31 a 0,36)</v>
      </c>
      <c r="S34" s="192">
        <f>T33+0.01</f>
        <v>0.31</v>
      </c>
      <c r="T34" s="193">
        <v>0.36</v>
      </c>
      <c r="U34" s="194">
        <f t="shared" si="12"/>
        <v>0.36</v>
      </c>
      <c r="V34" s="195" t="str">
        <f t="shared" si="13"/>
        <v>Faixa K</v>
      </c>
    </row>
    <row r="35" spans="1:23" x14ac:dyDescent="0.25">
      <c r="A35" s="160" t="s">
        <v>194</v>
      </c>
      <c r="B35" s="161" t="s">
        <v>50</v>
      </c>
      <c r="C35" s="162" t="str">
        <f t="shared" si="4"/>
        <v>MAImperatriz</v>
      </c>
      <c r="D35" s="49" t="str">
        <f t="shared" ca="1" si="0"/>
        <v>Cadastro ok</v>
      </c>
      <c r="E35" s="179" t="s">
        <v>370</v>
      </c>
      <c r="F35" s="165">
        <f t="shared" si="5"/>
        <v>0</v>
      </c>
      <c r="G35" s="165">
        <f t="shared" si="6"/>
        <v>0</v>
      </c>
      <c r="H35" s="166" t="s">
        <v>385</v>
      </c>
      <c r="I35" s="167">
        <f t="shared" si="1"/>
        <v>0.9</v>
      </c>
      <c r="J35" s="166" t="s">
        <v>371</v>
      </c>
      <c r="K35" s="168">
        <f t="shared" si="2"/>
        <v>0.36</v>
      </c>
      <c r="R35" s="191" t="str">
        <f>"Faixa L ("&amp;S35&amp;" a "&amp;T35&amp;")"</f>
        <v>Faixa L (0,37 a 0,37)</v>
      </c>
      <c r="S35" s="192">
        <f>T34+0.01</f>
        <v>0.37</v>
      </c>
      <c r="T35" s="193">
        <v>0.37</v>
      </c>
      <c r="U35" s="194">
        <f t="shared" si="12"/>
        <v>0.37</v>
      </c>
      <c r="V35" s="195" t="str">
        <f t="shared" si="13"/>
        <v>Faixa L</v>
      </c>
    </row>
    <row r="36" spans="1:23" x14ac:dyDescent="0.25">
      <c r="A36" s="160" t="s">
        <v>212</v>
      </c>
      <c r="B36" s="161" t="s">
        <v>50</v>
      </c>
      <c r="C36" s="162" t="str">
        <f t="shared" si="4"/>
        <v>MASão Luís</v>
      </c>
      <c r="D36" s="49" t="str">
        <f t="shared" ca="1" si="0"/>
        <v>Cadastro ok</v>
      </c>
      <c r="E36" s="179" t="s">
        <v>370</v>
      </c>
      <c r="F36" s="165">
        <f t="shared" si="5"/>
        <v>0</v>
      </c>
      <c r="G36" s="165">
        <f t="shared" si="6"/>
        <v>0</v>
      </c>
      <c r="H36" s="166" t="s">
        <v>385</v>
      </c>
      <c r="I36" s="167">
        <f t="shared" si="1"/>
        <v>0.9</v>
      </c>
      <c r="J36" s="166" t="s">
        <v>371</v>
      </c>
      <c r="K36" s="168">
        <f t="shared" si="2"/>
        <v>0.36</v>
      </c>
      <c r="R36" s="191" t="str">
        <f>"Faixa M ("&amp;S36&amp;" a "&amp;T36&amp;")"</f>
        <v>Faixa M (0,38 a 0,39)</v>
      </c>
      <c r="S36" s="192">
        <f t="shared" ref="S36:S42" si="15">T35+0.01</f>
        <v>0.38</v>
      </c>
      <c r="T36" s="193">
        <v>0.39</v>
      </c>
      <c r="U36" s="194">
        <f t="shared" si="12"/>
        <v>0.39</v>
      </c>
      <c r="V36" s="195" t="str">
        <f t="shared" si="13"/>
        <v>Faixa M</v>
      </c>
    </row>
    <row r="37" spans="1:23" x14ac:dyDescent="0.25">
      <c r="A37" s="160" t="s">
        <v>150</v>
      </c>
      <c r="B37" s="161" t="s">
        <v>46</v>
      </c>
      <c r="C37" s="162" t="str">
        <f t="shared" si="4"/>
        <v>MTCuiabá</v>
      </c>
      <c r="D37" s="49" t="str">
        <f t="shared" ca="1" si="0"/>
        <v>Cadastro ok</v>
      </c>
      <c r="E37" s="179" t="s">
        <v>370</v>
      </c>
      <c r="F37" s="165">
        <f t="shared" si="5"/>
        <v>0</v>
      </c>
      <c r="G37" s="165">
        <f t="shared" si="6"/>
        <v>0</v>
      </c>
      <c r="H37" s="166" t="s">
        <v>385</v>
      </c>
      <c r="I37" s="167">
        <f t="shared" si="1"/>
        <v>0.9</v>
      </c>
      <c r="J37" s="166" t="s">
        <v>371</v>
      </c>
      <c r="K37" s="168">
        <f t="shared" si="2"/>
        <v>0.36</v>
      </c>
      <c r="R37" s="191" t="str">
        <f>"Faixa N ("&amp;S37&amp;" a "&amp;T37&amp;")"</f>
        <v>Faixa N (0,4 a 0,4)</v>
      </c>
      <c r="S37" s="192">
        <f t="shared" si="15"/>
        <v>0.4</v>
      </c>
      <c r="T37" s="193">
        <v>0.4</v>
      </c>
      <c r="U37" s="194">
        <f t="shared" si="12"/>
        <v>0.4</v>
      </c>
      <c r="V37" s="195" t="str">
        <f t="shared" si="13"/>
        <v>Faixa N</v>
      </c>
    </row>
    <row r="38" spans="1:23" x14ac:dyDescent="0.25">
      <c r="A38" s="160" t="s">
        <v>171</v>
      </c>
      <c r="B38" s="161" t="s">
        <v>46</v>
      </c>
      <c r="C38" s="162" t="str">
        <f t="shared" si="4"/>
        <v>MTRondonópolis</v>
      </c>
      <c r="D38" s="49" t="str">
        <f t="shared" ca="1" si="0"/>
        <v>Cadastro ok</v>
      </c>
      <c r="E38" s="179" t="s">
        <v>370</v>
      </c>
      <c r="F38" s="165">
        <f t="shared" si="5"/>
        <v>0</v>
      </c>
      <c r="G38" s="165">
        <f t="shared" si="6"/>
        <v>0</v>
      </c>
      <c r="H38" s="166" t="s">
        <v>385</v>
      </c>
      <c r="I38" s="167">
        <f t="shared" si="1"/>
        <v>0.9</v>
      </c>
      <c r="J38" s="166" t="s">
        <v>371</v>
      </c>
      <c r="K38" s="168">
        <f t="shared" si="2"/>
        <v>0.36</v>
      </c>
      <c r="R38" s="191" t="str">
        <f>"Faixa O ("&amp;S38&amp;" a "&amp;T38&amp;")"</f>
        <v>Faixa O (0,41 a 0,45)</v>
      </c>
      <c r="S38" s="192">
        <f t="shared" si="15"/>
        <v>0.41000000000000003</v>
      </c>
      <c r="T38" s="193">
        <v>0.45</v>
      </c>
      <c r="U38" s="194">
        <f t="shared" si="12"/>
        <v>0.45</v>
      </c>
      <c r="V38" s="195" t="str">
        <f t="shared" si="13"/>
        <v>Faixa O</v>
      </c>
    </row>
    <row r="39" spans="1:23" x14ac:dyDescent="0.25">
      <c r="A39" s="160" t="s">
        <v>195</v>
      </c>
      <c r="B39" s="161" t="s">
        <v>46</v>
      </c>
      <c r="C39" s="162" t="str">
        <f t="shared" si="4"/>
        <v>MTSorriso</v>
      </c>
      <c r="D39" s="49" t="str">
        <f t="shared" ca="1" si="0"/>
        <v>Cadastro ok</v>
      </c>
      <c r="E39" s="179" t="s">
        <v>370</v>
      </c>
      <c r="F39" s="165">
        <f t="shared" si="5"/>
        <v>0</v>
      </c>
      <c r="G39" s="165">
        <f t="shared" si="6"/>
        <v>0</v>
      </c>
      <c r="H39" s="166" t="s">
        <v>385</v>
      </c>
      <c r="I39" s="167">
        <f t="shared" si="1"/>
        <v>0.9</v>
      </c>
      <c r="J39" s="166" t="s">
        <v>371</v>
      </c>
      <c r="K39" s="168">
        <f t="shared" si="2"/>
        <v>0.36</v>
      </c>
      <c r="R39" s="191" t="str">
        <f>"Faixa P ("&amp;S39&amp;" a "&amp;T39&amp;")"</f>
        <v>Faixa P (0,46 a 0,6)</v>
      </c>
      <c r="S39" s="192">
        <f t="shared" si="15"/>
        <v>0.46</v>
      </c>
      <c r="T39" s="193">
        <v>0.6</v>
      </c>
      <c r="U39" s="194">
        <f t="shared" si="12"/>
        <v>0.6</v>
      </c>
      <c r="V39" s="195" t="str">
        <f t="shared" si="13"/>
        <v>Faixa P</v>
      </c>
    </row>
    <row r="40" spans="1:23" x14ac:dyDescent="0.25">
      <c r="A40" s="160" t="s">
        <v>151</v>
      </c>
      <c r="B40" s="161" t="s">
        <v>45</v>
      </c>
      <c r="C40" s="162" t="str">
        <f t="shared" si="4"/>
        <v>MSCampo Grande</v>
      </c>
      <c r="D40" s="49" t="str">
        <f t="shared" ca="1" si="0"/>
        <v>Cadastro ok</v>
      </c>
      <c r="E40" s="179" t="s">
        <v>370</v>
      </c>
      <c r="F40" s="165">
        <f t="shared" si="5"/>
        <v>0</v>
      </c>
      <c r="G40" s="165">
        <f t="shared" si="6"/>
        <v>0</v>
      </c>
      <c r="H40" s="166" t="s">
        <v>385</v>
      </c>
      <c r="I40" s="167">
        <f t="shared" si="1"/>
        <v>0.9</v>
      </c>
      <c r="J40" s="166" t="s">
        <v>371</v>
      </c>
      <c r="K40" s="168">
        <f t="shared" si="2"/>
        <v>0.36</v>
      </c>
      <c r="R40" s="191" t="str">
        <f>"Faixa Q ("&amp;S40&amp;" a "&amp;T40&amp;")"</f>
        <v>Faixa Q (0,61 a 0,73)</v>
      </c>
      <c r="S40" s="192">
        <f t="shared" si="15"/>
        <v>0.61</v>
      </c>
      <c r="T40" s="193">
        <v>0.73</v>
      </c>
      <c r="U40" s="194">
        <f t="shared" si="12"/>
        <v>0.73</v>
      </c>
      <c r="V40" s="195" t="str">
        <f t="shared" si="13"/>
        <v>Faixa Q</v>
      </c>
    </row>
    <row r="41" spans="1:23" x14ac:dyDescent="0.25">
      <c r="A41" s="160" t="s">
        <v>172</v>
      </c>
      <c r="B41" s="161" t="s">
        <v>45</v>
      </c>
      <c r="C41" s="162" t="str">
        <f t="shared" si="4"/>
        <v>MSCorumbá</v>
      </c>
      <c r="D41" s="49" t="str">
        <f t="shared" ca="1" si="0"/>
        <v>Cadastro ok</v>
      </c>
      <c r="E41" s="179" t="s">
        <v>370</v>
      </c>
      <c r="F41" s="165">
        <f t="shared" si="5"/>
        <v>0</v>
      </c>
      <c r="G41" s="165">
        <f t="shared" si="6"/>
        <v>0</v>
      </c>
      <c r="H41" s="166" t="s">
        <v>385</v>
      </c>
      <c r="I41" s="167">
        <f t="shared" si="1"/>
        <v>0.9</v>
      </c>
      <c r="J41" s="166" t="s">
        <v>408</v>
      </c>
      <c r="K41" s="168">
        <f t="shared" si="2"/>
        <v>0.45</v>
      </c>
      <c r="R41" s="191" t="str">
        <f>"Faixa R ("&amp;S41&amp;" a "&amp;T41&amp;")"</f>
        <v>Faixa R (0,74 a 0,8)</v>
      </c>
      <c r="S41" s="192">
        <f t="shared" si="15"/>
        <v>0.74</v>
      </c>
      <c r="T41" s="193">
        <v>0.8</v>
      </c>
      <c r="U41" s="194">
        <f t="shared" si="12"/>
        <v>0.8</v>
      </c>
      <c r="V41" s="195" t="str">
        <f t="shared" si="13"/>
        <v>Faixa R</v>
      </c>
    </row>
    <row r="42" spans="1:23" x14ac:dyDescent="0.25">
      <c r="A42" s="160" t="s">
        <v>196</v>
      </c>
      <c r="B42" s="161" t="s">
        <v>45</v>
      </c>
      <c r="C42" s="162" t="str">
        <f t="shared" si="4"/>
        <v>MSDourados</v>
      </c>
      <c r="D42" s="49" t="str">
        <f t="shared" ca="1" si="0"/>
        <v>Cadastro ok</v>
      </c>
      <c r="E42" s="179" t="s">
        <v>370</v>
      </c>
      <c r="F42" s="165">
        <f t="shared" si="5"/>
        <v>0</v>
      </c>
      <c r="G42" s="165">
        <f t="shared" si="6"/>
        <v>0</v>
      </c>
      <c r="H42" s="166" t="s">
        <v>385</v>
      </c>
      <c r="I42" s="167">
        <f t="shared" si="1"/>
        <v>0.9</v>
      </c>
      <c r="J42" s="166" t="s">
        <v>408</v>
      </c>
      <c r="K42" s="168">
        <f t="shared" si="2"/>
        <v>0.45</v>
      </c>
      <c r="R42" s="200" t="str">
        <f>"Faixa S ("&amp;S42&amp;" a "&amp;T42&amp;")"</f>
        <v>Faixa S (0,81 a 0,9)</v>
      </c>
      <c r="S42" s="201">
        <f t="shared" si="15"/>
        <v>0.81</v>
      </c>
      <c r="T42" s="202">
        <v>0.9</v>
      </c>
      <c r="U42" s="203">
        <f t="shared" si="12"/>
        <v>0.9</v>
      </c>
      <c r="V42" s="195" t="str">
        <f t="shared" si="13"/>
        <v>Faixa S</v>
      </c>
    </row>
    <row r="43" spans="1:23" x14ac:dyDescent="0.25">
      <c r="A43" s="160" t="s">
        <v>213</v>
      </c>
      <c r="B43" s="161" t="s">
        <v>45</v>
      </c>
      <c r="C43" s="162" t="str">
        <f t="shared" si="4"/>
        <v>MSTrês Lagoas</v>
      </c>
      <c r="D43" s="49" t="str">
        <f t="shared" ca="1" si="0"/>
        <v>Cadastro ok</v>
      </c>
      <c r="E43" s="179" t="s">
        <v>370</v>
      </c>
      <c r="F43" s="165">
        <f t="shared" si="5"/>
        <v>0</v>
      </c>
      <c r="G43" s="165">
        <f t="shared" si="6"/>
        <v>0</v>
      </c>
      <c r="H43" s="166" t="s">
        <v>385</v>
      </c>
      <c r="I43" s="167">
        <f t="shared" si="1"/>
        <v>0.9</v>
      </c>
      <c r="J43" s="166" t="s">
        <v>408</v>
      </c>
      <c r="K43" s="168">
        <f t="shared" si="2"/>
        <v>0.45</v>
      </c>
    </row>
    <row r="44" spans="1:23" x14ac:dyDescent="0.25">
      <c r="A44" s="160" t="s">
        <v>152</v>
      </c>
      <c r="B44" s="161" t="s">
        <v>59</v>
      </c>
      <c r="C44" s="162" t="str">
        <f t="shared" si="4"/>
        <v>MGAraxá</v>
      </c>
      <c r="D44" s="49" t="str">
        <f t="shared" ca="1" si="0"/>
        <v>Cadastro ok</v>
      </c>
      <c r="E44" s="179" t="s">
        <v>370</v>
      </c>
      <c r="F44" s="165">
        <f t="shared" si="5"/>
        <v>0</v>
      </c>
      <c r="G44" s="165">
        <f t="shared" si="6"/>
        <v>0</v>
      </c>
      <c r="H44" s="166" t="s">
        <v>385</v>
      </c>
      <c r="I44" s="167">
        <f t="shared" si="1"/>
        <v>0.9</v>
      </c>
      <c r="J44" s="166" t="s">
        <v>406</v>
      </c>
      <c r="K44" s="168">
        <f t="shared" si="2"/>
        <v>0.21</v>
      </c>
    </row>
    <row r="45" spans="1:23" x14ac:dyDescent="0.25">
      <c r="A45" s="160" t="s">
        <v>173</v>
      </c>
      <c r="B45" s="161" t="s">
        <v>59</v>
      </c>
      <c r="C45" s="162" t="str">
        <f t="shared" si="4"/>
        <v>MGBelo Horizonte</v>
      </c>
      <c r="D45" s="49" t="str">
        <f t="shared" ca="1" si="0"/>
        <v>Cadastro ok</v>
      </c>
      <c r="E45" s="179" t="s">
        <v>370</v>
      </c>
      <c r="F45" s="165">
        <f t="shared" si="5"/>
        <v>0</v>
      </c>
      <c r="G45" s="165">
        <f t="shared" si="6"/>
        <v>0</v>
      </c>
      <c r="H45" s="166" t="s">
        <v>385</v>
      </c>
      <c r="I45" s="167">
        <f t="shared" si="1"/>
        <v>0.9</v>
      </c>
      <c r="J45" s="166" t="s">
        <v>406</v>
      </c>
      <c r="K45" s="168">
        <f t="shared" si="2"/>
        <v>0.21</v>
      </c>
    </row>
    <row r="46" spans="1:23" x14ac:dyDescent="0.25">
      <c r="A46" s="160" t="s">
        <v>197</v>
      </c>
      <c r="B46" s="161" t="s">
        <v>59</v>
      </c>
      <c r="C46" s="162" t="str">
        <f t="shared" si="4"/>
        <v>MGCongonhas</v>
      </c>
      <c r="D46" s="49" t="str">
        <f t="shared" ca="1" si="0"/>
        <v>Cadastro ok</v>
      </c>
      <c r="E46" s="179" t="s">
        <v>370</v>
      </c>
      <c r="F46" s="165">
        <f t="shared" si="5"/>
        <v>0</v>
      </c>
      <c r="G46" s="165">
        <f t="shared" si="6"/>
        <v>0</v>
      </c>
      <c r="H46" s="166" t="s">
        <v>385</v>
      </c>
      <c r="I46" s="167">
        <f t="shared" si="1"/>
        <v>0.9</v>
      </c>
      <c r="J46" s="166" t="s">
        <v>406</v>
      </c>
      <c r="K46" s="168">
        <f t="shared" si="2"/>
        <v>0.21</v>
      </c>
      <c r="N46" t="s">
        <v>279</v>
      </c>
      <c r="O46" t="s">
        <v>284</v>
      </c>
      <c r="P46" t="s">
        <v>184</v>
      </c>
      <c r="R46" t="s">
        <v>396</v>
      </c>
    </row>
    <row r="47" spans="1:23" x14ac:dyDescent="0.25">
      <c r="A47" s="160" t="s">
        <v>214</v>
      </c>
      <c r="B47" s="161" t="s">
        <v>59</v>
      </c>
      <c r="C47" s="162" t="str">
        <f t="shared" si="4"/>
        <v>MGDivinópolis</v>
      </c>
      <c r="D47" s="49" t="str">
        <f t="shared" ca="1" si="0"/>
        <v>Cadastro ok</v>
      </c>
      <c r="E47" s="179" t="s">
        <v>370</v>
      </c>
      <c r="F47" s="165">
        <f t="shared" si="5"/>
        <v>0</v>
      </c>
      <c r="G47" s="165">
        <f t="shared" si="6"/>
        <v>0</v>
      </c>
      <c r="H47" s="166" t="s">
        <v>385</v>
      </c>
      <c r="I47" s="167">
        <f t="shared" si="1"/>
        <v>0.9</v>
      </c>
      <c r="J47" s="166" t="s">
        <v>406</v>
      </c>
      <c r="K47" s="168">
        <f t="shared" si="2"/>
        <v>0.21</v>
      </c>
      <c r="N47" s="204" t="s">
        <v>149</v>
      </c>
      <c r="O47" s="205">
        <v>0.9</v>
      </c>
      <c r="P47" s="206" t="s">
        <v>50</v>
      </c>
      <c r="R47" t="s">
        <v>279</v>
      </c>
      <c r="S47">
        <v>14000</v>
      </c>
      <c r="T47">
        <v>25000</v>
      </c>
      <c r="U47" t="s">
        <v>397</v>
      </c>
      <c r="V47" t="s">
        <v>398</v>
      </c>
      <c r="W47" t="s">
        <v>184</v>
      </c>
    </row>
    <row r="48" spans="1:23" x14ac:dyDescent="0.25">
      <c r="A48" s="160" t="s">
        <v>226</v>
      </c>
      <c r="B48" s="161" t="s">
        <v>59</v>
      </c>
      <c r="C48" s="162" t="str">
        <f t="shared" si="4"/>
        <v>MGGovernador Valadares</v>
      </c>
      <c r="D48" s="49" t="str">
        <f t="shared" ca="1" si="0"/>
        <v>Cadastro ok</v>
      </c>
      <c r="E48" s="179" t="s">
        <v>370</v>
      </c>
      <c r="F48" s="165">
        <f t="shared" si="5"/>
        <v>0</v>
      </c>
      <c r="G48" s="165">
        <f t="shared" si="6"/>
        <v>0</v>
      </c>
      <c r="H48" s="166" t="s">
        <v>385</v>
      </c>
      <c r="I48" s="167">
        <f t="shared" si="1"/>
        <v>0.9</v>
      </c>
      <c r="J48" s="166" t="s">
        <v>406</v>
      </c>
      <c r="K48" s="168">
        <f t="shared" si="2"/>
        <v>0.21</v>
      </c>
      <c r="N48" s="207" t="s">
        <v>144</v>
      </c>
      <c r="O48" s="208">
        <v>0.45</v>
      </c>
      <c r="P48" s="206" t="s">
        <v>58</v>
      </c>
      <c r="R48" t="s">
        <v>240</v>
      </c>
      <c r="S48" s="1">
        <v>1290.32</v>
      </c>
      <c r="T48" s="1">
        <v>2193.5500000000002</v>
      </c>
      <c r="U48" s="2">
        <f t="shared" ref="U48:U76" si="16">S48/14000</f>
        <v>9.2165714285714281E-2</v>
      </c>
      <c r="V48" s="2">
        <f t="shared" ref="V48:V76" si="17">T48/25000</f>
        <v>8.7742000000000001E-2</v>
      </c>
      <c r="W48" t="s">
        <v>58</v>
      </c>
    </row>
    <row r="49" spans="1:23" x14ac:dyDescent="0.25">
      <c r="A49" s="160" t="s">
        <v>233</v>
      </c>
      <c r="B49" s="161" t="s">
        <v>59</v>
      </c>
      <c r="C49" s="162" t="str">
        <f t="shared" si="4"/>
        <v>MGIpatinga</v>
      </c>
      <c r="D49" s="49" t="str">
        <f t="shared" ca="1" si="0"/>
        <v>Cadastro ok</v>
      </c>
      <c r="E49" s="179" t="s">
        <v>370</v>
      </c>
      <c r="F49" s="165">
        <f t="shared" si="5"/>
        <v>0</v>
      </c>
      <c r="G49" s="165">
        <f t="shared" si="6"/>
        <v>0</v>
      </c>
      <c r="H49" s="166" t="s">
        <v>385</v>
      </c>
      <c r="I49" s="167">
        <f t="shared" si="1"/>
        <v>0.9</v>
      </c>
      <c r="J49" s="166" t="s">
        <v>406</v>
      </c>
      <c r="K49" s="168">
        <f t="shared" si="2"/>
        <v>0.21</v>
      </c>
      <c r="N49" s="207" t="s">
        <v>148</v>
      </c>
      <c r="O49" s="205">
        <v>0.9</v>
      </c>
      <c r="P49" s="206" t="s">
        <v>48</v>
      </c>
      <c r="R49" t="s">
        <v>247</v>
      </c>
      <c r="S49" s="1">
        <v>1500</v>
      </c>
      <c r="T49" s="1">
        <v>2400</v>
      </c>
      <c r="U49" s="2">
        <f t="shared" si="16"/>
        <v>0.10714285714285714</v>
      </c>
      <c r="V49" s="2">
        <f t="shared" si="17"/>
        <v>9.6000000000000002E-2</v>
      </c>
      <c r="W49" t="s">
        <v>58</v>
      </c>
    </row>
    <row r="50" spans="1:23" x14ac:dyDescent="0.25">
      <c r="A50" s="160" t="s">
        <v>241</v>
      </c>
      <c r="B50" s="161" t="s">
        <v>59</v>
      </c>
      <c r="C50" s="162" t="str">
        <f t="shared" si="4"/>
        <v>MGJuiz de Fora</v>
      </c>
      <c r="D50" s="49" t="str">
        <f t="shared" ca="1" si="0"/>
        <v>Cadastro ok</v>
      </c>
      <c r="E50" s="179" t="s">
        <v>370</v>
      </c>
      <c r="F50" s="165">
        <f t="shared" si="5"/>
        <v>0</v>
      </c>
      <c r="G50" s="165">
        <f t="shared" si="6"/>
        <v>0</v>
      </c>
      <c r="H50" s="166" t="s">
        <v>385</v>
      </c>
      <c r="I50" s="167">
        <f t="shared" si="1"/>
        <v>0.9</v>
      </c>
      <c r="J50" s="166" t="s">
        <v>406</v>
      </c>
      <c r="K50" s="168">
        <f t="shared" si="2"/>
        <v>0.21</v>
      </c>
      <c r="N50" s="207" t="s">
        <v>147</v>
      </c>
      <c r="O50" s="205">
        <v>0.9</v>
      </c>
      <c r="P50" s="206" t="s">
        <v>60</v>
      </c>
      <c r="R50" t="s">
        <v>261</v>
      </c>
      <c r="S50" s="1">
        <v>752.69</v>
      </c>
      <c r="T50" s="1">
        <v>1279.57</v>
      </c>
      <c r="U50" s="2">
        <f t="shared" si="16"/>
        <v>5.3763571428571431E-2</v>
      </c>
      <c r="V50" s="2">
        <f t="shared" si="17"/>
        <v>5.1182800000000001E-2</v>
      </c>
      <c r="W50" t="s">
        <v>58</v>
      </c>
    </row>
    <row r="51" spans="1:23" x14ac:dyDescent="0.25">
      <c r="A51" s="160" t="s">
        <v>248</v>
      </c>
      <c r="B51" s="161" t="s">
        <v>59</v>
      </c>
      <c r="C51" s="162" t="str">
        <f t="shared" si="4"/>
        <v>MGMontes Claros</v>
      </c>
      <c r="D51" s="49" t="str">
        <f t="shared" ca="1" si="0"/>
        <v>Cadastro ok</v>
      </c>
      <c r="E51" s="179" t="s">
        <v>370</v>
      </c>
      <c r="F51" s="165">
        <f t="shared" si="5"/>
        <v>0</v>
      </c>
      <c r="G51" s="165">
        <f t="shared" si="6"/>
        <v>0</v>
      </c>
      <c r="H51" s="166" t="s">
        <v>385</v>
      </c>
      <c r="I51" s="167">
        <f t="shared" si="1"/>
        <v>0.9</v>
      </c>
      <c r="J51" s="166" t="s">
        <v>406</v>
      </c>
      <c r="K51" s="168">
        <f t="shared" si="2"/>
        <v>0.21</v>
      </c>
      <c r="N51" s="207" t="s">
        <v>158</v>
      </c>
      <c r="O51" s="205">
        <v>0.73</v>
      </c>
      <c r="P51" s="206" t="s">
        <v>61</v>
      </c>
      <c r="R51" t="s">
        <v>209</v>
      </c>
      <c r="S51" s="1">
        <v>2576.4</v>
      </c>
      <c r="T51" s="1">
        <v>4248.8</v>
      </c>
      <c r="U51" s="2">
        <f t="shared" si="16"/>
        <v>0.18402857142857143</v>
      </c>
      <c r="V51" s="2">
        <f t="shared" si="17"/>
        <v>0.16995200000000002</v>
      </c>
      <c r="W51" t="s">
        <v>52</v>
      </c>
    </row>
    <row r="52" spans="1:23" x14ac:dyDescent="0.25">
      <c r="A52" s="160" t="s">
        <v>254</v>
      </c>
      <c r="B52" s="161" t="s">
        <v>59</v>
      </c>
      <c r="C52" s="162" t="str">
        <f t="shared" si="4"/>
        <v>MGPoços de Caldas</v>
      </c>
      <c r="D52" s="49" t="str">
        <f t="shared" ca="1" si="0"/>
        <v>Cadastro ok</v>
      </c>
      <c r="E52" s="179" t="s">
        <v>370</v>
      </c>
      <c r="F52" s="165">
        <f t="shared" si="5"/>
        <v>0</v>
      </c>
      <c r="G52" s="165">
        <f t="shared" si="6"/>
        <v>0</v>
      </c>
      <c r="H52" s="166" t="s">
        <v>385</v>
      </c>
      <c r="I52" s="167">
        <f t="shared" si="1"/>
        <v>0.9</v>
      </c>
      <c r="J52" s="166" t="s">
        <v>406</v>
      </c>
      <c r="K52" s="168">
        <f t="shared" si="2"/>
        <v>0.21</v>
      </c>
      <c r="N52" s="207" t="s">
        <v>169</v>
      </c>
      <c r="O52" s="205">
        <v>0.9</v>
      </c>
      <c r="P52" s="206" t="s">
        <v>48</v>
      </c>
      <c r="R52" t="s">
        <v>146</v>
      </c>
      <c r="S52" s="1">
        <v>2621.6</v>
      </c>
      <c r="T52" s="1">
        <v>3644.9279999999999</v>
      </c>
      <c r="U52" s="2">
        <f t="shared" si="16"/>
        <v>0.18725714285714284</v>
      </c>
      <c r="V52" s="2">
        <f t="shared" si="17"/>
        <v>0.14579712</v>
      </c>
      <c r="W52" t="s">
        <v>49</v>
      </c>
    </row>
    <row r="53" spans="1:23" x14ac:dyDescent="0.25">
      <c r="A53" s="160" t="s">
        <v>259</v>
      </c>
      <c r="B53" s="161" t="s">
        <v>59</v>
      </c>
      <c r="C53" s="162" t="str">
        <f t="shared" si="4"/>
        <v>MGPouso Alegre</v>
      </c>
      <c r="D53" s="49" t="str">
        <f t="shared" ca="1" si="0"/>
        <v>Cadastro ok</v>
      </c>
      <c r="E53" s="179" t="s">
        <v>370</v>
      </c>
      <c r="F53" s="165">
        <f t="shared" si="5"/>
        <v>0</v>
      </c>
      <c r="G53" s="165">
        <f t="shared" si="6"/>
        <v>0</v>
      </c>
      <c r="H53" s="166" t="s">
        <v>385</v>
      </c>
      <c r="I53" s="167">
        <f t="shared" si="1"/>
        <v>0.9</v>
      </c>
      <c r="J53" s="166" t="s">
        <v>406</v>
      </c>
      <c r="K53" s="168">
        <f t="shared" si="2"/>
        <v>0.21</v>
      </c>
      <c r="N53" s="207" t="s">
        <v>163</v>
      </c>
      <c r="O53" s="205">
        <v>0.3</v>
      </c>
      <c r="P53" s="206" t="s">
        <v>57</v>
      </c>
      <c r="R53" t="s">
        <v>210</v>
      </c>
      <c r="S53" s="1">
        <v>2260</v>
      </c>
      <c r="T53" s="1">
        <v>3254.4</v>
      </c>
      <c r="U53" s="2">
        <f t="shared" si="16"/>
        <v>0.16142857142857142</v>
      </c>
      <c r="V53" s="2">
        <f t="shared" si="17"/>
        <v>0.13017600000000001</v>
      </c>
      <c r="W53" t="s">
        <v>60</v>
      </c>
    </row>
    <row r="54" spans="1:23" x14ac:dyDescent="0.25">
      <c r="A54" s="160" t="s">
        <v>262</v>
      </c>
      <c r="B54" s="161" t="s">
        <v>59</v>
      </c>
      <c r="C54" s="162" t="str">
        <f t="shared" si="4"/>
        <v>MGUberaba</v>
      </c>
      <c r="D54" s="49" t="str">
        <f t="shared" ca="1" si="0"/>
        <v>Cadastro ok</v>
      </c>
      <c r="E54" s="179" t="s">
        <v>370</v>
      </c>
      <c r="F54" s="165">
        <f t="shared" si="5"/>
        <v>0</v>
      </c>
      <c r="G54" s="165">
        <f t="shared" si="6"/>
        <v>0</v>
      </c>
      <c r="H54" s="166" t="s">
        <v>385</v>
      </c>
      <c r="I54" s="167">
        <f t="shared" si="1"/>
        <v>0.9</v>
      </c>
      <c r="J54" s="166" t="s">
        <v>406</v>
      </c>
      <c r="K54" s="168">
        <f t="shared" si="2"/>
        <v>0.21</v>
      </c>
      <c r="N54" s="207" t="s">
        <v>168</v>
      </c>
      <c r="O54" s="205">
        <v>0.9</v>
      </c>
      <c r="P54" s="206" t="s">
        <v>60</v>
      </c>
      <c r="R54" t="s">
        <v>169</v>
      </c>
      <c r="S54" s="1">
        <v>2712</v>
      </c>
      <c r="T54" s="1">
        <v>3644.9279999999999</v>
      </c>
      <c r="U54" s="2">
        <f t="shared" si="16"/>
        <v>0.19371428571428573</v>
      </c>
      <c r="V54" s="2">
        <f t="shared" si="17"/>
        <v>0.14579712</v>
      </c>
      <c r="W54" t="s">
        <v>48</v>
      </c>
    </row>
    <row r="55" spans="1:23" x14ac:dyDescent="0.25">
      <c r="A55" s="160" t="s">
        <v>265</v>
      </c>
      <c r="B55" s="161" t="s">
        <v>59</v>
      </c>
      <c r="C55" s="162" t="str">
        <f t="shared" si="4"/>
        <v>MGUberlândia</v>
      </c>
      <c r="D55" s="49" t="str">
        <f t="shared" ca="1" si="0"/>
        <v>Cadastro ok</v>
      </c>
      <c r="E55" s="179" t="s">
        <v>370</v>
      </c>
      <c r="F55" s="165">
        <f t="shared" si="5"/>
        <v>0</v>
      </c>
      <c r="G55" s="165">
        <f t="shared" si="6"/>
        <v>0</v>
      </c>
      <c r="H55" s="166" t="s">
        <v>385</v>
      </c>
      <c r="I55" s="167">
        <f t="shared" si="1"/>
        <v>0.9</v>
      </c>
      <c r="J55" s="166" t="s">
        <v>406</v>
      </c>
      <c r="K55" s="168">
        <f t="shared" si="2"/>
        <v>0.21</v>
      </c>
      <c r="N55" s="207" t="s">
        <v>164</v>
      </c>
      <c r="O55" s="205">
        <v>0.9</v>
      </c>
      <c r="P55" s="206" t="s">
        <v>47</v>
      </c>
      <c r="R55" t="s">
        <v>399</v>
      </c>
      <c r="S55" s="1">
        <v>3769.68</v>
      </c>
      <c r="T55" s="1">
        <v>5514.4</v>
      </c>
      <c r="U55" s="2">
        <f t="shared" si="16"/>
        <v>0.26926285714285714</v>
      </c>
      <c r="V55" s="2">
        <f t="shared" si="17"/>
        <v>0.22057599999999999</v>
      </c>
      <c r="W55" t="s">
        <v>50</v>
      </c>
    </row>
    <row r="56" spans="1:23" x14ac:dyDescent="0.25">
      <c r="A56" s="160" t="s">
        <v>268</v>
      </c>
      <c r="B56" s="161" t="s">
        <v>59</v>
      </c>
      <c r="C56" s="162" t="str">
        <f t="shared" si="4"/>
        <v>MGVarginha</v>
      </c>
      <c r="D56" s="49" t="str">
        <f t="shared" ca="1" si="0"/>
        <v>Cadastro ok</v>
      </c>
      <c r="E56" s="179" t="s">
        <v>370</v>
      </c>
      <c r="F56" s="165">
        <f t="shared" si="5"/>
        <v>0</v>
      </c>
      <c r="G56" s="165">
        <f t="shared" si="6"/>
        <v>0</v>
      </c>
      <c r="H56" s="166" t="s">
        <v>385</v>
      </c>
      <c r="I56" s="167">
        <f t="shared" si="1"/>
        <v>0.9</v>
      </c>
      <c r="J56" s="166" t="s">
        <v>406</v>
      </c>
      <c r="K56" s="168">
        <f t="shared" si="2"/>
        <v>0.21</v>
      </c>
      <c r="N56" s="207" t="s">
        <v>400</v>
      </c>
      <c r="O56" s="208">
        <v>0.33</v>
      </c>
      <c r="P56" s="206" t="s">
        <v>56</v>
      </c>
      <c r="R56" t="s">
        <v>265</v>
      </c>
      <c r="S56" s="1">
        <v>2576.4</v>
      </c>
      <c r="T56" s="1">
        <v>3906.4</v>
      </c>
      <c r="U56" s="2">
        <f t="shared" si="16"/>
        <v>0.18402857142857143</v>
      </c>
      <c r="V56" s="2">
        <f t="shared" si="17"/>
        <v>0.15625600000000001</v>
      </c>
      <c r="W56" t="s">
        <v>59</v>
      </c>
    </row>
    <row r="57" spans="1:23" x14ac:dyDescent="0.25">
      <c r="A57" s="160" t="s">
        <v>153</v>
      </c>
      <c r="B57" s="161" t="s">
        <v>44</v>
      </c>
      <c r="C57" s="162" t="str">
        <f t="shared" si="4"/>
        <v>PABelém</v>
      </c>
      <c r="D57" s="49" t="str">
        <f t="shared" ca="1" si="0"/>
        <v>Cadastro ok</v>
      </c>
      <c r="E57" s="179" t="s">
        <v>370</v>
      </c>
      <c r="F57" s="165">
        <f t="shared" si="5"/>
        <v>0</v>
      </c>
      <c r="G57" s="165">
        <f t="shared" si="6"/>
        <v>0</v>
      </c>
      <c r="H57" s="166" t="s">
        <v>385</v>
      </c>
      <c r="I57" s="167">
        <f t="shared" si="1"/>
        <v>0.9</v>
      </c>
      <c r="J57" s="166" t="s">
        <v>371</v>
      </c>
      <c r="K57" s="168">
        <f t="shared" si="2"/>
        <v>0.36</v>
      </c>
      <c r="N57" s="207" t="s">
        <v>162</v>
      </c>
      <c r="O57" s="205">
        <v>0.8</v>
      </c>
      <c r="P57" s="206" t="s">
        <v>62</v>
      </c>
      <c r="R57" t="s">
        <v>151</v>
      </c>
      <c r="S57" s="1">
        <v>4158.3999999999996</v>
      </c>
      <c r="T57" s="1">
        <v>5966.4</v>
      </c>
      <c r="U57" s="2">
        <f t="shared" si="16"/>
        <v>0.29702857142857142</v>
      </c>
      <c r="V57" s="2">
        <f t="shared" si="17"/>
        <v>0.23865599999999998</v>
      </c>
      <c r="W57" t="s">
        <v>46</v>
      </c>
    </row>
    <row r="58" spans="1:23" x14ac:dyDescent="0.25">
      <c r="A58" s="160" t="s">
        <v>174</v>
      </c>
      <c r="B58" s="161" t="s">
        <v>44</v>
      </c>
      <c r="C58" s="162" t="str">
        <f t="shared" si="4"/>
        <v>PAMarabá</v>
      </c>
      <c r="D58" s="49" t="str">
        <f t="shared" ca="1" si="0"/>
        <v>Cadastro ok</v>
      </c>
      <c r="E58" s="179" t="s">
        <v>370</v>
      </c>
      <c r="F58" s="165">
        <f t="shared" si="5"/>
        <v>0</v>
      </c>
      <c r="G58" s="165">
        <f t="shared" si="6"/>
        <v>0</v>
      </c>
      <c r="H58" s="166" t="s">
        <v>385</v>
      </c>
      <c r="I58" s="167">
        <f t="shared" si="1"/>
        <v>0.9</v>
      </c>
      <c r="J58" s="166" t="s">
        <v>371</v>
      </c>
      <c r="K58" s="168">
        <f t="shared" si="2"/>
        <v>0.36</v>
      </c>
      <c r="N58" s="207" t="s">
        <v>152</v>
      </c>
      <c r="O58" s="205">
        <v>0.9</v>
      </c>
      <c r="P58" s="206" t="s">
        <v>59</v>
      </c>
      <c r="R58" t="s">
        <v>153</v>
      </c>
      <c r="S58" s="1">
        <v>4113.2</v>
      </c>
      <c r="T58" s="1">
        <v>5237.6000000000004</v>
      </c>
      <c r="U58" s="2">
        <f t="shared" si="16"/>
        <v>0.29380000000000001</v>
      </c>
      <c r="V58" s="2">
        <f t="shared" si="17"/>
        <v>0.20950400000000002</v>
      </c>
      <c r="W58" t="s">
        <v>44</v>
      </c>
    </row>
    <row r="59" spans="1:23" x14ac:dyDescent="0.25">
      <c r="A59" s="160" t="s">
        <v>198</v>
      </c>
      <c r="B59" s="161" t="s">
        <v>44</v>
      </c>
      <c r="C59" s="162" t="str">
        <f t="shared" si="4"/>
        <v>PAParauapebas</v>
      </c>
      <c r="D59" s="49" t="str">
        <f t="shared" ca="1" si="0"/>
        <v>Cadastro ok</v>
      </c>
      <c r="E59" s="179" t="s">
        <v>370</v>
      </c>
      <c r="F59" s="165">
        <f t="shared" si="5"/>
        <v>0</v>
      </c>
      <c r="G59" s="165">
        <f t="shared" si="6"/>
        <v>0</v>
      </c>
      <c r="H59" s="166" t="s">
        <v>385</v>
      </c>
      <c r="I59" s="167">
        <f t="shared" si="1"/>
        <v>0.9</v>
      </c>
      <c r="J59" s="166" t="s">
        <v>371</v>
      </c>
      <c r="K59" s="168">
        <f t="shared" si="2"/>
        <v>0.36</v>
      </c>
      <c r="N59" s="207" t="s">
        <v>170</v>
      </c>
      <c r="O59" s="205">
        <v>0.9</v>
      </c>
      <c r="P59" s="206" t="s">
        <v>50</v>
      </c>
      <c r="R59" t="s">
        <v>401</v>
      </c>
      <c r="S59" s="1">
        <v>4013.76</v>
      </c>
      <c r="T59" s="1">
        <v>6418.4</v>
      </c>
      <c r="U59" s="2">
        <f t="shared" si="16"/>
        <v>0.28669714285714287</v>
      </c>
      <c r="V59" s="2">
        <f t="shared" si="17"/>
        <v>0.25673599999999996</v>
      </c>
      <c r="W59" t="s">
        <v>44</v>
      </c>
    </row>
    <row r="60" spans="1:23" x14ac:dyDescent="0.25">
      <c r="A60" s="160" t="s">
        <v>154</v>
      </c>
      <c r="B60" s="161" t="s">
        <v>54</v>
      </c>
      <c r="C60" s="162" t="str">
        <f t="shared" si="4"/>
        <v>PBCampina Grande</v>
      </c>
      <c r="D60" s="49" t="str">
        <f t="shared" ca="1" si="0"/>
        <v>Cadastro ok</v>
      </c>
      <c r="E60" s="179" t="s">
        <v>370</v>
      </c>
      <c r="F60" s="165">
        <f t="shared" si="5"/>
        <v>0</v>
      </c>
      <c r="G60" s="165">
        <f t="shared" si="6"/>
        <v>0</v>
      </c>
      <c r="H60" s="166" t="s">
        <v>385</v>
      </c>
      <c r="I60" s="167">
        <f t="shared" si="1"/>
        <v>0.9</v>
      </c>
      <c r="J60" s="166" t="s">
        <v>395</v>
      </c>
      <c r="K60" s="168">
        <f t="shared" si="2"/>
        <v>0.3</v>
      </c>
      <c r="N60" s="207" t="s">
        <v>166</v>
      </c>
      <c r="O60" s="208">
        <v>0.57999999999999996</v>
      </c>
      <c r="P60" s="206" t="s">
        <v>58</v>
      </c>
      <c r="R60" t="s">
        <v>175</v>
      </c>
      <c r="S60" s="1">
        <v>2214.8000000000002</v>
      </c>
      <c r="T60" s="1">
        <v>3390</v>
      </c>
      <c r="U60" s="2">
        <f t="shared" si="16"/>
        <v>0.15820000000000001</v>
      </c>
      <c r="V60" s="2">
        <f t="shared" si="17"/>
        <v>0.1356</v>
      </c>
      <c r="W60" t="s">
        <v>54</v>
      </c>
    </row>
    <row r="61" spans="1:23" x14ac:dyDescent="0.25">
      <c r="A61" s="160" t="s">
        <v>175</v>
      </c>
      <c r="B61" s="161" t="s">
        <v>54</v>
      </c>
      <c r="C61" s="162" t="str">
        <f t="shared" si="4"/>
        <v>PBJoão Pessoa</v>
      </c>
      <c r="D61" s="49" t="str">
        <f t="shared" ca="1" si="0"/>
        <v>Cadastro ok</v>
      </c>
      <c r="E61" s="179" t="s">
        <v>370</v>
      </c>
      <c r="F61" s="165">
        <f t="shared" si="5"/>
        <v>0</v>
      </c>
      <c r="G61" s="165">
        <f t="shared" si="6"/>
        <v>0</v>
      </c>
      <c r="H61" s="166" t="s">
        <v>408</v>
      </c>
      <c r="I61" s="167">
        <f t="shared" si="1"/>
        <v>0.45</v>
      </c>
      <c r="J61" s="166" t="s">
        <v>395</v>
      </c>
      <c r="K61" s="168">
        <f t="shared" si="2"/>
        <v>0.3</v>
      </c>
      <c r="N61" s="207" t="s">
        <v>182</v>
      </c>
      <c r="O61" s="205">
        <v>0.8</v>
      </c>
      <c r="P61" s="206" t="s">
        <v>62</v>
      </c>
      <c r="R61" t="s">
        <v>250</v>
      </c>
      <c r="S61" s="1">
        <v>2386.56</v>
      </c>
      <c r="T61" s="1">
        <v>4049.92</v>
      </c>
      <c r="U61" s="2">
        <f t="shared" si="16"/>
        <v>0.17046857142857141</v>
      </c>
      <c r="V61" s="2">
        <f t="shared" si="17"/>
        <v>0.1619968</v>
      </c>
      <c r="W61" t="s">
        <v>55</v>
      </c>
    </row>
    <row r="62" spans="1:23" x14ac:dyDescent="0.25">
      <c r="A62" s="160" t="s">
        <v>155</v>
      </c>
      <c r="B62" s="161" t="s">
        <v>63</v>
      </c>
      <c r="C62" s="162" t="str">
        <f t="shared" si="4"/>
        <v>PRCascavel</v>
      </c>
      <c r="D62" s="49" t="str">
        <f t="shared" ca="1" si="0"/>
        <v>Cadastro ok</v>
      </c>
      <c r="E62" s="179" t="s">
        <v>370</v>
      </c>
      <c r="F62" s="165">
        <f t="shared" si="5"/>
        <v>0</v>
      </c>
      <c r="G62" s="165">
        <f t="shared" si="6"/>
        <v>0</v>
      </c>
      <c r="H62" s="166" t="s">
        <v>385</v>
      </c>
      <c r="I62" s="167">
        <f t="shared" si="1"/>
        <v>0.9</v>
      </c>
      <c r="J62" s="166" t="s">
        <v>371</v>
      </c>
      <c r="K62" s="168">
        <f t="shared" si="2"/>
        <v>0.36</v>
      </c>
      <c r="N62" s="207" t="s">
        <v>402</v>
      </c>
      <c r="O62" s="205">
        <v>0.8</v>
      </c>
      <c r="P62" s="206" t="s">
        <v>62</v>
      </c>
      <c r="R62" t="s">
        <v>157</v>
      </c>
      <c r="S62" s="1">
        <v>2621.6</v>
      </c>
      <c r="T62" s="1">
        <v>4339.2</v>
      </c>
      <c r="U62" s="2">
        <f t="shared" si="16"/>
        <v>0.18725714285714284</v>
      </c>
      <c r="V62" s="2">
        <f t="shared" si="17"/>
        <v>0.173568</v>
      </c>
      <c r="W62" t="s">
        <v>51</v>
      </c>
    </row>
    <row r="63" spans="1:23" x14ac:dyDescent="0.25">
      <c r="A63" s="160" t="s">
        <v>176</v>
      </c>
      <c r="B63" s="161" t="s">
        <v>63</v>
      </c>
      <c r="C63" s="162" t="str">
        <f t="shared" si="4"/>
        <v>PRCuritiba</v>
      </c>
      <c r="D63" s="49" t="str">
        <f t="shared" ca="1" si="0"/>
        <v>Cadastro ok</v>
      </c>
      <c r="E63" s="179" t="s">
        <v>370</v>
      </c>
      <c r="F63" s="165">
        <f t="shared" si="5"/>
        <v>0</v>
      </c>
      <c r="G63" s="165">
        <f t="shared" si="6"/>
        <v>0</v>
      </c>
      <c r="H63" s="166" t="s">
        <v>385</v>
      </c>
      <c r="I63" s="167">
        <f t="shared" si="1"/>
        <v>0.9</v>
      </c>
      <c r="J63" s="166" t="s">
        <v>371</v>
      </c>
      <c r="K63" s="168">
        <f t="shared" si="2"/>
        <v>0.36</v>
      </c>
      <c r="N63" s="207" t="s">
        <v>153</v>
      </c>
      <c r="O63" s="205">
        <v>0.9</v>
      </c>
      <c r="P63" s="206" t="s">
        <v>44</v>
      </c>
      <c r="R63" t="s">
        <v>176</v>
      </c>
      <c r="S63" s="1">
        <v>3796.8</v>
      </c>
      <c r="T63" s="1">
        <v>4972</v>
      </c>
      <c r="U63" s="2">
        <f t="shared" si="16"/>
        <v>0.2712</v>
      </c>
      <c r="V63" s="2">
        <f t="shared" si="17"/>
        <v>0.19888</v>
      </c>
      <c r="W63" t="s">
        <v>63</v>
      </c>
    </row>
    <row r="64" spans="1:23" x14ac:dyDescent="0.25">
      <c r="A64" s="160" t="s">
        <v>200</v>
      </c>
      <c r="B64" s="161" t="s">
        <v>63</v>
      </c>
      <c r="C64" s="162" t="str">
        <f t="shared" si="4"/>
        <v>PRFoz do Iguaçu</v>
      </c>
      <c r="D64" s="49" t="str">
        <f t="shared" ca="1" si="0"/>
        <v>Cadastro ok</v>
      </c>
      <c r="E64" s="179" t="s">
        <v>370</v>
      </c>
      <c r="F64" s="165">
        <f t="shared" si="5"/>
        <v>0</v>
      </c>
      <c r="G64" s="165">
        <f t="shared" si="6"/>
        <v>0</v>
      </c>
      <c r="H64" s="166" t="s">
        <v>385</v>
      </c>
      <c r="I64" s="167">
        <f t="shared" si="1"/>
        <v>0.9</v>
      </c>
      <c r="J64" s="166" t="s">
        <v>371</v>
      </c>
      <c r="K64" s="168">
        <f t="shared" si="2"/>
        <v>0.36</v>
      </c>
      <c r="N64" s="207" t="s">
        <v>173</v>
      </c>
      <c r="O64" s="205">
        <v>0.9</v>
      </c>
      <c r="P64" s="206" t="s">
        <v>59</v>
      </c>
      <c r="R64" t="s">
        <v>403</v>
      </c>
      <c r="S64" s="1">
        <v>3120</v>
      </c>
      <c r="T64" s="1">
        <v>5740.4</v>
      </c>
      <c r="U64" s="2">
        <f t="shared" si="16"/>
        <v>0.22285714285714286</v>
      </c>
      <c r="V64" s="2">
        <f t="shared" si="17"/>
        <v>0.22961599999999999</v>
      </c>
      <c r="W64" t="s">
        <v>63</v>
      </c>
    </row>
    <row r="65" spans="1:23" x14ac:dyDescent="0.25">
      <c r="A65" s="160" t="s">
        <v>216</v>
      </c>
      <c r="B65" s="161" t="s">
        <v>63</v>
      </c>
      <c r="C65" s="162" t="str">
        <f t="shared" si="4"/>
        <v>PRGuarapuava</v>
      </c>
      <c r="D65" s="49" t="str">
        <f t="shared" ca="1" si="0"/>
        <v>Cadastro ok</v>
      </c>
      <c r="E65" s="179" t="s">
        <v>370</v>
      </c>
      <c r="F65" s="165">
        <f t="shared" si="5"/>
        <v>0</v>
      </c>
      <c r="G65" s="165">
        <f t="shared" si="6"/>
        <v>0</v>
      </c>
      <c r="H65" s="166" t="s">
        <v>385</v>
      </c>
      <c r="I65" s="167">
        <f t="shared" si="1"/>
        <v>0.9</v>
      </c>
      <c r="J65" s="166" t="s">
        <v>371</v>
      </c>
      <c r="K65" s="168">
        <f t="shared" si="2"/>
        <v>0.36</v>
      </c>
      <c r="N65" s="207" t="s">
        <v>160</v>
      </c>
      <c r="O65" s="205">
        <v>0.9</v>
      </c>
      <c r="P65" s="206" t="s">
        <v>65</v>
      </c>
      <c r="R65" t="s">
        <v>251</v>
      </c>
      <c r="S65" s="1">
        <v>2757.2</v>
      </c>
      <c r="T65" s="1">
        <v>4058</v>
      </c>
      <c r="U65" s="2">
        <f t="shared" si="16"/>
        <v>0.19694285714285714</v>
      </c>
      <c r="V65" s="2">
        <f t="shared" si="17"/>
        <v>0.16231999999999999</v>
      </c>
      <c r="W65" t="s">
        <v>61</v>
      </c>
    </row>
    <row r="66" spans="1:23" x14ac:dyDescent="0.25">
      <c r="A66" s="160" t="s">
        <v>227</v>
      </c>
      <c r="B66" s="161" t="s">
        <v>63</v>
      </c>
      <c r="C66" s="162" t="str">
        <f t="shared" si="4"/>
        <v>PRLondrina</v>
      </c>
      <c r="D66" s="49" t="str">
        <f t="shared" ca="1" si="0"/>
        <v>Cadastro ok</v>
      </c>
      <c r="E66" s="179" t="s">
        <v>370</v>
      </c>
      <c r="F66" s="165">
        <f t="shared" si="5"/>
        <v>0</v>
      </c>
      <c r="G66" s="165">
        <f t="shared" si="6"/>
        <v>0</v>
      </c>
      <c r="H66" s="166" t="s">
        <v>385</v>
      </c>
      <c r="I66" s="167">
        <f t="shared" si="1"/>
        <v>0.9</v>
      </c>
      <c r="J66" s="166" t="s">
        <v>371</v>
      </c>
      <c r="K66" s="168">
        <f t="shared" si="2"/>
        <v>0.36</v>
      </c>
      <c r="N66" s="207" t="s">
        <v>161</v>
      </c>
      <c r="O66" s="205">
        <v>0.9</v>
      </c>
      <c r="P66" s="206" t="s">
        <v>64</v>
      </c>
      <c r="R66" t="s">
        <v>180</v>
      </c>
      <c r="S66" s="1">
        <v>3420</v>
      </c>
      <c r="T66" s="1">
        <v>6378.6239999999998</v>
      </c>
      <c r="U66" s="2">
        <f t="shared" si="16"/>
        <v>0.24428571428571427</v>
      </c>
      <c r="V66" s="2">
        <f t="shared" si="17"/>
        <v>0.25514495999999998</v>
      </c>
      <c r="W66" t="s">
        <v>65</v>
      </c>
    </row>
    <row r="67" spans="1:23" x14ac:dyDescent="0.25">
      <c r="A67" s="160" t="s">
        <v>234</v>
      </c>
      <c r="B67" s="161" t="s">
        <v>63</v>
      </c>
      <c r="C67" s="162" t="str">
        <f t="shared" si="4"/>
        <v>PRMaringá</v>
      </c>
      <c r="D67" s="49" t="str">
        <f t="shared" ca="1" si="0"/>
        <v>Cadastro ok</v>
      </c>
      <c r="E67" s="179" t="s">
        <v>370</v>
      </c>
      <c r="F67" s="165">
        <f t="shared" si="5"/>
        <v>0</v>
      </c>
      <c r="G67" s="165">
        <f t="shared" si="6"/>
        <v>0</v>
      </c>
      <c r="H67" s="166" t="s">
        <v>385</v>
      </c>
      <c r="I67" s="167">
        <f t="shared" si="1"/>
        <v>0.9</v>
      </c>
      <c r="J67" s="166" t="s">
        <v>371</v>
      </c>
      <c r="K67" s="168">
        <f t="shared" si="2"/>
        <v>0.36</v>
      </c>
      <c r="N67" s="207" t="s">
        <v>146</v>
      </c>
      <c r="O67" s="205">
        <v>0.9</v>
      </c>
      <c r="P67" s="206" t="s">
        <v>49</v>
      </c>
      <c r="R67" t="s">
        <v>220</v>
      </c>
      <c r="S67" s="1">
        <v>5000</v>
      </c>
      <c r="T67" s="1">
        <v>9450</v>
      </c>
      <c r="U67" s="2">
        <f t="shared" si="16"/>
        <v>0.35714285714285715</v>
      </c>
      <c r="V67" s="2">
        <f t="shared" si="17"/>
        <v>0.378</v>
      </c>
      <c r="W67" t="s">
        <v>65</v>
      </c>
    </row>
    <row r="68" spans="1:23" x14ac:dyDescent="0.25">
      <c r="A68" s="160" t="s">
        <v>242</v>
      </c>
      <c r="B68" s="161" t="s">
        <v>63</v>
      </c>
      <c r="C68" s="162" t="str">
        <f t="shared" si="4"/>
        <v>PRParanaguá</v>
      </c>
      <c r="D68" s="49" t="str">
        <f t="shared" ref="D68:D131" ca="1" si="18">IF(A68="","",IF(ISERROR(MATCH(A68,INDIRECT(B68),0)),"Cadastro errado","Cadastro ok"))</f>
        <v>Cadastro ok</v>
      </c>
      <c r="E68" s="179" t="s">
        <v>370</v>
      </c>
      <c r="F68" s="165">
        <f t="shared" si="5"/>
        <v>0</v>
      </c>
      <c r="G68" s="165">
        <f t="shared" si="6"/>
        <v>0</v>
      </c>
      <c r="H68" s="166" t="s">
        <v>385</v>
      </c>
      <c r="I68" s="167">
        <f t="shared" ref="I68:I131" si="19">IF(AND(H68&lt;&gt;"",G68&lt;&gt;"",F68&lt;&gt;""),(VLOOKUP(H68,FAIXAS_TRANSPORTE,4,FALSE)+G68+F68),"")</f>
        <v>0.9</v>
      </c>
      <c r="J68" s="166" t="s">
        <v>371</v>
      </c>
      <c r="K68" s="168">
        <f t="shared" ref="K68:K131" si="20">IF(J68="","",VLOOKUP(J68,FAIXAS_TRANSPORTE,4,FALSE))</f>
        <v>0.36</v>
      </c>
      <c r="N68" s="207" t="s">
        <v>156</v>
      </c>
      <c r="O68" s="205">
        <v>0.37</v>
      </c>
      <c r="P68" s="206" t="s">
        <v>55</v>
      </c>
      <c r="R68" t="s">
        <v>155</v>
      </c>
      <c r="S68" s="1">
        <v>3869.12</v>
      </c>
      <c r="T68" s="1">
        <v>4972</v>
      </c>
      <c r="U68" s="2">
        <f t="shared" si="16"/>
        <v>0.27636571428571427</v>
      </c>
      <c r="V68" s="2">
        <f t="shared" si="17"/>
        <v>0.19888</v>
      </c>
      <c r="W68" t="s">
        <v>64</v>
      </c>
    </row>
    <row r="69" spans="1:23" x14ac:dyDescent="0.25">
      <c r="A69" s="160" t="s">
        <v>249</v>
      </c>
      <c r="B69" s="161" t="s">
        <v>63</v>
      </c>
      <c r="C69" s="162" t="str">
        <f t="shared" ref="C69:C132" si="21">B69&amp;A69</f>
        <v>PRPinhais</v>
      </c>
      <c r="D69" s="49" t="str">
        <f t="shared" ca="1" si="18"/>
        <v>Cadastro ok</v>
      </c>
      <c r="E69" s="179" t="s">
        <v>370</v>
      </c>
      <c r="F69" s="165">
        <f t="shared" ref="F69:F132" si="22">IF(E69="",0,VLOOKUP(E69,$T$4:$AB$17,9,FALSE))</f>
        <v>0</v>
      </c>
      <c r="G69" s="165">
        <f t="shared" ref="G69:G132" si="23">IF(E69="",0,VLOOKUP(E69,$T$4:$Y$17,6,FALSE))</f>
        <v>0</v>
      </c>
      <c r="H69" s="166" t="s">
        <v>385</v>
      </c>
      <c r="I69" s="167">
        <f t="shared" si="19"/>
        <v>0.9</v>
      </c>
      <c r="J69" s="166" t="s">
        <v>371</v>
      </c>
      <c r="K69" s="168">
        <f t="shared" si="20"/>
        <v>0.36</v>
      </c>
      <c r="N69" s="207" t="s">
        <v>222</v>
      </c>
      <c r="O69" s="205">
        <v>0.8</v>
      </c>
      <c r="P69" s="206" t="s">
        <v>62</v>
      </c>
      <c r="R69" t="s">
        <v>404</v>
      </c>
      <c r="S69" s="1">
        <v>1401.2</v>
      </c>
      <c r="T69" s="1">
        <v>2241.92</v>
      </c>
      <c r="U69" s="2">
        <f t="shared" si="16"/>
        <v>0.10008571428571429</v>
      </c>
      <c r="V69" s="2">
        <f t="shared" si="17"/>
        <v>8.9676800000000001E-2</v>
      </c>
      <c r="W69" t="s">
        <v>57</v>
      </c>
    </row>
    <row r="70" spans="1:23" x14ac:dyDescent="0.25">
      <c r="A70" s="160" t="s">
        <v>255</v>
      </c>
      <c r="B70" s="161" t="s">
        <v>63</v>
      </c>
      <c r="C70" s="162" t="str">
        <f t="shared" si="21"/>
        <v>PRPonta Grossa</v>
      </c>
      <c r="D70" s="49" t="str">
        <f t="shared" ca="1" si="18"/>
        <v>Cadastro ok</v>
      </c>
      <c r="E70" s="179" t="s">
        <v>370</v>
      </c>
      <c r="F70" s="165">
        <f t="shared" si="22"/>
        <v>0</v>
      </c>
      <c r="G70" s="165">
        <f t="shared" si="23"/>
        <v>0</v>
      </c>
      <c r="H70" s="166" t="s">
        <v>385</v>
      </c>
      <c r="I70" s="167">
        <f t="shared" si="19"/>
        <v>0.9</v>
      </c>
      <c r="J70" s="166" t="s">
        <v>371</v>
      </c>
      <c r="K70" s="168">
        <f t="shared" si="20"/>
        <v>0.36</v>
      </c>
      <c r="N70" s="207" t="s">
        <v>190</v>
      </c>
      <c r="O70" s="208">
        <v>0.16</v>
      </c>
      <c r="P70" s="206" t="s">
        <v>58</v>
      </c>
      <c r="R70" t="s">
        <v>231</v>
      </c>
      <c r="S70" s="1">
        <v>2892.8</v>
      </c>
      <c r="T70" s="1">
        <v>4140.32</v>
      </c>
      <c r="U70" s="2">
        <f t="shared" si="16"/>
        <v>0.20662857142857144</v>
      </c>
      <c r="V70" s="2">
        <f t="shared" si="17"/>
        <v>0.16561279999999998</v>
      </c>
      <c r="W70" t="s">
        <v>62</v>
      </c>
    </row>
    <row r="71" spans="1:23" x14ac:dyDescent="0.25">
      <c r="A71" s="160" t="s">
        <v>156</v>
      </c>
      <c r="B71" s="161" t="s">
        <v>55</v>
      </c>
      <c r="C71" s="162" t="str">
        <f t="shared" si="21"/>
        <v>PECabo de Santo Agostinho</v>
      </c>
      <c r="D71" s="49" t="str">
        <f t="shared" ca="1" si="18"/>
        <v>Cadastro ok</v>
      </c>
      <c r="E71" s="179" t="s">
        <v>370</v>
      </c>
      <c r="F71" s="165">
        <f t="shared" si="22"/>
        <v>0</v>
      </c>
      <c r="G71" s="165">
        <f t="shared" si="23"/>
        <v>0</v>
      </c>
      <c r="H71" s="166" t="s">
        <v>376</v>
      </c>
      <c r="I71" s="167">
        <f t="shared" si="19"/>
        <v>0.6</v>
      </c>
      <c r="J71" s="166" t="s">
        <v>406</v>
      </c>
      <c r="K71" s="168">
        <f t="shared" si="20"/>
        <v>0.21</v>
      </c>
      <c r="N71" s="207" t="s">
        <v>154</v>
      </c>
      <c r="O71" s="205">
        <v>0.9</v>
      </c>
      <c r="P71" s="206" t="s">
        <v>54</v>
      </c>
      <c r="R71" t="s">
        <v>405</v>
      </c>
      <c r="S71" s="1">
        <v>3420</v>
      </c>
      <c r="T71" s="1">
        <v>5134.72</v>
      </c>
      <c r="U71" s="2">
        <f t="shared" si="16"/>
        <v>0.24428571428571427</v>
      </c>
      <c r="V71" s="2">
        <f t="shared" si="17"/>
        <v>0.20538880000000001</v>
      </c>
      <c r="W71" t="s">
        <v>62</v>
      </c>
    </row>
    <row r="72" spans="1:23" x14ac:dyDescent="0.25">
      <c r="A72" s="160" t="s">
        <v>177</v>
      </c>
      <c r="B72" s="161" t="s">
        <v>55</v>
      </c>
      <c r="C72" s="162" t="str">
        <f t="shared" si="21"/>
        <v>PECaruaru</v>
      </c>
      <c r="D72" s="49" t="str">
        <f t="shared" ca="1" si="18"/>
        <v>Cadastro ok</v>
      </c>
      <c r="E72" s="179" t="s">
        <v>370</v>
      </c>
      <c r="F72" s="165">
        <f t="shared" si="22"/>
        <v>0</v>
      </c>
      <c r="G72" s="165">
        <f t="shared" si="23"/>
        <v>0</v>
      </c>
      <c r="H72" s="166" t="s">
        <v>376</v>
      </c>
      <c r="I72" s="167">
        <f t="shared" si="19"/>
        <v>0.6</v>
      </c>
      <c r="J72" s="166" t="s">
        <v>406</v>
      </c>
      <c r="K72" s="168">
        <f t="shared" si="20"/>
        <v>0.21</v>
      </c>
      <c r="N72" s="207" t="s">
        <v>231</v>
      </c>
      <c r="O72" s="205">
        <v>0.8</v>
      </c>
      <c r="P72" s="206" t="s">
        <v>62</v>
      </c>
      <c r="R72" t="s">
        <v>207</v>
      </c>
      <c r="S72" s="1">
        <v>3028.4</v>
      </c>
      <c r="T72" s="1">
        <v>4429.6000000000004</v>
      </c>
      <c r="U72" s="2">
        <f t="shared" si="16"/>
        <v>0.21631428571428571</v>
      </c>
      <c r="V72" s="2">
        <f t="shared" si="17"/>
        <v>0.17718400000000001</v>
      </c>
      <c r="W72" t="s">
        <v>47</v>
      </c>
    </row>
    <row r="73" spans="1:23" x14ac:dyDescent="0.25">
      <c r="A73" s="160" t="s">
        <v>201</v>
      </c>
      <c r="B73" s="161" t="s">
        <v>55</v>
      </c>
      <c r="C73" s="162" t="str">
        <f t="shared" si="21"/>
        <v>PEJaboatão dos Guararapes</v>
      </c>
      <c r="D73" s="49" t="str">
        <f t="shared" ca="1" si="18"/>
        <v>Cadastro ok</v>
      </c>
      <c r="E73" s="179" t="s">
        <v>370</v>
      </c>
      <c r="F73" s="165">
        <f t="shared" si="22"/>
        <v>0</v>
      </c>
      <c r="G73" s="165">
        <f t="shared" si="23"/>
        <v>0</v>
      </c>
      <c r="H73" s="166" t="s">
        <v>376</v>
      </c>
      <c r="I73" s="167">
        <f t="shared" si="19"/>
        <v>0.6</v>
      </c>
      <c r="J73" s="166" t="s">
        <v>406</v>
      </c>
      <c r="K73" s="168">
        <f t="shared" si="20"/>
        <v>0.21</v>
      </c>
      <c r="N73" s="207" t="s">
        <v>151</v>
      </c>
      <c r="O73" s="205">
        <v>0.9</v>
      </c>
      <c r="P73" s="206" t="s">
        <v>45</v>
      </c>
      <c r="S73" s="1"/>
      <c r="T73" s="1"/>
      <c r="U73" s="2">
        <f t="shared" si="16"/>
        <v>0</v>
      </c>
      <c r="V73" s="2">
        <f t="shared" si="17"/>
        <v>0</v>
      </c>
    </row>
    <row r="74" spans="1:23" x14ac:dyDescent="0.25">
      <c r="A74" s="160" t="s">
        <v>217</v>
      </c>
      <c r="B74" s="161" t="s">
        <v>55</v>
      </c>
      <c r="C74" s="162" t="str">
        <f t="shared" si="21"/>
        <v>PEPetrolina</v>
      </c>
      <c r="D74" s="49" t="str">
        <f t="shared" ca="1" si="18"/>
        <v>Cadastro ok</v>
      </c>
      <c r="E74" s="179" t="s">
        <v>370</v>
      </c>
      <c r="F74" s="165">
        <f t="shared" si="22"/>
        <v>0</v>
      </c>
      <c r="G74" s="165">
        <f t="shared" si="23"/>
        <v>0</v>
      </c>
      <c r="H74" s="166" t="s">
        <v>376</v>
      </c>
      <c r="I74" s="167">
        <f t="shared" si="19"/>
        <v>0.6</v>
      </c>
      <c r="J74" s="166" t="s">
        <v>406</v>
      </c>
      <c r="K74" s="168">
        <f t="shared" si="20"/>
        <v>0.21</v>
      </c>
      <c r="N74" s="207" t="s">
        <v>178</v>
      </c>
      <c r="O74" s="205">
        <v>0.73</v>
      </c>
      <c r="P74" s="206" t="s">
        <v>61</v>
      </c>
      <c r="S74" s="1"/>
      <c r="T74" s="1"/>
      <c r="U74" s="2">
        <f t="shared" si="16"/>
        <v>0</v>
      </c>
      <c r="V74" s="2">
        <f t="shared" si="17"/>
        <v>0</v>
      </c>
    </row>
    <row r="75" spans="1:23" x14ac:dyDescent="0.25">
      <c r="A75" s="160" t="s">
        <v>250</v>
      </c>
      <c r="B75" s="161" t="s">
        <v>55</v>
      </c>
      <c r="C75" s="162" t="str">
        <f t="shared" si="21"/>
        <v>PERecife</v>
      </c>
      <c r="D75" s="49" t="str">
        <f t="shared" ca="1" si="18"/>
        <v>Cadastro ok</v>
      </c>
      <c r="E75" s="179" t="s">
        <v>370</v>
      </c>
      <c r="F75" s="165">
        <f t="shared" si="22"/>
        <v>0</v>
      </c>
      <c r="G75" s="165">
        <f t="shared" si="23"/>
        <v>0</v>
      </c>
      <c r="H75" s="166" t="s">
        <v>408</v>
      </c>
      <c r="I75" s="167">
        <f t="shared" si="19"/>
        <v>0.45</v>
      </c>
      <c r="J75" s="166" t="s">
        <v>406</v>
      </c>
      <c r="K75" s="168">
        <f t="shared" si="20"/>
        <v>0.21</v>
      </c>
      <c r="N75" s="207" t="s">
        <v>180</v>
      </c>
      <c r="O75" s="205">
        <v>0.9</v>
      </c>
      <c r="P75" s="206" t="s">
        <v>65</v>
      </c>
      <c r="S75" s="1"/>
      <c r="T75" s="1"/>
      <c r="U75" s="2">
        <f t="shared" si="16"/>
        <v>0</v>
      </c>
      <c r="V75" s="2">
        <f t="shared" si="17"/>
        <v>0</v>
      </c>
    </row>
    <row r="76" spans="1:23" x14ac:dyDescent="0.25">
      <c r="A76" s="160" t="s">
        <v>217</v>
      </c>
      <c r="B76" s="161" t="s">
        <v>55</v>
      </c>
      <c r="C76" s="162" t="str">
        <f t="shared" si="21"/>
        <v>PEPetrolina</v>
      </c>
      <c r="D76" s="49" t="str">
        <f t="shared" ca="1" si="18"/>
        <v>Cadastro ok</v>
      </c>
      <c r="E76" s="179" t="s">
        <v>370</v>
      </c>
      <c r="F76" s="165">
        <f t="shared" si="22"/>
        <v>0</v>
      </c>
      <c r="G76" s="165">
        <f t="shared" si="23"/>
        <v>0</v>
      </c>
      <c r="H76" s="166" t="s">
        <v>376</v>
      </c>
      <c r="I76" s="167">
        <f t="shared" si="19"/>
        <v>0.6</v>
      </c>
      <c r="J76" s="166" t="s">
        <v>406</v>
      </c>
      <c r="K76" s="168">
        <f t="shared" si="20"/>
        <v>0.21</v>
      </c>
      <c r="N76" s="207" t="s">
        <v>177</v>
      </c>
      <c r="O76" s="205">
        <v>0.37</v>
      </c>
      <c r="P76" s="206" t="s">
        <v>55</v>
      </c>
      <c r="S76" s="1"/>
      <c r="T76" s="1"/>
      <c r="U76" s="2">
        <f t="shared" si="16"/>
        <v>0</v>
      </c>
      <c r="V76" s="2">
        <f t="shared" si="17"/>
        <v>0</v>
      </c>
    </row>
    <row r="77" spans="1:23" x14ac:dyDescent="0.25">
      <c r="A77" s="160" t="s">
        <v>157</v>
      </c>
      <c r="B77" s="161" t="s">
        <v>51</v>
      </c>
      <c r="C77" s="162" t="str">
        <f t="shared" si="21"/>
        <v>PITeresina</v>
      </c>
      <c r="D77" s="49" t="str">
        <f t="shared" ca="1" si="18"/>
        <v>Cadastro ok</v>
      </c>
      <c r="E77" s="179" t="s">
        <v>370</v>
      </c>
      <c r="F77" s="165">
        <f t="shared" si="22"/>
        <v>0</v>
      </c>
      <c r="G77" s="165">
        <f t="shared" si="23"/>
        <v>0</v>
      </c>
      <c r="H77" s="166" t="s">
        <v>385</v>
      </c>
      <c r="I77" s="167">
        <f t="shared" si="19"/>
        <v>0.9</v>
      </c>
      <c r="J77" s="166" t="s">
        <v>395</v>
      </c>
      <c r="K77" s="168">
        <f t="shared" si="20"/>
        <v>0.3</v>
      </c>
      <c r="N77" s="207" t="s">
        <v>155</v>
      </c>
      <c r="O77" s="205">
        <v>0.9</v>
      </c>
      <c r="P77" s="206" t="s">
        <v>63</v>
      </c>
    </row>
    <row r="78" spans="1:23" x14ac:dyDescent="0.25">
      <c r="A78" s="160" t="s">
        <v>158</v>
      </c>
      <c r="B78" s="161" t="s">
        <v>61</v>
      </c>
      <c r="C78" s="162" t="str">
        <f t="shared" si="21"/>
        <v>RJAngra dos Reis</v>
      </c>
      <c r="D78" s="49" t="str">
        <f t="shared" ca="1" si="18"/>
        <v>Cadastro ok</v>
      </c>
      <c r="E78" s="179" t="s">
        <v>370</v>
      </c>
      <c r="F78" s="165">
        <f t="shared" si="22"/>
        <v>0</v>
      </c>
      <c r="G78" s="165">
        <f t="shared" si="23"/>
        <v>0</v>
      </c>
      <c r="H78" s="166" t="s">
        <v>385</v>
      </c>
      <c r="I78" s="167">
        <f t="shared" si="19"/>
        <v>0.9</v>
      </c>
      <c r="J78" s="166" t="s">
        <v>395</v>
      </c>
      <c r="K78" s="168">
        <f t="shared" si="20"/>
        <v>0.3</v>
      </c>
      <c r="N78" s="207" t="s">
        <v>193</v>
      </c>
      <c r="O78" s="205">
        <v>0.9</v>
      </c>
      <c r="P78" s="206" t="s">
        <v>48</v>
      </c>
    </row>
    <row r="79" spans="1:23" x14ac:dyDescent="0.25">
      <c r="A79" s="160" t="s">
        <v>178</v>
      </c>
      <c r="B79" s="161" t="s">
        <v>61</v>
      </c>
      <c r="C79" s="162" t="str">
        <f t="shared" si="21"/>
        <v>RJCampos dos Goytacazes</v>
      </c>
      <c r="D79" s="49" t="str">
        <f t="shared" ca="1" si="18"/>
        <v>Cadastro ok</v>
      </c>
      <c r="E79" s="179" t="s">
        <v>370</v>
      </c>
      <c r="F79" s="165">
        <f t="shared" si="22"/>
        <v>0</v>
      </c>
      <c r="G79" s="165">
        <f t="shared" si="23"/>
        <v>0</v>
      </c>
      <c r="H79" s="166" t="s">
        <v>385</v>
      </c>
      <c r="I79" s="167">
        <f t="shared" si="19"/>
        <v>0.9</v>
      </c>
      <c r="J79" s="166" t="s">
        <v>395</v>
      </c>
      <c r="K79" s="168">
        <f t="shared" si="20"/>
        <v>0.3</v>
      </c>
      <c r="N79" s="207" t="s">
        <v>181</v>
      </c>
      <c r="O79" s="205">
        <v>0.9</v>
      </c>
      <c r="P79" s="206" t="s">
        <v>64</v>
      </c>
    </row>
    <row r="80" spans="1:23" x14ac:dyDescent="0.25">
      <c r="A80" s="160" t="s">
        <v>202</v>
      </c>
      <c r="B80" s="161" t="s">
        <v>61</v>
      </c>
      <c r="C80" s="162" t="str">
        <f t="shared" si="21"/>
        <v>RJDuque de Caxias</v>
      </c>
      <c r="D80" s="49" t="str">
        <f t="shared" ca="1" si="18"/>
        <v>Cadastro ok</v>
      </c>
      <c r="E80" s="179" t="s">
        <v>370</v>
      </c>
      <c r="F80" s="165">
        <f t="shared" si="22"/>
        <v>0</v>
      </c>
      <c r="G80" s="165">
        <f t="shared" si="23"/>
        <v>0</v>
      </c>
      <c r="H80" s="166" t="s">
        <v>385</v>
      </c>
      <c r="I80" s="167">
        <f t="shared" si="19"/>
        <v>0.9</v>
      </c>
      <c r="J80" s="166" t="s">
        <v>395</v>
      </c>
      <c r="K80" s="168">
        <f t="shared" si="20"/>
        <v>0.3</v>
      </c>
      <c r="N80" s="207" t="s">
        <v>197</v>
      </c>
      <c r="O80" s="205">
        <v>0.9</v>
      </c>
      <c r="P80" s="206" t="s">
        <v>59</v>
      </c>
    </row>
    <row r="81" spans="1:16" x14ac:dyDescent="0.25">
      <c r="A81" s="160" t="s">
        <v>218</v>
      </c>
      <c r="B81" s="161" t="s">
        <v>61</v>
      </c>
      <c r="C81" s="162" t="str">
        <f t="shared" si="21"/>
        <v>RJItaguaí</v>
      </c>
      <c r="D81" s="49" t="str">
        <f t="shared" ca="1" si="18"/>
        <v>Cadastro ok</v>
      </c>
      <c r="E81" s="179" t="s">
        <v>370</v>
      </c>
      <c r="F81" s="165">
        <f t="shared" si="22"/>
        <v>0</v>
      </c>
      <c r="G81" s="165">
        <f t="shared" si="23"/>
        <v>0</v>
      </c>
      <c r="H81" s="166" t="s">
        <v>385</v>
      </c>
      <c r="I81" s="167">
        <f t="shared" si="19"/>
        <v>0.9</v>
      </c>
      <c r="J81" s="166" t="s">
        <v>395</v>
      </c>
      <c r="K81" s="168">
        <f t="shared" si="20"/>
        <v>0.3</v>
      </c>
      <c r="N81" s="207" t="s">
        <v>172</v>
      </c>
      <c r="O81" s="205">
        <v>0.9</v>
      </c>
      <c r="P81" s="206" t="s">
        <v>45</v>
      </c>
    </row>
    <row r="82" spans="1:16" x14ac:dyDescent="0.25">
      <c r="A82" s="160" t="s">
        <v>228</v>
      </c>
      <c r="B82" s="161" t="s">
        <v>61</v>
      </c>
      <c r="C82" s="162" t="str">
        <f t="shared" si="21"/>
        <v>RJMacaé</v>
      </c>
      <c r="D82" s="49" t="str">
        <f t="shared" ca="1" si="18"/>
        <v>Cadastro ok</v>
      </c>
      <c r="E82" s="179" t="s">
        <v>370</v>
      </c>
      <c r="F82" s="165">
        <f t="shared" si="22"/>
        <v>0</v>
      </c>
      <c r="G82" s="165">
        <f t="shared" si="23"/>
        <v>0</v>
      </c>
      <c r="H82" s="166" t="s">
        <v>385</v>
      </c>
      <c r="I82" s="167">
        <f t="shared" si="19"/>
        <v>0.9</v>
      </c>
      <c r="J82" s="166" t="s">
        <v>395</v>
      </c>
      <c r="K82" s="168">
        <f t="shared" si="20"/>
        <v>0.3</v>
      </c>
      <c r="N82" s="207" t="s">
        <v>239</v>
      </c>
      <c r="O82" s="205">
        <v>0.8</v>
      </c>
      <c r="P82" s="206" t="s">
        <v>62</v>
      </c>
    </row>
    <row r="83" spans="1:16" x14ac:dyDescent="0.25">
      <c r="A83" s="160" t="s">
        <v>236</v>
      </c>
      <c r="B83" s="161" t="s">
        <v>61</v>
      </c>
      <c r="C83" s="162" t="str">
        <f t="shared" si="21"/>
        <v>RJPetrópolis</v>
      </c>
      <c r="D83" s="49" t="str">
        <f t="shared" ca="1" si="18"/>
        <v>Cadastro ok</v>
      </c>
      <c r="E83" s="179" t="s">
        <v>370</v>
      </c>
      <c r="F83" s="165">
        <f t="shared" si="22"/>
        <v>0</v>
      </c>
      <c r="G83" s="165">
        <f t="shared" si="23"/>
        <v>0</v>
      </c>
      <c r="H83" s="166" t="s">
        <v>385</v>
      </c>
      <c r="I83" s="167">
        <f t="shared" si="19"/>
        <v>0.9</v>
      </c>
      <c r="J83" s="166" t="s">
        <v>395</v>
      </c>
      <c r="K83" s="168">
        <f t="shared" si="20"/>
        <v>0.3</v>
      </c>
      <c r="N83" s="207" t="s">
        <v>150</v>
      </c>
      <c r="O83" s="205">
        <v>0.9</v>
      </c>
      <c r="P83" s="206" t="s">
        <v>46</v>
      </c>
    </row>
    <row r="84" spans="1:16" x14ac:dyDescent="0.25">
      <c r="A84" s="160" t="s">
        <v>244</v>
      </c>
      <c r="B84" s="161" t="s">
        <v>61</v>
      </c>
      <c r="C84" s="162" t="str">
        <f t="shared" si="21"/>
        <v>RJResende</v>
      </c>
      <c r="D84" s="49" t="str">
        <f t="shared" ca="1" si="18"/>
        <v>Cadastro ok</v>
      </c>
      <c r="E84" s="179" t="s">
        <v>370</v>
      </c>
      <c r="F84" s="165">
        <f t="shared" si="22"/>
        <v>0</v>
      </c>
      <c r="G84" s="165">
        <f t="shared" si="23"/>
        <v>0</v>
      </c>
      <c r="H84" s="166" t="s">
        <v>385</v>
      </c>
      <c r="I84" s="167">
        <f t="shared" si="19"/>
        <v>0.9</v>
      </c>
      <c r="J84" s="166" t="s">
        <v>395</v>
      </c>
      <c r="K84" s="168">
        <f t="shared" si="20"/>
        <v>0.3</v>
      </c>
      <c r="M84" s="183"/>
      <c r="N84" s="207" t="s">
        <v>176</v>
      </c>
      <c r="O84" s="205">
        <v>0.9</v>
      </c>
      <c r="P84" s="206" t="s">
        <v>63</v>
      </c>
    </row>
    <row r="85" spans="1:16" x14ac:dyDescent="0.25">
      <c r="A85" s="160" t="s">
        <v>251</v>
      </c>
      <c r="B85" s="161" t="s">
        <v>61</v>
      </c>
      <c r="C85" s="162" t="str">
        <f t="shared" si="21"/>
        <v>RJRio de Janeiro</v>
      </c>
      <c r="D85" s="49" t="str">
        <f t="shared" ca="1" si="18"/>
        <v>Cadastro ok</v>
      </c>
      <c r="E85" s="179" t="s">
        <v>370</v>
      </c>
      <c r="F85" s="165">
        <f t="shared" si="22"/>
        <v>0</v>
      </c>
      <c r="G85" s="165">
        <f t="shared" si="23"/>
        <v>0</v>
      </c>
      <c r="H85" s="166" t="s">
        <v>385</v>
      </c>
      <c r="I85" s="167">
        <f t="shared" si="19"/>
        <v>0.9</v>
      </c>
      <c r="J85" s="166" t="s">
        <v>395</v>
      </c>
      <c r="K85" s="168">
        <f t="shared" si="20"/>
        <v>0.3</v>
      </c>
      <c r="N85" s="207" t="s">
        <v>246</v>
      </c>
      <c r="O85" s="205">
        <v>0.8</v>
      </c>
      <c r="P85" s="206" t="s">
        <v>62</v>
      </c>
    </row>
    <row r="86" spans="1:16" x14ac:dyDescent="0.25">
      <c r="A86" s="160" t="s">
        <v>159</v>
      </c>
      <c r="B86" s="161" t="s">
        <v>53</v>
      </c>
      <c r="C86" s="162" t="str">
        <f t="shared" si="21"/>
        <v>RNMossoró</v>
      </c>
      <c r="D86" s="49" t="str">
        <f t="shared" ca="1" si="18"/>
        <v>Cadastro ok</v>
      </c>
      <c r="E86" s="179" t="s">
        <v>370</v>
      </c>
      <c r="F86" s="165">
        <f t="shared" si="22"/>
        <v>0</v>
      </c>
      <c r="G86" s="165">
        <f t="shared" si="23"/>
        <v>0</v>
      </c>
      <c r="H86" s="166" t="s">
        <v>385</v>
      </c>
      <c r="I86" s="167">
        <f t="shared" si="19"/>
        <v>0.9</v>
      </c>
      <c r="J86" s="166" t="s">
        <v>371</v>
      </c>
      <c r="K86" s="168">
        <f t="shared" si="20"/>
        <v>0.36</v>
      </c>
      <c r="N86" s="207" t="s">
        <v>214</v>
      </c>
      <c r="O86" s="205">
        <v>0.9</v>
      </c>
      <c r="P86" s="206" t="s">
        <v>59</v>
      </c>
    </row>
    <row r="87" spans="1:16" x14ac:dyDescent="0.25">
      <c r="A87" s="160" t="s">
        <v>179</v>
      </c>
      <c r="B87" s="161" t="s">
        <v>53</v>
      </c>
      <c r="C87" s="162" t="str">
        <f t="shared" si="21"/>
        <v>RNNatal</v>
      </c>
      <c r="D87" s="49" t="str">
        <f t="shared" ca="1" si="18"/>
        <v>Cadastro ok</v>
      </c>
      <c r="E87" s="179" t="s">
        <v>370</v>
      </c>
      <c r="F87" s="165">
        <f t="shared" si="22"/>
        <v>0</v>
      </c>
      <c r="G87" s="165">
        <f t="shared" si="23"/>
        <v>0</v>
      </c>
      <c r="H87" s="166" t="s">
        <v>385</v>
      </c>
      <c r="I87" s="167">
        <f t="shared" si="19"/>
        <v>0.9</v>
      </c>
      <c r="J87" s="166" t="s">
        <v>371</v>
      </c>
      <c r="K87" s="168">
        <f t="shared" si="20"/>
        <v>0.36</v>
      </c>
      <c r="N87" s="207" t="s">
        <v>196</v>
      </c>
      <c r="O87" s="205">
        <v>0.9</v>
      </c>
      <c r="P87" s="206" t="s">
        <v>45</v>
      </c>
    </row>
    <row r="88" spans="1:16" x14ac:dyDescent="0.25">
      <c r="A88" s="160" t="s">
        <v>203</v>
      </c>
      <c r="B88" s="161" t="s">
        <v>53</v>
      </c>
      <c r="C88" s="162" t="str">
        <f t="shared" si="21"/>
        <v>RNNova Parnamirim</v>
      </c>
      <c r="D88" s="49" t="str">
        <f t="shared" ca="1" si="18"/>
        <v>Cadastro ok</v>
      </c>
      <c r="E88" s="179" t="s">
        <v>370</v>
      </c>
      <c r="F88" s="165">
        <f t="shared" si="22"/>
        <v>0</v>
      </c>
      <c r="G88" s="165">
        <f t="shared" si="23"/>
        <v>0</v>
      </c>
      <c r="H88" s="166" t="s">
        <v>385</v>
      </c>
      <c r="I88" s="167">
        <f t="shared" si="19"/>
        <v>0.9</v>
      </c>
      <c r="J88" s="166" t="s">
        <v>371</v>
      </c>
      <c r="K88" s="168">
        <f t="shared" si="20"/>
        <v>0.36</v>
      </c>
      <c r="N88" s="207" t="s">
        <v>202</v>
      </c>
      <c r="O88" s="205">
        <v>0.73</v>
      </c>
      <c r="P88" s="206" t="s">
        <v>61</v>
      </c>
    </row>
    <row r="89" spans="1:16" x14ac:dyDescent="0.25">
      <c r="A89" s="160" t="s">
        <v>160</v>
      </c>
      <c r="B89" s="161" t="s">
        <v>65</v>
      </c>
      <c r="C89" s="162" t="str">
        <f t="shared" si="21"/>
        <v>RSBento Gonçalves</v>
      </c>
      <c r="D89" s="49" t="str">
        <f t="shared" ca="1" si="18"/>
        <v>Cadastro ok</v>
      </c>
      <c r="E89" s="179" t="s">
        <v>370</v>
      </c>
      <c r="F89" s="165">
        <f t="shared" si="22"/>
        <v>0</v>
      </c>
      <c r="G89" s="165">
        <f t="shared" si="23"/>
        <v>0</v>
      </c>
      <c r="H89" s="166" t="s">
        <v>385</v>
      </c>
      <c r="I89" s="167">
        <f t="shared" si="19"/>
        <v>0.9</v>
      </c>
      <c r="J89" s="166" t="s">
        <v>376</v>
      </c>
      <c r="K89" s="168">
        <f t="shared" si="20"/>
        <v>0.6</v>
      </c>
      <c r="N89" s="207" t="s">
        <v>208</v>
      </c>
      <c r="O89" s="208">
        <v>0.4</v>
      </c>
      <c r="P89" s="206" t="s">
        <v>58</v>
      </c>
    </row>
    <row r="90" spans="1:16" x14ac:dyDescent="0.25">
      <c r="A90" s="160" t="s">
        <v>180</v>
      </c>
      <c r="B90" s="161" t="s">
        <v>65</v>
      </c>
      <c r="C90" s="162" t="str">
        <f t="shared" si="21"/>
        <v>RSCanoas</v>
      </c>
      <c r="D90" s="49" t="str">
        <f t="shared" ca="1" si="18"/>
        <v>Cadastro ok</v>
      </c>
      <c r="E90" s="179" t="s">
        <v>370</v>
      </c>
      <c r="F90" s="165">
        <f t="shared" si="22"/>
        <v>0</v>
      </c>
      <c r="G90" s="165">
        <f t="shared" si="23"/>
        <v>0</v>
      </c>
      <c r="H90" s="166" t="s">
        <v>385</v>
      </c>
      <c r="I90" s="167">
        <f t="shared" si="19"/>
        <v>0.9</v>
      </c>
      <c r="J90" s="166" t="s">
        <v>408</v>
      </c>
      <c r="K90" s="168">
        <f t="shared" si="20"/>
        <v>0.45</v>
      </c>
      <c r="N90" s="207" t="s">
        <v>223</v>
      </c>
      <c r="O90" s="208">
        <v>0.45</v>
      </c>
      <c r="P90" s="206" t="s">
        <v>58</v>
      </c>
    </row>
    <row r="91" spans="1:16" x14ac:dyDescent="0.25">
      <c r="A91" s="160" t="s">
        <v>204</v>
      </c>
      <c r="B91" s="161" t="s">
        <v>65</v>
      </c>
      <c r="C91" s="162" t="str">
        <f t="shared" si="21"/>
        <v>RSPasso Fundo</v>
      </c>
      <c r="D91" s="49" t="str">
        <f t="shared" ca="1" si="18"/>
        <v>Cadastro ok</v>
      </c>
      <c r="E91" s="179" t="s">
        <v>370</v>
      </c>
      <c r="F91" s="165">
        <f t="shared" si="22"/>
        <v>0</v>
      </c>
      <c r="G91" s="165">
        <f t="shared" si="23"/>
        <v>0</v>
      </c>
      <c r="H91" s="166" t="s">
        <v>385</v>
      </c>
      <c r="I91" s="167">
        <f t="shared" si="19"/>
        <v>0.9</v>
      </c>
      <c r="J91" s="166" t="s">
        <v>408</v>
      </c>
      <c r="K91" s="168">
        <f t="shared" si="20"/>
        <v>0.45</v>
      </c>
      <c r="N91" s="207" t="s">
        <v>205</v>
      </c>
      <c r="O91" s="205">
        <v>0.9</v>
      </c>
      <c r="P91" s="206" t="s">
        <v>64</v>
      </c>
    </row>
    <row r="92" spans="1:16" x14ac:dyDescent="0.25">
      <c r="A92" s="160" t="s">
        <v>220</v>
      </c>
      <c r="B92" s="161" t="s">
        <v>65</v>
      </c>
      <c r="C92" s="162" t="str">
        <f t="shared" si="21"/>
        <v>RSPorto Alegre</v>
      </c>
      <c r="D92" s="49" t="str">
        <f t="shared" ca="1" si="18"/>
        <v>Cadastro ok</v>
      </c>
      <c r="E92" s="179" t="s">
        <v>370</v>
      </c>
      <c r="F92" s="165">
        <f t="shared" si="22"/>
        <v>0</v>
      </c>
      <c r="G92" s="165">
        <f t="shared" si="23"/>
        <v>0</v>
      </c>
      <c r="H92" s="166" t="s">
        <v>385</v>
      </c>
      <c r="I92" s="167">
        <f t="shared" si="19"/>
        <v>0.9</v>
      </c>
      <c r="J92" s="166" t="s">
        <v>408</v>
      </c>
      <c r="K92" s="168">
        <f t="shared" si="20"/>
        <v>0.45</v>
      </c>
      <c r="N92" s="207" t="s">
        <v>209</v>
      </c>
      <c r="O92" s="208">
        <v>0.9</v>
      </c>
      <c r="P92" s="206" t="s">
        <v>52</v>
      </c>
    </row>
    <row r="93" spans="1:16" x14ac:dyDescent="0.25">
      <c r="A93" s="160" t="s">
        <v>229</v>
      </c>
      <c r="B93" s="161" t="s">
        <v>65</v>
      </c>
      <c r="C93" s="162" t="str">
        <f t="shared" si="21"/>
        <v>RSRio Grande</v>
      </c>
      <c r="D93" s="49" t="str">
        <f t="shared" ca="1" si="18"/>
        <v>Cadastro ok</v>
      </c>
      <c r="E93" s="179" t="s">
        <v>370</v>
      </c>
      <c r="F93" s="165">
        <f t="shared" si="22"/>
        <v>0</v>
      </c>
      <c r="G93" s="165">
        <f t="shared" si="23"/>
        <v>0</v>
      </c>
      <c r="H93" s="166" t="s">
        <v>385</v>
      </c>
      <c r="I93" s="167">
        <f t="shared" si="19"/>
        <v>0.9</v>
      </c>
      <c r="J93" s="166" t="s">
        <v>408</v>
      </c>
      <c r="K93" s="168">
        <f t="shared" si="20"/>
        <v>0.45</v>
      </c>
      <c r="N93" s="207" t="s">
        <v>200</v>
      </c>
      <c r="O93" s="205">
        <v>0.9</v>
      </c>
      <c r="P93" s="206" t="s">
        <v>63</v>
      </c>
    </row>
    <row r="94" spans="1:16" x14ac:dyDescent="0.25">
      <c r="A94" s="160" t="s">
        <v>237</v>
      </c>
      <c r="B94" s="161" t="s">
        <v>65</v>
      </c>
      <c r="C94" s="162" t="str">
        <f t="shared" si="21"/>
        <v>RSSanta Cruz do Sul</v>
      </c>
      <c r="D94" s="49" t="str">
        <f t="shared" ca="1" si="18"/>
        <v>Cadastro ok</v>
      </c>
      <c r="E94" s="179" t="s">
        <v>370</v>
      </c>
      <c r="F94" s="165">
        <f t="shared" si="22"/>
        <v>0</v>
      </c>
      <c r="G94" s="165">
        <f t="shared" si="23"/>
        <v>0</v>
      </c>
      <c r="H94" s="166" t="s">
        <v>385</v>
      </c>
      <c r="I94" s="167">
        <f t="shared" si="19"/>
        <v>0.9</v>
      </c>
      <c r="J94" s="166" t="s">
        <v>408</v>
      </c>
      <c r="K94" s="168">
        <f t="shared" si="20"/>
        <v>0.45</v>
      </c>
      <c r="N94" s="207" t="s">
        <v>252</v>
      </c>
      <c r="O94" s="205">
        <v>0.8</v>
      </c>
      <c r="P94" s="206" t="s">
        <v>62</v>
      </c>
    </row>
    <row r="95" spans="1:16" x14ac:dyDescent="0.25">
      <c r="A95" s="160" t="s">
        <v>161</v>
      </c>
      <c r="B95" s="161" t="s">
        <v>64</v>
      </c>
      <c r="C95" s="162" t="str">
        <f t="shared" si="21"/>
        <v>SCBlumenau</v>
      </c>
      <c r="D95" s="49" t="str">
        <f t="shared" ca="1" si="18"/>
        <v>Cadastro ok</v>
      </c>
      <c r="E95" s="179" t="s">
        <v>370</v>
      </c>
      <c r="F95" s="165">
        <f t="shared" si="22"/>
        <v>0</v>
      </c>
      <c r="G95" s="165">
        <f t="shared" si="23"/>
        <v>0</v>
      </c>
      <c r="H95" s="166" t="s">
        <v>385</v>
      </c>
      <c r="I95" s="167">
        <f t="shared" si="19"/>
        <v>0.9</v>
      </c>
      <c r="J95" s="166" t="s">
        <v>371</v>
      </c>
      <c r="K95" s="168">
        <f t="shared" si="20"/>
        <v>0.36</v>
      </c>
      <c r="N95" s="207" t="s">
        <v>225</v>
      </c>
      <c r="O95" s="205">
        <v>0.9</v>
      </c>
      <c r="P95" s="206" t="s">
        <v>48</v>
      </c>
    </row>
    <row r="96" spans="1:16" x14ac:dyDescent="0.25">
      <c r="A96" s="160" t="s">
        <v>181</v>
      </c>
      <c r="B96" s="161" t="s">
        <v>64</v>
      </c>
      <c r="C96" s="162" t="str">
        <f t="shared" si="21"/>
        <v>SCChapecó</v>
      </c>
      <c r="D96" s="49" t="str">
        <f t="shared" ca="1" si="18"/>
        <v>Cadastro ok</v>
      </c>
      <c r="E96" s="179" t="s">
        <v>370</v>
      </c>
      <c r="F96" s="165">
        <f t="shared" si="22"/>
        <v>0</v>
      </c>
      <c r="G96" s="165">
        <f t="shared" si="23"/>
        <v>0</v>
      </c>
      <c r="H96" s="166" t="s">
        <v>385</v>
      </c>
      <c r="I96" s="167">
        <f t="shared" si="19"/>
        <v>0.9</v>
      </c>
      <c r="J96" s="166" t="s">
        <v>371</v>
      </c>
      <c r="K96" s="168">
        <f t="shared" si="20"/>
        <v>0.36</v>
      </c>
      <c r="N96" s="207" t="s">
        <v>226</v>
      </c>
      <c r="O96" s="205">
        <v>0.9</v>
      </c>
      <c r="P96" s="206" t="s">
        <v>59</v>
      </c>
    </row>
    <row r="97" spans="1:16" x14ac:dyDescent="0.25">
      <c r="A97" s="160" t="s">
        <v>205</v>
      </c>
      <c r="B97" s="161" t="s">
        <v>64</v>
      </c>
      <c r="C97" s="162" t="str">
        <f t="shared" si="21"/>
        <v>SCFlorianópolis</v>
      </c>
      <c r="D97" s="49" t="str">
        <f t="shared" ca="1" si="18"/>
        <v>Cadastro ok</v>
      </c>
      <c r="E97" s="179" t="s">
        <v>370</v>
      </c>
      <c r="F97" s="165">
        <f t="shared" si="22"/>
        <v>0</v>
      </c>
      <c r="G97" s="165">
        <f t="shared" si="23"/>
        <v>0</v>
      </c>
      <c r="H97" s="166" t="s">
        <v>385</v>
      </c>
      <c r="I97" s="167">
        <f t="shared" si="19"/>
        <v>0.9</v>
      </c>
      <c r="J97" s="166" t="s">
        <v>371</v>
      </c>
      <c r="K97" s="168">
        <f t="shared" si="20"/>
        <v>0.36</v>
      </c>
      <c r="N97" s="207" t="s">
        <v>216</v>
      </c>
      <c r="O97" s="205">
        <v>0.9</v>
      </c>
      <c r="P97" s="206" t="s">
        <v>63</v>
      </c>
    </row>
    <row r="98" spans="1:16" x14ac:dyDescent="0.25">
      <c r="A98" s="160" t="s">
        <v>221</v>
      </c>
      <c r="B98" s="161" t="s">
        <v>64</v>
      </c>
      <c r="C98" s="162" t="str">
        <f t="shared" si="21"/>
        <v>SCJoinville</v>
      </c>
      <c r="D98" s="49" t="str">
        <f t="shared" ca="1" si="18"/>
        <v>Cadastro ok</v>
      </c>
      <c r="E98" s="179" t="s">
        <v>370</v>
      </c>
      <c r="F98" s="165">
        <f t="shared" si="22"/>
        <v>0</v>
      </c>
      <c r="G98" s="165">
        <f t="shared" si="23"/>
        <v>0</v>
      </c>
      <c r="H98" s="166" t="s">
        <v>385</v>
      </c>
      <c r="I98" s="167">
        <f t="shared" si="19"/>
        <v>0.9</v>
      </c>
      <c r="J98" s="166" t="s">
        <v>371</v>
      </c>
      <c r="K98" s="168">
        <f t="shared" si="20"/>
        <v>0.36</v>
      </c>
      <c r="N98" s="207" t="s">
        <v>183</v>
      </c>
      <c r="O98" s="205">
        <v>0.9</v>
      </c>
      <c r="P98" s="206" t="s">
        <v>47</v>
      </c>
    </row>
    <row r="99" spans="1:16" x14ac:dyDescent="0.25">
      <c r="A99" s="160" t="s">
        <v>230</v>
      </c>
      <c r="B99" s="161" t="s">
        <v>64</v>
      </c>
      <c r="C99" s="162" t="str">
        <f t="shared" si="21"/>
        <v>SCLages</v>
      </c>
      <c r="D99" s="49" t="str">
        <f t="shared" ca="1" si="18"/>
        <v>Cadastro ok</v>
      </c>
      <c r="E99" s="179" t="s">
        <v>370</v>
      </c>
      <c r="F99" s="165">
        <f t="shared" si="22"/>
        <v>0</v>
      </c>
      <c r="G99" s="165">
        <f t="shared" si="23"/>
        <v>0</v>
      </c>
      <c r="H99" s="166" t="s">
        <v>385</v>
      </c>
      <c r="I99" s="167">
        <f t="shared" si="19"/>
        <v>0.9</v>
      </c>
      <c r="J99" s="166" t="s">
        <v>371</v>
      </c>
      <c r="K99" s="168">
        <f t="shared" si="20"/>
        <v>0.36</v>
      </c>
      <c r="N99" s="207" t="s">
        <v>194</v>
      </c>
      <c r="O99" s="205">
        <v>0.9</v>
      </c>
      <c r="P99" s="206" t="s">
        <v>50</v>
      </c>
    </row>
    <row r="100" spans="1:16" x14ac:dyDescent="0.25">
      <c r="A100" s="160" t="s">
        <v>238</v>
      </c>
      <c r="B100" s="161" t="s">
        <v>64</v>
      </c>
      <c r="C100" s="162" t="str">
        <f t="shared" si="21"/>
        <v>SCSão Francisco do Sul</v>
      </c>
      <c r="D100" s="49" t="str">
        <f t="shared" ca="1" si="18"/>
        <v>Cadastro ok</v>
      </c>
      <c r="E100" s="179" t="s">
        <v>370</v>
      </c>
      <c r="F100" s="165">
        <f t="shared" si="22"/>
        <v>0</v>
      </c>
      <c r="G100" s="165">
        <f t="shared" si="23"/>
        <v>0</v>
      </c>
      <c r="H100" s="166" t="s">
        <v>385</v>
      </c>
      <c r="I100" s="167">
        <f t="shared" si="19"/>
        <v>0.9</v>
      </c>
      <c r="J100" s="166" t="s">
        <v>371</v>
      </c>
      <c r="K100" s="168">
        <f t="shared" si="20"/>
        <v>0.36</v>
      </c>
      <c r="N100" s="207" t="s">
        <v>232</v>
      </c>
      <c r="O100" s="208">
        <v>0.57999999999999996</v>
      </c>
      <c r="P100" s="206" t="s">
        <v>58</v>
      </c>
    </row>
    <row r="101" spans="1:16" x14ac:dyDescent="0.25">
      <c r="A101" s="160" t="s">
        <v>245</v>
      </c>
      <c r="B101" s="161" t="s">
        <v>64</v>
      </c>
      <c r="C101" s="162" t="str">
        <f t="shared" si="21"/>
        <v>SCTubarão</v>
      </c>
      <c r="D101" s="49" t="str">
        <f t="shared" ca="1" si="18"/>
        <v>Cadastro ok</v>
      </c>
      <c r="E101" s="179" t="s">
        <v>370</v>
      </c>
      <c r="F101" s="165">
        <f t="shared" si="22"/>
        <v>0</v>
      </c>
      <c r="G101" s="165">
        <f t="shared" si="23"/>
        <v>0</v>
      </c>
      <c r="H101" s="166" t="s">
        <v>385</v>
      </c>
      <c r="I101" s="167">
        <f t="shared" si="19"/>
        <v>0.9</v>
      </c>
      <c r="J101" s="166" t="s">
        <v>371</v>
      </c>
      <c r="K101" s="168">
        <f t="shared" si="20"/>
        <v>0.36</v>
      </c>
      <c r="N101" s="207" t="s">
        <v>233</v>
      </c>
      <c r="O101" s="205">
        <v>0.9</v>
      </c>
      <c r="P101" s="206" t="s">
        <v>59</v>
      </c>
    </row>
    <row r="102" spans="1:16" x14ac:dyDescent="0.25">
      <c r="A102" s="160" t="s">
        <v>162</v>
      </c>
      <c r="B102" s="161" t="s">
        <v>62</v>
      </c>
      <c r="C102" s="162" t="str">
        <f t="shared" si="21"/>
        <v>SPAraraquara</v>
      </c>
      <c r="D102" s="49" t="str">
        <f t="shared" ca="1" si="18"/>
        <v>Cadastro ok</v>
      </c>
      <c r="E102" s="179" t="s">
        <v>370</v>
      </c>
      <c r="F102" s="165">
        <f t="shared" si="22"/>
        <v>0</v>
      </c>
      <c r="G102" s="165">
        <f t="shared" si="23"/>
        <v>0</v>
      </c>
      <c r="H102" s="166" t="s">
        <v>385</v>
      </c>
      <c r="I102" s="167">
        <f t="shared" si="19"/>
        <v>0.9</v>
      </c>
      <c r="J102" s="166" t="s">
        <v>395</v>
      </c>
      <c r="K102" s="168">
        <f t="shared" si="20"/>
        <v>0.3</v>
      </c>
      <c r="N102" s="207" t="s">
        <v>240</v>
      </c>
      <c r="O102" s="208">
        <v>0.4</v>
      </c>
      <c r="P102" s="206" t="s">
        <v>58</v>
      </c>
    </row>
    <row r="103" spans="1:16" x14ac:dyDescent="0.25">
      <c r="A103" s="160" t="s">
        <v>182</v>
      </c>
      <c r="B103" s="161" t="s">
        <v>62</v>
      </c>
      <c r="C103" s="162" t="str">
        <f t="shared" si="21"/>
        <v>SPBarueri</v>
      </c>
      <c r="D103" s="49" t="str">
        <f t="shared" ca="1" si="18"/>
        <v>Cadastro ok</v>
      </c>
      <c r="E103" s="179" t="s">
        <v>370</v>
      </c>
      <c r="F103" s="165">
        <f t="shared" si="22"/>
        <v>0</v>
      </c>
      <c r="G103" s="165">
        <f t="shared" si="23"/>
        <v>0</v>
      </c>
      <c r="H103" s="166" t="s">
        <v>385</v>
      </c>
      <c r="I103" s="167">
        <f t="shared" si="19"/>
        <v>0.9</v>
      </c>
      <c r="J103" s="166" t="s">
        <v>395</v>
      </c>
      <c r="K103" s="168">
        <f t="shared" si="20"/>
        <v>0.3</v>
      </c>
      <c r="N103" s="207" t="s">
        <v>218</v>
      </c>
      <c r="O103" s="205">
        <v>0.73</v>
      </c>
      <c r="P103" s="206" t="s">
        <v>61</v>
      </c>
    </row>
    <row r="104" spans="1:16" x14ac:dyDescent="0.25">
      <c r="A104" s="160" t="s">
        <v>402</v>
      </c>
      <c r="B104" s="161" t="s">
        <v>62</v>
      </c>
      <c r="C104" s="162" t="str">
        <f t="shared" si="21"/>
        <v>SPBauru</v>
      </c>
      <c r="D104" s="49" t="str">
        <f t="shared" ca="1" si="18"/>
        <v>Cadastro errado</v>
      </c>
      <c r="E104" s="179" t="s">
        <v>370</v>
      </c>
      <c r="F104" s="165">
        <f t="shared" si="22"/>
        <v>0</v>
      </c>
      <c r="G104" s="165">
        <f t="shared" si="23"/>
        <v>0</v>
      </c>
      <c r="H104" s="166" t="s">
        <v>385</v>
      </c>
      <c r="I104" s="167">
        <f t="shared" si="19"/>
        <v>0.9</v>
      </c>
      <c r="J104" s="166" t="s">
        <v>395</v>
      </c>
      <c r="K104" s="168">
        <f t="shared" si="20"/>
        <v>0.3</v>
      </c>
      <c r="N104" s="207" t="s">
        <v>257</v>
      </c>
      <c r="O104" s="205">
        <v>0.8</v>
      </c>
      <c r="P104" s="206" t="s">
        <v>62</v>
      </c>
    </row>
    <row r="105" spans="1:16" x14ac:dyDescent="0.25">
      <c r="A105" s="160" t="s">
        <v>222</v>
      </c>
      <c r="B105" s="161" t="s">
        <v>62</v>
      </c>
      <c r="C105" s="162" t="str">
        <f t="shared" si="21"/>
        <v>SPCajamar</v>
      </c>
      <c r="D105" s="49" t="str">
        <f t="shared" ca="1" si="18"/>
        <v>Cadastro ok</v>
      </c>
      <c r="E105" s="179" t="s">
        <v>370</v>
      </c>
      <c r="F105" s="165">
        <f t="shared" si="22"/>
        <v>0</v>
      </c>
      <c r="G105" s="165">
        <f t="shared" si="23"/>
        <v>0</v>
      </c>
      <c r="H105" s="166" t="s">
        <v>385</v>
      </c>
      <c r="I105" s="167">
        <f t="shared" si="19"/>
        <v>0.9</v>
      </c>
      <c r="J105" s="166" t="s">
        <v>395</v>
      </c>
      <c r="K105" s="168">
        <f t="shared" si="20"/>
        <v>0.3</v>
      </c>
      <c r="N105" s="207" t="s">
        <v>201</v>
      </c>
      <c r="O105" s="205">
        <v>0.37</v>
      </c>
      <c r="P105" s="206" t="s">
        <v>55</v>
      </c>
    </row>
    <row r="106" spans="1:16" x14ac:dyDescent="0.25">
      <c r="A106" s="160" t="s">
        <v>231</v>
      </c>
      <c r="B106" s="161" t="s">
        <v>62</v>
      </c>
      <c r="C106" s="162" t="str">
        <f t="shared" si="21"/>
        <v>SPCampinas</v>
      </c>
      <c r="D106" s="49" t="str">
        <f t="shared" ca="1" si="18"/>
        <v>Cadastro ok</v>
      </c>
      <c r="E106" s="179" t="s">
        <v>370</v>
      </c>
      <c r="F106" s="165">
        <f t="shared" si="22"/>
        <v>0</v>
      </c>
      <c r="G106" s="165">
        <f t="shared" si="23"/>
        <v>0</v>
      </c>
      <c r="H106" s="166" t="s">
        <v>385</v>
      </c>
      <c r="I106" s="167">
        <f t="shared" si="19"/>
        <v>0.9</v>
      </c>
      <c r="J106" s="166" t="s">
        <v>395</v>
      </c>
      <c r="K106" s="168">
        <f t="shared" si="20"/>
        <v>0.3</v>
      </c>
      <c r="N106" s="207" t="s">
        <v>260</v>
      </c>
      <c r="O106" s="205">
        <v>0.8</v>
      </c>
      <c r="P106" s="206" t="s">
        <v>62</v>
      </c>
    </row>
    <row r="107" spans="1:16" x14ac:dyDescent="0.25">
      <c r="A107" s="160" t="s">
        <v>239</v>
      </c>
      <c r="B107" s="161" t="s">
        <v>62</v>
      </c>
      <c r="C107" s="162" t="str">
        <f t="shared" si="21"/>
        <v>SPCubatão</v>
      </c>
      <c r="D107" s="49" t="str">
        <f t="shared" ca="1" si="18"/>
        <v>Cadastro ok</v>
      </c>
      <c r="E107" s="179" t="s">
        <v>370</v>
      </c>
      <c r="F107" s="165">
        <f t="shared" si="22"/>
        <v>0</v>
      </c>
      <c r="G107" s="165">
        <f t="shared" si="23"/>
        <v>0</v>
      </c>
      <c r="H107" s="166" t="s">
        <v>385</v>
      </c>
      <c r="I107" s="167">
        <f t="shared" si="19"/>
        <v>0.9</v>
      </c>
      <c r="J107" s="166" t="s">
        <v>395</v>
      </c>
      <c r="K107" s="168">
        <f t="shared" si="20"/>
        <v>0.3</v>
      </c>
      <c r="N107" s="207" t="s">
        <v>263</v>
      </c>
      <c r="O107" s="205">
        <v>0.8</v>
      </c>
      <c r="P107" s="206" t="s">
        <v>62</v>
      </c>
    </row>
    <row r="108" spans="1:16" x14ac:dyDescent="0.25">
      <c r="A108" s="160" t="s">
        <v>246</v>
      </c>
      <c r="B108" s="161" t="s">
        <v>62</v>
      </c>
      <c r="C108" s="162" t="str">
        <f t="shared" si="21"/>
        <v>SPDiadema</v>
      </c>
      <c r="D108" s="49" t="str">
        <f t="shared" ca="1" si="18"/>
        <v>Cadastro ok</v>
      </c>
      <c r="E108" s="179" t="s">
        <v>370</v>
      </c>
      <c r="F108" s="165">
        <f t="shared" si="22"/>
        <v>0</v>
      </c>
      <c r="G108" s="165">
        <f t="shared" si="23"/>
        <v>0</v>
      </c>
      <c r="H108" s="166" t="s">
        <v>385</v>
      </c>
      <c r="I108" s="167">
        <f t="shared" si="19"/>
        <v>0.9</v>
      </c>
      <c r="J108" s="166" t="s">
        <v>395</v>
      </c>
      <c r="K108" s="168">
        <f t="shared" si="20"/>
        <v>0.3</v>
      </c>
      <c r="N108" s="207" t="s">
        <v>175</v>
      </c>
      <c r="O108" s="205">
        <v>0.9</v>
      </c>
      <c r="P108" s="206" t="s">
        <v>54</v>
      </c>
    </row>
    <row r="109" spans="1:16" x14ac:dyDescent="0.25">
      <c r="A109" s="160" t="s">
        <v>252</v>
      </c>
      <c r="B109" s="161" t="s">
        <v>62</v>
      </c>
      <c r="C109" s="162" t="str">
        <f t="shared" si="21"/>
        <v>SPFranca</v>
      </c>
      <c r="D109" s="49" t="str">
        <f t="shared" ca="1" si="18"/>
        <v>Cadastro ok</v>
      </c>
      <c r="E109" s="179" t="s">
        <v>370</v>
      </c>
      <c r="F109" s="165">
        <f t="shared" si="22"/>
        <v>0</v>
      </c>
      <c r="G109" s="165">
        <f t="shared" si="23"/>
        <v>0</v>
      </c>
      <c r="H109" s="166" t="s">
        <v>385</v>
      </c>
      <c r="I109" s="167">
        <f t="shared" si="19"/>
        <v>0.9</v>
      </c>
      <c r="J109" s="166" t="s">
        <v>395</v>
      </c>
      <c r="K109" s="168">
        <f t="shared" si="20"/>
        <v>0.3</v>
      </c>
      <c r="N109" s="207" t="s">
        <v>221</v>
      </c>
      <c r="O109" s="205">
        <v>0.9</v>
      </c>
      <c r="P109" s="206" t="s">
        <v>64</v>
      </c>
    </row>
    <row r="110" spans="1:16" x14ac:dyDescent="0.25">
      <c r="A110" s="160" t="s">
        <v>257</v>
      </c>
      <c r="B110" s="161" t="s">
        <v>62</v>
      </c>
      <c r="C110" s="162" t="str">
        <f t="shared" si="21"/>
        <v>SPItu</v>
      </c>
      <c r="D110" s="49" t="str">
        <f t="shared" ca="1" si="18"/>
        <v>Cadastro ok</v>
      </c>
      <c r="E110" s="179" t="s">
        <v>370</v>
      </c>
      <c r="F110" s="165">
        <f t="shared" si="22"/>
        <v>0</v>
      </c>
      <c r="G110" s="165">
        <f t="shared" si="23"/>
        <v>0</v>
      </c>
      <c r="H110" s="166" t="s">
        <v>385</v>
      </c>
      <c r="I110" s="167">
        <f t="shared" si="19"/>
        <v>0.9</v>
      </c>
      <c r="J110" s="166" t="s">
        <v>395</v>
      </c>
      <c r="K110" s="168">
        <f t="shared" si="20"/>
        <v>0.3</v>
      </c>
      <c r="N110" s="207" t="s">
        <v>247</v>
      </c>
      <c r="O110" s="208">
        <v>0.6</v>
      </c>
      <c r="P110" s="206" t="s">
        <v>58</v>
      </c>
    </row>
    <row r="111" spans="1:16" x14ac:dyDescent="0.25">
      <c r="A111" s="160" t="s">
        <v>260</v>
      </c>
      <c r="B111" s="161" t="s">
        <v>62</v>
      </c>
      <c r="C111" s="162" t="str">
        <f t="shared" si="21"/>
        <v>SPJardinópolis</v>
      </c>
      <c r="D111" s="49" t="str">
        <f t="shared" ca="1" si="18"/>
        <v>Cadastro ok</v>
      </c>
      <c r="E111" s="179" t="s">
        <v>370</v>
      </c>
      <c r="F111" s="165">
        <f t="shared" si="22"/>
        <v>0</v>
      </c>
      <c r="G111" s="165">
        <f t="shared" si="23"/>
        <v>0</v>
      </c>
      <c r="H111" s="166" t="s">
        <v>385</v>
      </c>
      <c r="I111" s="167">
        <f t="shared" si="19"/>
        <v>0.9</v>
      </c>
      <c r="J111" s="166" t="s">
        <v>395</v>
      </c>
      <c r="K111" s="168">
        <f t="shared" si="20"/>
        <v>0.3</v>
      </c>
      <c r="N111" s="207" t="s">
        <v>145</v>
      </c>
      <c r="O111" s="208">
        <v>0.9</v>
      </c>
      <c r="P111" s="206" t="s">
        <v>52</v>
      </c>
    </row>
    <row r="112" spans="1:16" x14ac:dyDescent="0.25">
      <c r="A112" s="160" t="s">
        <v>263</v>
      </c>
      <c r="B112" s="161" t="s">
        <v>62</v>
      </c>
      <c r="C112" s="162" t="str">
        <f t="shared" si="21"/>
        <v>SPJaú</v>
      </c>
      <c r="D112" s="49" t="str">
        <f t="shared" ca="1" si="18"/>
        <v>Cadastro ok</v>
      </c>
      <c r="E112" s="179" t="s">
        <v>370</v>
      </c>
      <c r="F112" s="165">
        <f t="shared" si="22"/>
        <v>0</v>
      </c>
      <c r="G112" s="165">
        <f t="shared" si="23"/>
        <v>0</v>
      </c>
      <c r="H112" s="166" t="s">
        <v>385</v>
      </c>
      <c r="I112" s="167">
        <f t="shared" si="19"/>
        <v>0.9</v>
      </c>
      <c r="J112" s="166" t="s">
        <v>395</v>
      </c>
      <c r="K112" s="168">
        <f t="shared" si="20"/>
        <v>0.3</v>
      </c>
      <c r="N112" s="207" t="s">
        <v>241</v>
      </c>
      <c r="O112" s="205">
        <v>0.9</v>
      </c>
      <c r="P112" s="206" t="s">
        <v>59</v>
      </c>
    </row>
    <row r="113" spans="1:36" x14ac:dyDescent="0.25">
      <c r="A113" s="160" t="s">
        <v>266</v>
      </c>
      <c r="B113" s="161" t="s">
        <v>62</v>
      </c>
      <c r="C113" s="162" t="str">
        <f t="shared" si="21"/>
        <v>SPLimeira</v>
      </c>
      <c r="D113" s="49" t="str">
        <f t="shared" ca="1" si="18"/>
        <v>Cadastro ok</v>
      </c>
      <c r="E113" s="179" t="s">
        <v>370</v>
      </c>
      <c r="F113" s="165">
        <f t="shared" si="22"/>
        <v>0</v>
      </c>
      <c r="G113" s="165">
        <f t="shared" si="23"/>
        <v>0</v>
      </c>
      <c r="H113" s="166" t="s">
        <v>385</v>
      </c>
      <c r="I113" s="167">
        <f t="shared" si="19"/>
        <v>0.9</v>
      </c>
      <c r="J113" s="166" t="s">
        <v>395</v>
      </c>
      <c r="K113" s="168">
        <f t="shared" si="20"/>
        <v>0.3</v>
      </c>
      <c r="N113" s="207" t="s">
        <v>230</v>
      </c>
      <c r="O113" s="205">
        <v>0.9</v>
      </c>
      <c r="P113" s="206" t="s">
        <v>64</v>
      </c>
    </row>
    <row r="114" spans="1:36" x14ac:dyDescent="0.25">
      <c r="A114" s="160" t="s">
        <v>269</v>
      </c>
      <c r="B114" s="161" t="s">
        <v>62</v>
      </c>
      <c r="C114" s="162" t="str">
        <f t="shared" si="21"/>
        <v>SPMogi das Cruzes</v>
      </c>
      <c r="D114" s="49" t="str">
        <f t="shared" ca="1" si="18"/>
        <v>Cadastro ok</v>
      </c>
      <c r="E114" s="179" t="s">
        <v>370</v>
      </c>
      <c r="F114" s="165">
        <f t="shared" si="22"/>
        <v>0</v>
      </c>
      <c r="G114" s="165">
        <f t="shared" si="23"/>
        <v>0</v>
      </c>
      <c r="H114" s="166" t="s">
        <v>385</v>
      </c>
      <c r="I114" s="167">
        <f t="shared" si="19"/>
        <v>0.9</v>
      </c>
      <c r="J114" s="166" t="s">
        <v>395</v>
      </c>
      <c r="K114" s="168">
        <f t="shared" si="20"/>
        <v>0.3</v>
      </c>
      <c r="N114" s="207" t="s">
        <v>267</v>
      </c>
      <c r="O114" s="208">
        <v>0.16</v>
      </c>
      <c r="P114" s="206" t="s">
        <v>58</v>
      </c>
    </row>
    <row r="115" spans="1:36" x14ac:dyDescent="0.25">
      <c r="A115" s="160" t="s">
        <v>270</v>
      </c>
      <c r="B115" s="161" t="s">
        <v>62</v>
      </c>
      <c r="C115" s="162" t="str">
        <f t="shared" si="21"/>
        <v>SPOsasco</v>
      </c>
      <c r="D115" s="49" t="str">
        <f t="shared" ca="1" si="18"/>
        <v>Cadastro ok</v>
      </c>
      <c r="E115" s="179" t="s">
        <v>370</v>
      </c>
      <c r="F115" s="165">
        <f t="shared" si="22"/>
        <v>0</v>
      </c>
      <c r="G115" s="165">
        <f t="shared" si="23"/>
        <v>0</v>
      </c>
      <c r="H115" s="166" t="s">
        <v>385</v>
      </c>
      <c r="I115" s="167">
        <f t="shared" si="19"/>
        <v>0.9</v>
      </c>
      <c r="J115" s="166" t="s">
        <v>395</v>
      </c>
      <c r="K115" s="168">
        <f t="shared" si="20"/>
        <v>0.3</v>
      </c>
      <c r="N115" s="207" t="s">
        <v>266</v>
      </c>
      <c r="O115" s="205">
        <v>0.8</v>
      </c>
      <c r="P115" s="206" t="s">
        <v>62</v>
      </c>
    </row>
    <row r="116" spans="1:36" x14ac:dyDescent="0.25">
      <c r="A116" s="160" t="s">
        <v>271</v>
      </c>
      <c r="B116" s="161" t="s">
        <v>62</v>
      </c>
      <c r="C116" s="162" t="str">
        <f t="shared" si="21"/>
        <v>SPPaulínia</v>
      </c>
      <c r="D116" s="49" t="str">
        <f t="shared" ca="1" si="18"/>
        <v>Cadastro ok</v>
      </c>
      <c r="E116" s="179" t="s">
        <v>370</v>
      </c>
      <c r="F116" s="165">
        <f t="shared" si="22"/>
        <v>0</v>
      </c>
      <c r="G116" s="165">
        <f t="shared" si="23"/>
        <v>0</v>
      </c>
      <c r="H116" s="166" t="s">
        <v>385</v>
      </c>
      <c r="I116" s="167">
        <f t="shared" si="19"/>
        <v>0.9</v>
      </c>
      <c r="J116" s="166" t="s">
        <v>395</v>
      </c>
      <c r="K116" s="168">
        <f t="shared" si="20"/>
        <v>0.3</v>
      </c>
      <c r="N116" s="207" t="s">
        <v>192</v>
      </c>
      <c r="O116" s="205">
        <v>0.9</v>
      </c>
      <c r="P116" s="206" t="s">
        <v>60</v>
      </c>
    </row>
    <row r="117" spans="1:36" x14ac:dyDescent="0.25">
      <c r="A117" s="160" t="s">
        <v>272</v>
      </c>
      <c r="B117" s="161" t="s">
        <v>62</v>
      </c>
      <c r="C117" s="162" t="str">
        <f t="shared" si="21"/>
        <v>SPPiracicaba</v>
      </c>
      <c r="D117" s="49" t="str">
        <f t="shared" ca="1" si="18"/>
        <v>Cadastro ok</v>
      </c>
      <c r="E117" s="179" t="s">
        <v>370</v>
      </c>
      <c r="F117" s="165">
        <f t="shared" si="22"/>
        <v>0</v>
      </c>
      <c r="G117" s="165">
        <f t="shared" si="23"/>
        <v>0</v>
      </c>
      <c r="H117" s="166" t="s">
        <v>385</v>
      </c>
      <c r="I117" s="167">
        <f t="shared" si="19"/>
        <v>0.9</v>
      </c>
      <c r="J117" s="166" t="s">
        <v>395</v>
      </c>
      <c r="K117" s="168">
        <f t="shared" si="20"/>
        <v>0.3</v>
      </c>
      <c r="N117" s="207" t="s">
        <v>227</v>
      </c>
      <c r="O117" s="205">
        <v>0.9</v>
      </c>
      <c r="P117" s="206" t="s">
        <v>63</v>
      </c>
    </row>
    <row r="118" spans="1:36" x14ac:dyDescent="0.25">
      <c r="A118" s="160" t="s">
        <v>273</v>
      </c>
      <c r="B118" s="161" t="s">
        <v>62</v>
      </c>
      <c r="C118" s="162" t="str">
        <f t="shared" si="21"/>
        <v>SPPresidente Prudente</v>
      </c>
      <c r="D118" s="49" t="str">
        <f t="shared" ca="1" si="18"/>
        <v>Cadastro ok</v>
      </c>
      <c r="E118" s="179" t="s">
        <v>370</v>
      </c>
      <c r="F118" s="165">
        <f t="shared" si="22"/>
        <v>0</v>
      </c>
      <c r="G118" s="165">
        <f t="shared" si="23"/>
        <v>0</v>
      </c>
      <c r="H118" s="166" t="s">
        <v>385</v>
      </c>
      <c r="I118" s="167">
        <f t="shared" si="19"/>
        <v>0.9</v>
      </c>
      <c r="J118" s="166" t="s">
        <v>395</v>
      </c>
      <c r="K118" s="168">
        <f t="shared" si="20"/>
        <v>0.3</v>
      </c>
      <c r="N118" s="207" t="s">
        <v>253</v>
      </c>
      <c r="O118" s="208">
        <v>0.57999999999999996</v>
      </c>
      <c r="P118" s="206" t="s">
        <v>58</v>
      </c>
    </row>
    <row r="119" spans="1:36" x14ac:dyDescent="0.25">
      <c r="A119" s="160" t="s">
        <v>274</v>
      </c>
      <c r="B119" s="161" t="s">
        <v>62</v>
      </c>
      <c r="C119" s="162" t="str">
        <f t="shared" si="21"/>
        <v>SPRibeirão Preto</v>
      </c>
      <c r="D119" s="49" t="str">
        <f t="shared" ca="1" si="18"/>
        <v>Cadastro ok</v>
      </c>
      <c r="E119" s="179" t="s">
        <v>370</v>
      </c>
      <c r="F119" s="165">
        <f t="shared" si="22"/>
        <v>0</v>
      </c>
      <c r="G119" s="165">
        <f t="shared" si="23"/>
        <v>0</v>
      </c>
      <c r="H119" s="166" t="s">
        <v>385</v>
      </c>
      <c r="I119" s="167">
        <f t="shared" si="19"/>
        <v>0.9</v>
      </c>
      <c r="J119" s="166" t="s">
        <v>395</v>
      </c>
      <c r="K119" s="168">
        <f t="shared" si="20"/>
        <v>0.3</v>
      </c>
      <c r="N119" s="207" t="s">
        <v>228</v>
      </c>
      <c r="O119" s="205">
        <v>0.73</v>
      </c>
      <c r="P119" s="206" t="s">
        <v>61</v>
      </c>
    </row>
    <row r="120" spans="1:36" x14ac:dyDescent="0.25">
      <c r="A120" s="160" t="s">
        <v>275</v>
      </c>
      <c r="B120" s="161" t="s">
        <v>62</v>
      </c>
      <c r="C120" s="162" t="str">
        <f t="shared" si="21"/>
        <v>SPSalto</v>
      </c>
      <c r="D120" s="49" t="str">
        <f t="shared" ca="1" si="18"/>
        <v>Cadastro ok</v>
      </c>
      <c r="E120" s="179" t="s">
        <v>370</v>
      </c>
      <c r="F120" s="165">
        <f t="shared" si="22"/>
        <v>0</v>
      </c>
      <c r="G120" s="165">
        <f t="shared" si="23"/>
        <v>0</v>
      </c>
      <c r="H120" s="166" t="s">
        <v>385</v>
      </c>
      <c r="I120" s="167">
        <f t="shared" si="19"/>
        <v>0.9</v>
      </c>
      <c r="J120" s="166" t="s">
        <v>395</v>
      </c>
      <c r="K120" s="168">
        <f t="shared" si="20"/>
        <v>0.3</v>
      </c>
      <c r="N120" s="207" t="s">
        <v>165</v>
      </c>
      <c r="O120" s="208">
        <v>0.33</v>
      </c>
      <c r="P120" s="206" t="s">
        <v>56</v>
      </c>
    </row>
    <row r="121" spans="1:36" x14ac:dyDescent="0.25">
      <c r="A121" s="160" t="s">
        <v>407</v>
      </c>
      <c r="B121" s="161" t="s">
        <v>62</v>
      </c>
      <c r="C121" s="162" t="str">
        <f t="shared" si="21"/>
        <v>SPSão José dos Campos</v>
      </c>
      <c r="D121" s="49" t="str">
        <f t="shared" ca="1" si="18"/>
        <v>Cadastro errado</v>
      </c>
      <c r="E121" s="179" t="s">
        <v>370</v>
      </c>
      <c r="F121" s="165">
        <f t="shared" si="22"/>
        <v>0</v>
      </c>
      <c r="G121" s="165">
        <f t="shared" si="23"/>
        <v>0</v>
      </c>
      <c r="H121" s="166" t="s">
        <v>385</v>
      </c>
      <c r="I121" s="167">
        <f t="shared" si="19"/>
        <v>0.9</v>
      </c>
      <c r="J121" s="166" t="s">
        <v>395</v>
      </c>
      <c r="K121" s="168">
        <f t="shared" si="20"/>
        <v>0.3</v>
      </c>
      <c r="N121" s="207" t="s">
        <v>174</v>
      </c>
      <c r="O121" s="205">
        <v>0.9</v>
      </c>
      <c r="P121" s="206" t="s">
        <v>44</v>
      </c>
    </row>
    <row r="122" spans="1:36" x14ac:dyDescent="0.25">
      <c r="A122" s="160" t="s">
        <v>277</v>
      </c>
      <c r="B122" s="161" t="s">
        <v>62</v>
      </c>
      <c r="C122" s="162" t="str">
        <f t="shared" si="21"/>
        <v>SPSão Paulo</v>
      </c>
      <c r="D122" s="49" t="str">
        <f t="shared" ca="1" si="18"/>
        <v>Cadastro ok</v>
      </c>
      <c r="E122" s="179" t="s">
        <v>370</v>
      </c>
      <c r="F122" s="165">
        <f t="shared" si="22"/>
        <v>0</v>
      </c>
      <c r="G122" s="165">
        <f t="shared" si="23"/>
        <v>0</v>
      </c>
      <c r="H122" s="166" t="s">
        <v>385</v>
      </c>
      <c r="I122" s="167">
        <f t="shared" si="19"/>
        <v>0.9</v>
      </c>
      <c r="J122" s="166" t="s">
        <v>395</v>
      </c>
      <c r="K122" s="168">
        <f t="shared" si="20"/>
        <v>0.3</v>
      </c>
      <c r="N122" s="207" t="s">
        <v>234</v>
      </c>
      <c r="O122" s="205">
        <v>0.9</v>
      </c>
      <c r="P122" s="206" t="s">
        <v>63</v>
      </c>
    </row>
    <row r="123" spans="1:36" x14ac:dyDescent="0.25">
      <c r="A123" s="160" t="s">
        <v>278</v>
      </c>
      <c r="B123" s="161" t="s">
        <v>62</v>
      </c>
      <c r="C123" s="162" t="str">
        <f t="shared" si="21"/>
        <v>SPTupã</v>
      </c>
      <c r="D123" s="49" t="str">
        <f t="shared" ca="1" si="18"/>
        <v>Cadastro ok</v>
      </c>
      <c r="E123" s="179" t="s">
        <v>370</v>
      </c>
      <c r="F123" s="165">
        <f t="shared" si="22"/>
        <v>0</v>
      </c>
      <c r="G123" s="165">
        <f t="shared" si="23"/>
        <v>0</v>
      </c>
      <c r="H123" s="166" t="s">
        <v>385</v>
      </c>
      <c r="I123" s="167">
        <f t="shared" si="19"/>
        <v>0.9</v>
      </c>
      <c r="J123" s="166" t="s">
        <v>395</v>
      </c>
      <c r="K123" s="168">
        <f t="shared" si="20"/>
        <v>0.3</v>
      </c>
      <c r="N123" s="207" t="s">
        <v>269</v>
      </c>
      <c r="O123" s="205">
        <v>0.8</v>
      </c>
      <c r="P123" s="206" t="s">
        <v>62</v>
      </c>
    </row>
    <row r="124" spans="1:36" x14ac:dyDescent="0.25">
      <c r="A124" s="160" t="s">
        <v>163</v>
      </c>
      <c r="B124" s="161" t="s">
        <v>57</v>
      </c>
      <c r="C124" s="162" t="str">
        <f t="shared" si="21"/>
        <v>SEAracaju</v>
      </c>
      <c r="D124" s="49" t="str">
        <f t="shared" ca="1" si="18"/>
        <v>Cadastro ok</v>
      </c>
      <c r="E124" s="179" t="s">
        <v>370</v>
      </c>
      <c r="F124" s="165">
        <f t="shared" si="22"/>
        <v>0</v>
      </c>
      <c r="G124" s="165">
        <f t="shared" si="23"/>
        <v>0</v>
      </c>
      <c r="H124" s="166" t="s">
        <v>371</v>
      </c>
      <c r="I124" s="167">
        <f t="shared" si="19"/>
        <v>0.36</v>
      </c>
      <c r="J124" s="166" t="s">
        <v>378</v>
      </c>
      <c r="K124" s="168">
        <f t="shared" si="20"/>
        <v>0.16</v>
      </c>
      <c r="N124" s="207" t="s">
        <v>248</v>
      </c>
      <c r="O124" s="205">
        <v>0.9</v>
      </c>
      <c r="P124" s="206" t="s">
        <v>59</v>
      </c>
      <c r="AJ124" t="s">
        <v>39</v>
      </c>
    </row>
    <row r="125" spans="1:36" x14ac:dyDescent="0.25">
      <c r="A125" s="160" t="s">
        <v>164</v>
      </c>
      <c r="B125" s="161" t="s">
        <v>47</v>
      </c>
      <c r="C125" s="162" t="str">
        <f t="shared" si="21"/>
        <v>TOAraguaína</v>
      </c>
      <c r="D125" s="49" t="str">
        <f t="shared" ca="1" si="18"/>
        <v>Cadastro ok</v>
      </c>
      <c r="E125" s="179" t="s">
        <v>370</v>
      </c>
      <c r="F125" s="165">
        <f t="shared" si="22"/>
        <v>0</v>
      </c>
      <c r="G125" s="165">
        <f t="shared" si="23"/>
        <v>0</v>
      </c>
      <c r="H125" s="166" t="s">
        <v>385</v>
      </c>
      <c r="I125" s="167">
        <f>IF(AND(H125&lt;&gt;"",G125&lt;&gt;"",F125&lt;&gt;""),(VLOOKUP(H125,FAIXAS_TRANSPORTE,4,FALSE)+G125+F125),"")</f>
        <v>0.9</v>
      </c>
      <c r="J125" s="166" t="s">
        <v>395</v>
      </c>
      <c r="K125" s="168">
        <f t="shared" si="20"/>
        <v>0.3</v>
      </c>
      <c r="N125" s="207" t="s">
        <v>159</v>
      </c>
      <c r="O125" s="205">
        <v>0.9</v>
      </c>
      <c r="P125" s="206" t="s">
        <v>53</v>
      </c>
      <c r="AJ125" t="s">
        <v>40</v>
      </c>
    </row>
    <row r="126" spans="1:36" x14ac:dyDescent="0.25">
      <c r="A126" s="160" t="s">
        <v>183</v>
      </c>
      <c r="B126" s="161" t="s">
        <v>47</v>
      </c>
      <c r="C126" s="162" t="str">
        <f t="shared" si="21"/>
        <v>TOGurupi</v>
      </c>
      <c r="D126" s="49" t="str">
        <f t="shared" ca="1" si="18"/>
        <v>Cadastro ok</v>
      </c>
      <c r="E126" s="179" t="s">
        <v>370</v>
      </c>
      <c r="F126" s="165">
        <f t="shared" si="22"/>
        <v>0</v>
      </c>
      <c r="G126" s="165">
        <f t="shared" si="23"/>
        <v>0</v>
      </c>
      <c r="H126" s="166" t="s">
        <v>385</v>
      </c>
      <c r="I126" s="167">
        <f t="shared" si="19"/>
        <v>0.9</v>
      </c>
      <c r="J126" s="166" t="s">
        <v>395</v>
      </c>
      <c r="K126" s="168">
        <f t="shared" si="20"/>
        <v>0.3</v>
      </c>
      <c r="N126" s="207" t="s">
        <v>179</v>
      </c>
      <c r="O126" s="205">
        <v>0.9</v>
      </c>
      <c r="P126" s="206" t="s">
        <v>53</v>
      </c>
      <c r="AJ126" t="s">
        <v>41</v>
      </c>
    </row>
    <row r="127" spans="1:36" x14ac:dyDescent="0.25">
      <c r="A127" s="160" t="s">
        <v>207</v>
      </c>
      <c r="B127" s="161" t="s">
        <v>47</v>
      </c>
      <c r="C127" s="162" t="str">
        <f t="shared" si="21"/>
        <v>TOPalmas</v>
      </c>
      <c r="D127" s="49" t="str">
        <f t="shared" ca="1" si="18"/>
        <v>Cadastro ok</v>
      </c>
      <c r="E127" s="179" t="s">
        <v>370</v>
      </c>
      <c r="F127" s="165">
        <f t="shared" si="22"/>
        <v>0</v>
      </c>
      <c r="G127" s="165">
        <f t="shared" si="23"/>
        <v>0</v>
      </c>
      <c r="H127" s="166" t="s">
        <v>385</v>
      </c>
      <c r="I127" s="167">
        <f t="shared" si="19"/>
        <v>0.9</v>
      </c>
      <c r="J127" s="166" t="s">
        <v>395</v>
      </c>
      <c r="K127" s="168">
        <f t="shared" si="20"/>
        <v>0.3</v>
      </c>
      <c r="N127" s="207" t="s">
        <v>203</v>
      </c>
      <c r="O127" s="205">
        <v>0.9</v>
      </c>
      <c r="P127" s="206" t="s">
        <v>53</v>
      </c>
      <c r="AJ127" t="s">
        <v>42</v>
      </c>
    </row>
    <row r="128" spans="1:36" x14ac:dyDescent="0.25">
      <c r="A128" s="160" t="s">
        <v>235</v>
      </c>
      <c r="B128" s="161" t="s">
        <v>55</v>
      </c>
      <c r="C128" s="162" t="str">
        <f t="shared" si="21"/>
        <v>PERecife (coleta na filial)</v>
      </c>
      <c r="D128" s="49" t="str">
        <f t="shared" ca="1" si="18"/>
        <v>Cadastro ok</v>
      </c>
      <c r="E128" s="209" t="s">
        <v>377</v>
      </c>
      <c r="F128" s="165">
        <f t="shared" si="22"/>
        <v>0.19</v>
      </c>
      <c r="G128" s="165">
        <f t="shared" si="23"/>
        <v>0.23</v>
      </c>
      <c r="H128" s="166" t="s">
        <v>376</v>
      </c>
      <c r="I128" s="167">
        <f t="shared" si="19"/>
        <v>1.02</v>
      </c>
      <c r="J128" s="166" t="s">
        <v>379</v>
      </c>
      <c r="K128" s="168">
        <f t="shared" si="20"/>
        <v>0.05</v>
      </c>
      <c r="N128" s="207" t="s">
        <v>270</v>
      </c>
      <c r="O128" s="205">
        <v>0.8</v>
      </c>
      <c r="P128" s="206" t="s">
        <v>62</v>
      </c>
      <c r="AJ128" t="s">
        <v>43</v>
      </c>
    </row>
    <row r="129" spans="1:36" x14ac:dyDescent="0.25">
      <c r="A129" s="160" t="s">
        <v>243</v>
      </c>
      <c r="B129" s="161" t="s">
        <v>55</v>
      </c>
      <c r="C129" s="162" t="str">
        <f t="shared" si="21"/>
        <v>PERecife (via Recife)</v>
      </c>
      <c r="D129" s="49" t="str">
        <f t="shared" ca="1" si="18"/>
        <v>Cadastro ok</v>
      </c>
      <c r="E129" s="209" t="s">
        <v>377</v>
      </c>
      <c r="F129" s="165">
        <f t="shared" si="22"/>
        <v>0.19</v>
      </c>
      <c r="G129" s="165">
        <f t="shared" si="23"/>
        <v>0.23</v>
      </c>
      <c r="H129" s="166" t="s">
        <v>389</v>
      </c>
      <c r="I129" s="167">
        <f t="shared" si="19"/>
        <v>1.22</v>
      </c>
      <c r="J129" s="166" t="s">
        <v>374</v>
      </c>
      <c r="K129" s="168">
        <f t="shared" si="20"/>
        <v>0.73</v>
      </c>
      <c r="N129" s="207" t="s">
        <v>207</v>
      </c>
      <c r="O129" s="205">
        <v>0.9</v>
      </c>
      <c r="P129" s="206" t="s">
        <v>47</v>
      </c>
      <c r="AJ129" t="s">
        <v>44</v>
      </c>
    </row>
    <row r="130" spans="1:36" x14ac:dyDescent="0.25">
      <c r="A130" s="160" t="s">
        <v>199</v>
      </c>
      <c r="B130" s="161" t="s">
        <v>54</v>
      </c>
      <c r="C130" s="162" t="str">
        <f t="shared" si="21"/>
        <v>PBJoão Pessoa (via Recife)</v>
      </c>
      <c r="D130" s="49" t="str">
        <f t="shared" ca="1" si="18"/>
        <v>Cadastro ok</v>
      </c>
      <c r="E130" s="209" t="s">
        <v>377</v>
      </c>
      <c r="F130" s="165">
        <f t="shared" si="22"/>
        <v>0.19</v>
      </c>
      <c r="G130" s="165">
        <f t="shared" si="23"/>
        <v>0.23</v>
      </c>
      <c r="H130" s="166" t="s">
        <v>389</v>
      </c>
      <c r="I130" s="167">
        <f t="shared" si="19"/>
        <v>1.22</v>
      </c>
      <c r="J130" s="166" t="s">
        <v>374</v>
      </c>
      <c r="K130" s="168">
        <f t="shared" si="20"/>
        <v>0.73</v>
      </c>
      <c r="N130" s="207" t="s">
        <v>242</v>
      </c>
      <c r="O130" s="205">
        <v>0.9</v>
      </c>
      <c r="P130" s="206" t="s">
        <v>63</v>
      </c>
      <c r="AJ130" t="s">
        <v>45</v>
      </c>
    </row>
    <row r="131" spans="1:36" x14ac:dyDescent="0.25">
      <c r="A131" s="160" t="s">
        <v>215</v>
      </c>
      <c r="B131" s="161" t="s">
        <v>54</v>
      </c>
      <c r="C131" s="162" t="str">
        <f t="shared" si="21"/>
        <v>PBCampina Grande (via Recife)</v>
      </c>
      <c r="D131" s="49" t="str">
        <f t="shared" ca="1" si="18"/>
        <v>Cadastro ok</v>
      </c>
      <c r="E131" s="209" t="s">
        <v>377</v>
      </c>
      <c r="F131" s="165">
        <f t="shared" si="22"/>
        <v>0.19</v>
      </c>
      <c r="G131" s="165">
        <f t="shared" si="23"/>
        <v>0.23</v>
      </c>
      <c r="H131" s="166" t="s">
        <v>389</v>
      </c>
      <c r="I131" s="167">
        <f t="shared" si="19"/>
        <v>1.22</v>
      </c>
      <c r="J131" s="166" t="s">
        <v>374</v>
      </c>
      <c r="K131" s="168">
        <f t="shared" si="20"/>
        <v>0.73</v>
      </c>
      <c r="N131" s="207" t="s">
        <v>198</v>
      </c>
      <c r="O131" s="205">
        <v>0.9</v>
      </c>
      <c r="P131" s="206" t="s">
        <v>44</v>
      </c>
      <c r="AJ131" t="s">
        <v>46</v>
      </c>
    </row>
    <row r="132" spans="1:36" x14ac:dyDescent="0.25">
      <c r="A132" s="160" t="s">
        <v>219</v>
      </c>
      <c r="B132" s="161" t="s">
        <v>53</v>
      </c>
      <c r="C132" s="162" t="str">
        <f t="shared" si="21"/>
        <v>RNNatal (via Recife)</v>
      </c>
      <c r="D132" s="49" t="str">
        <f t="shared" ref="D132:D177" ca="1" si="24">IF(A132="","",IF(ISERROR(MATCH(A132,INDIRECT(B132),0)),"Cadastro errado","Cadastro ok"))</f>
        <v>Cadastro ok</v>
      </c>
      <c r="E132" s="209" t="s">
        <v>377</v>
      </c>
      <c r="F132" s="165">
        <f t="shared" si="22"/>
        <v>0.19</v>
      </c>
      <c r="G132" s="165">
        <f t="shared" si="23"/>
        <v>0.23</v>
      </c>
      <c r="H132" s="166" t="s">
        <v>389</v>
      </c>
      <c r="I132" s="167">
        <f t="shared" ref="I132:I177" si="25">IF(AND(H132&lt;&gt;"",G132&lt;&gt;"",F132&lt;&gt;""),(VLOOKUP(H132,FAIXAS_TRANSPORTE,4,FALSE)+G132+F132),"")</f>
        <v>1.22</v>
      </c>
      <c r="J132" s="166" t="s">
        <v>374</v>
      </c>
      <c r="K132" s="168">
        <f t="shared" ref="K132:K177" si="26">IF(J132="","",VLOOKUP(J132,FAIXAS_TRANSPORTE,4,FALSE))</f>
        <v>0.73</v>
      </c>
      <c r="N132" s="207" t="s">
        <v>204</v>
      </c>
      <c r="O132" s="205">
        <v>0.9</v>
      </c>
      <c r="P132" s="206" t="s">
        <v>65</v>
      </c>
      <c r="AJ132" t="s">
        <v>47</v>
      </c>
    </row>
    <row r="133" spans="1:36" x14ac:dyDescent="0.25">
      <c r="A133" s="160" t="s">
        <v>191</v>
      </c>
      <c r="B133" s="161" t="s">
        <v>52</v>
      </c>
      <c r="C133" s="162" t="str">
        <f t="shared" ref="C133:C177" si="27">B133&amp;A133</f>
        <v>CEFortaleza (via Recife)</v>
      </c>
      <c r="D133" s="49" t="str">
        <f t="shared" ca="1" si="24"/>
        <v>Cadastro ok</v>
      </c>
      <c r="E133" s="209" t="s">
        <v>377</v>
      </c>
      <c r="F133" s="165">
        <f t="shared" ref="F133:F177" si="28">IF(E133="",0,VLOOKUP(E133,$T$4:$AB$17,9,FALSE))</f>
        <v>0.19</v>
      </c>
      <c r="G133" s="165">
        <f t="shared" ref="G133:G177" si="29">IF(E133="",0,VLOOKUP(E133,$T$4:$Y$17,6,FALSE))</f>
        <v>0.23</v>
      </c>
      <c r="H133" s="166" t="s">
        <v>389</v>
      </c>
      <c r="I133" s="167">
        <f t="shared" si="25"/>
        <v>1.22</v>
      </c>
      <c r="J133" s="166" t="s">
        <v>374</v>
      </c>
      <c r="K133" s="168">
        <f t="shared" si="26"/>
        <v>0.73</v>
      </c>
      <c r="N133" s="207" t="s">
        <v>271</v>
      </c>
      <c r="O133" s="205">
        <v>0.9</v>
      </c>
      <c r="P133" s="206" t="s">
        <v>62</v>
      </c>
      <c r="AJ133" t="s">
        <v>48</v>
      </c>
    </row>
    <row r="134" spans="1:36" x14ac:dyDescent="0.25">
      <c r="A134" s="160" t="s">
        <v>206</v>
      </c>
      <c r="B134" s="161" t="s">
        <v>62</v>
      </c>
      <c r="C134" s="162" t="str">
        <f t="shared" si="27"/>
        <v>SPCajamar (coleta na filial)</v>
      </c>
      <c r="D134" s="49" t="str">
        <f t="shared" ca="1" si="24"/>
        <v>Cadastro ok</v>
      </c>
      <c r="E134" s="209" t="s">
        <v>380</v>
      </c>
      <c r="F134" s="165">
        <f t="shared" si="28"/>
        <v>0.21179428571428571</v>
      </c>
      <c r="G134" s="165">
        <f t="shared" si="29"/>
        <v>9.579597075953139E-2</v>
      </c>
      <c r="H134" s="166" t="s">
        <v>385</v>
      </c>
      <c r="I134" s="167">
        <f t="shared" si="25"/>
        <v>1.207590256473817</v>
      </c>
      <c r="J134" s="166" t="s">
        <v>385</v>
      </c>
      <c r="K134" s="168">
        <f t="shared" si="26"/>
        <v>0.9</v>
      </c>
      <c r="N134" s="207" t="s">
        <v>258</v>
      </c>
      <c r="O134" s="208">
        <v>0.57999999999999996</v>
      </c>
      <c r="P134" s="206" t="s">
        <v>58</v>
      </c>
      <c r="AJ134" t="s">
        <v>49</v>
      </c>
    </row>
    <row r="135" spans="1:36" x14ac:dyDescent="0.25">
      <c r="A135" s="160" t="s">
        <v>276</v>
      </c>
      <c r="B135" s="161" t="s">
        <v>62</v>
      </c>
      <c r="C135" s="162" t="str">
        <f t="shared" si="27"/>
        <v>SPSão Paulo (coleta na filial)</v>
      </c>
      <c r="D135" s="49" t="str">
        <f t="shared" ca="1" si="24"/>
        <v>Cadastro ok</v>
      </c>
      <c r="E135" s="209" t="s">
        <v>380</v>
      </c>
      <c r="F135" s="165">
        <f t="shared" si="28"/>
        <v>0.21179428571428571</v>
      </c>
      <c r="G135" s="165">
        <f t="shared" si="29"/>
        <v>9.579597075953139E-2</v>
      </c>
      <c r="H135" s="166" t="s">
        <v>385</v>
      </c>
      <c r="I135" s="167">
        <f t="shared" si="25"/>
        <v>1.207590256473817</v>
      </c>
      <c r="J135" s="166" t="s">
        <v>385</v>
      </c>
      <c r="K135" s="168">
        <f t="shared" si="26"/>
        <v>0.9</v>
      </c>
      <c r="N135" s="207" t="s">
        <v>217</v>
      </c>
      <c r="O135" s="205">
        <v>0.6</v>
      </c>
      <c r="P135" s="206" t="s">
        <v>55</v>
      </c>
      <c r="AJ135" t="s">
        <v>50</v>
      </c>
    </row>
    <row r="136" spans="1:36" x14ac:dyDescent="0.25">
      <c r="A136" s="160" t="s">
        <v>256</v>
      </c>
      <c r="B136" s="161" t="s">
        <v>61</v>
      </c>
      <c r="C136" s="162" t="str">
        <f t="shared" si="27"/>
        <v>RJRio de Janeiro (coleta na filial)</v>
      </c>
      <c r="D136" s="49" t="str">
        <f t="shared" ca="1" si="24"/>
        <v>Cadastro ok</v>
      </c>
      <c r="E136" s="209" t="s">
        <v>380</v>
      </c>
      <c r="F136" s="165">
        <f t="shared" si="28"/>
        <v>0.21179428571428571</v>
      </c>
      <c r="G136" s="165">
        <f t="shared" si="29"/>
        <v>9.579597075953139E-2</v>
      </c>
      <c r="H136" s="166" t="s">
        <v>385</v>
      </c>
      <c r="I136" s="167">
        <f t="shared" si="25"/>
        <v>1.207590256473817</v>
      </c>
      <c r="J136" s="166" t="s">
        <v>385</v>
      </c>
      <c r="K136" s="168">
        <f t="shared" si="26"/>
        <v>0.9</v>
      </c>
      <c r="N136" s="207" t="s">
        <v>236</v>
      </c>
      <c r="O136" s="205">
        <v>0.73</v>
      </c>
      <c r="P136" s="206" t="s">
        <v>61</v>
      </c>
      <c r="AJ136" t="s">
        <v>51</v>
      </c>
    </row>
    <row r="137" spans="1:36" x14ac:dyDescent="0.25">
      <c r="A137" s="160" t="s">
        <v>615</v>
      </c>
      <c r="B137" s="161" t="s">
        <v>58</v>
      </c>
      <c r="C137" s="162" t="str">
        <f t="shared" si="27"/>
        <v>BAAtacado BA</v>
      </c>
      <c r="D137" s="49" t="str">
        <f t="shared" ca="1" si="24"/>
        <v>Cadastro ok</v>
      </c>
      <c r="E137" s="209" t="s">
        <v>370</v>
      </c>
      <c r="F137" s="165">
        <f t="shared" si="28"/>
        <v>0</v>
      </c>
      <c r="G137" s="165">
        <f t="shared" si="29"/>
        <v>0</v>
      </c>
      <c r="H137" s="166" t="s">
        <v>395</v>
      </c>
      <c r="I137" s="167">
        <f t="shared" si="25"/>
        <v>0.3</v>
      </c>
      <c r="J137" s="166" t="s">
        <v>395</v>
      </c>
      <c r="K137" s="168">
        <f t="shared" si="26"/>
        <v>0.3</v>
      </c>
      <c r="N137" s="207" t="s">
        <v>249</v>
      </c>
      <c r="O137" s="205">
        <v>0.9</v>
      </c>
      <c r="P137" s="206" t="s">
        <v>63</v>
      </c>
      <c r="AJ137" t="s">
        <v>52</v>
      </c>
    </row>
    <row r="138" spans="1:36" x14ac:dyDescent="0.25">
      <c r="A138" s="160"/>
      <c r="B138" s="161"/>
      <c r="C138" s="162" t="str">
        <f t="shared" si="27"/>
        <v/>
      </c>
      <c r="D138" s="49" t="str">
        <f t="shared" ca="1" si="24"/>
        <v/>
      </c>
      <c r="E138" s="209"/>
      <c r="F138" s="165">
        <f t="shared" si="28"/>
        <v>0</v>
      </c>
      <c r="G138" s="165">
        <f t="shared" si="29"/>
        <v>0</v>
      </c>
      <c r="H138" s="166"/>
      <c r="I138" s="167" t="str">
        <f t="shared" si="25"/>
        <v/>
      </c>
      <c r="J138" s="166"/>
      <c r="K138" s="168" t="str">
        <f t="shared" si="26"/>
        <v/>
      </c>
      <c r="N138" s="207" t="s">
        <v>272</v>
      </c>
      <c r="O138" s="205">
        <v>0.9</v>
      </c>
      <c r="P138" s="206" t="s">
        <v>62</v>
      </c>
      <c r="AJ138" t="s">
        <v>53</v>
      </c>
    </row>
    <row r="139" spans="1:36" x14ac:dyDescent="0.25">
      <c r="A139" s="160"/>
      <c r="B139" s="161"/>
      <c r="C139" s="162" t="str">
        <f t="shared" si="27"/>
        <v/>
      </c>
      <c r="D139" s="49" t="str">
        <f t="shared" ca="1" si="24"/>
        <v/>
      </c>
      <c r="E139" s="209"/>
      <c r="F139" s="165">
        <f t="shared" si="28"/>
        <v>0</v>
      </c>
      <c r="G139" s="165">
        <f t="shared" si="29"/>
        <v>0</v>
      </c>
      <c r="H139" s="166"/>
      <c r="I139" s="167" t="str">
        <f t="shared" si="25"/>
        <v/>
      </c>
      <c r="J139" s="166"/>
      <c r="K139" s="168" t="str">
        <f t="shared" si="26"/>
        <v/>
      </c>
      <c r="N139" s="207" t="s">
        <v>254</v>
      </c>
      <c r="O139" s="205">
        <v>0.9</v>
      </c>
      <c r="P139" s="206" t="s">
        <v>59</v>
      </c>
      <c r="AJ139" t="s">
        <v>54</v>
      </c>
    </row>
    <row r="140" spans="1:36" x14ac:dyDescent="0.25">
      <c r="A140" s="160"/>
      <c r="B140" s="161"/>
      <c r="C140" s="162" t="str">
        <f t="shared" si="27"/>
        <v/>
      </c>
      <c r="D140" s="49" t="str">
        <f t="shared" ca="1" si="24"/>
        <v/>
      </c>
      <c r="E140" s="209"/>
      <c r="F140" s="165">
        <f t="shared" si="28"/>
        <v>0</v>
      </c>
      <c r="G140" s="165">
        <f t="shared" si="29"/>
        <v>0</v>
      </c>
      <c r="H140" s="166"/>
      <c r="I140" s="167" t="str">
        <f t="shared" si="25"/>
        <v/>
      </c>
      <c r="J140" s="166"/>
      <c r="K140" s="168" t="str">
        <f t="shared" si="26"/>
        <v/>
      </c>
      <c r="N140" s="207" t="s">
        <v>255</v>
      </c>
      <c r="O140" s="205">
        <v>0.9</v>
      </c>
      <c r="P140" s="206" t="s">
        <v>63</v>
      </c>
      <c r="AJ140" t="s">
        <v>55</v>
      </c>
    </row>
    <row r="141" spans="1:36" x14ac:dyDescent="0.25">
      <c r="A141" s="160"/>
      <c r="B141" s="161"/>
      <c r="C141" s="162" t="str">
        <f t="shared" si="27"/>
        <v/>
      </c>
      <c r="D141" s="49" t="str">
        <f t="shared" ca="1" si="24"/>
        <v/>
      </c>
      <c r="E141" s="209"/>
      <c r="F141" s="165">
        <f t="shared" si="28"/>
        <v>0</v>
      </c>
      <c r="G141" s="165">
        <f t="shared" si="29"/>
        <v>0</v>
      </c>
      <c r="H141" s="166"/>
      <c r="I141" s="167" t="str">
        <f t="shared" si="25"/>
        <v/>
      </c>
      <c r="J141" s="166"/>
      <c r="K141" s="168" t="str">
        <f t="shared" si="26"/>
        <v/>
      </c>
      <c r="N141" s="207" t="s">
        <v>220</v>
      </c>
      <c r="O141" s="205">
        <v>0.9</v>
      </c>
      <c r="P141" s="206" t="s">
        <v>65</v>
      </c>
      <c r="AJ141" t="s">
        <v>56</v>
      </c>
    </row>
    <row r="142" spans="1:36" x14ac:dyDescent="0.25">
      <c r="A142" s="160"/>
      <c r="B142" s="161"/>
      <c r="C142" s="162" t="str">
        <f t="shared" si="27"/>
        <v/>
      </c>
      <c r="D142" s="49" t="str">
        <f t="shared" ca="1" si="24"/>
        <v/>
      </c>
      <c r="E142" s="209"/>
      <c r="F142" s="165">
        <f t="shared" si="28"/>
        <v>0</v>
      </c>
      <c r="G142" s="165">
        <f t="shared" si="29"/>
        <v>0</v>
      </c>
      <c r="H142" s="166"/>
      <c r="I142" s="167" t="str">
        <f t="shared" si="25"/>
        <v/>
      </c>
      <c r="J142" s="166"/>
      <c r="K142" s="168" t="str">
        <f t="shared" si="26"/>
        <v/>
      </c>
      <c r="N142" s="207" t="s">
        <v>259</v>
      </c>
      <c r="O142" s="205">
        <v>0.9</v>
      </c>
      <c r="P142" s="206" t="s">
        <v>59</v>
      </c>
      <c r="AJ142" t="s">
        <v>57</v>
      </c>
    </row>
    <row r="143" spans="1:36" x14ac:dyDescent="0.25">
      <c r="A143" s="160"/>
      <c r="B143" s="161"/>
      <c r="C143" s="162" t="str">
        <f t="shared" si="27"/>
        <v/>
      </c>
      <c r="D143" s="49" t="str">
        <f t="shared" ca="1" si="24"/>
        <v/>
      </c>
      <c r="E143" s="209"/>
      <c r="F143" s="165">
        <f t="shared" si="28"/>
        <v>0</v>
      </c>
      <c r="G143" s="165">
        <f t="shared" si="29"/>
        <v>0</v>
      </c>
      <c r="H143" s="166"/>
      <c r="I143" s="167" t="str">
        <f t="shared" si="25"/>
        <v/>
      </c>
      <c r="J143" s="166"/>
      <c r="K143" s="168" t="str">
        <f t="shared" si="26"/>
        <v/>
      </c>
      <c r="N143" s="207" t="s">
        <v>273</v>
      </c>
      <c r="O143" s="205">
        <v>0.9</v>
      </c>
      <c r="P143" s="206" t="s">
        <v>62</v>
      </c>
      <c r="AJ143" t="s">
        <v>58</v>
      </c>
    </row>
    <row r="144" spans="1:36" x14ac:dyDescent="0.25">
      <c r="A144" s="160"/>
      <c r="B144" s="161"/>
      <c r="C144" s="162" t="str">
        <f t="shared" si="27"/>
        <v/>
      </c>
      <c r="D144" s="49" t="str">
        <f t="shared" ca="1" si="24"/>
        <v/>
      </c>
      <c r="E144" s="209"/>
      <c r="F144" s="165">
        <f t="shared" si="28"/>
        <v>0</v>
      </c>
      <c r="G144" s="165">
        <f t="shared" si="29"/>
        <v>0</v>
      </c>
      <c r="H144" s="166"/>
      <c r="I144" s="167" t="str">
        <f t="shared" si="25"/>
        <v/>
      </c>
      <c r="J144" s="166"/>
      <c r="K144" s="168" t="str">
        <f t="shared" si="26"/>
        <v/>
      </c>
      <c r="N144" s="207" t="s">
        <v>250</v>
      </c>
      <c r="O144" s="205">
        <v>0.37</v>
      </c>
      <c r="P144" s="206" t="s">
        <v>55</v>
      </c>
      <c r="AJ144" t="s">
        <v>59</v>
      </c>
    </row>
    <row r="145" spans="1:36" x14ac:dyDescent="0.25">
      <c r="A145" s="160"/>
      <c r="B145" s="161"/>
      <c r="C145" s="162" t="str">
        <f t="shared" si="27"/>
        <v/>
      </c>
      <c r="D145" s="49" t="str">
        <f t="shared" ca="1" si="24"/>
        <v/>
      </c>
      <c r="E145" s="209"/>
      <c r="F145" s="165">
        <f t="shared" si="28"/>
        <v>0</v>
      </c>
      <c r="G145" s="165">
        <f t="shared" si="29"/>
        <v>0</v>
      </c>
      <c r="H145" s="166"/>
      <c r="I145" s="167" t="str">
        <f t="shared" si="25"/>
        <v/>
      </c>
      <c r="J145" s="166"/>
      <c r="K145" s="168" t="str">
        <f t="shared" si="26"/>
        <v/>
      </c>
      <c r="N145" s="207" t="s">
        <v>244</v>
      </c>
      <c r="O145" s="205">
        <v>0.73</v>
      </c>
      <c r="P145" s="206" t="s">
        <v>61</v>
      </c>
      <c r="AJ145" t="s">
        <v>60</v>
      </c>
    </row>
    <row r="146" spans="1:36" x14ac:dyDescent="0.25">
      <c r="A146" s="160"/>
      <c r="B146" s="161"/>
      <c r="C146" s="162" t="str">
        <f t="shared" si="27"/>
        <v/>
      </c>
      <c r="D146" s="49" t="str">
        <f t="shared" ca="1" si="24"/>
        <v/>
      </c>
      <c r="E146" s="209"/>
      <c r="F146" s="165">
        <f t="shared" si="28"/>
        <v>0</v>
      </c>
      <c r="G146" s="165">
        <f t="shared" si="29"/>
        <v>0</v>
      </c>
      <c r="H146" s="166"/>
      <c r="I146" s="167" t="str">
        <f t="shared" si="25"/>
        <v/>
      </c>
      <c r="J146" s="166"/>
      <c r="K146" s="168" t="str">
        <f t="shared" si="26"/>
        <v/>
      </c>
      <c r="N146" s="207" t="s">
        <v>274</v>
      </c>
      <c r="O146" s="205">
        <v>0.8</v>
      </c>
      <c r="P146" s="206" t="s">
        <v>62</v>
      </c>
      <c r="AJ146" t="s">
        <v>61</v>
      </c>
    </row>
    <row r="147" spans="1:36" x14ac:dyDescent="0.25">
      <c r="A147" s="160"/>
      <c r="B147" s="161"/>
      <c r="C147" s="162" t="str">
        <f t="shared" si="27"/>
        <v/>
      </c>
      <c r="D147" s="49" t="str">
        <f t="shared" ca="1" si="24"/>
        <v/>
      </c>
      <c r="E147" s="209"/>
      <c r="F147" s="165">
        <f t="shared" si="28"/>
        <v>0</v>
      </c>
      <c r="G147" s="165">
        <f t="shared" si="29"/>
        <v>0</v>
      </c>
      <c r="H147" s="166"/>
      <c r="I147" s="167" t="str">
        <f t="shared" si="25"/>
        <v/>
      </c>
      <c r="J147" s="166"/>
      <c r="K147" s="168" t="str">
        <f t="shared" si="26"/>
        <v/>
      </c>
      <c r="N147" s="207" t="s">
        <v>251</v>
      </c>
      <c r="O147" s="205">
        <v>0.73</v>
      </c>
      <c r="P147" s="206" t="s">
        <v>61</v>
      </c>
      <c r="AJ147" t="s">
        <v>62</v>
      </c>
    </row>
    <row r="148" spans="1:36" x14ac:dyDescent="0.25">
      <c r="A148" s="160"/>
      <c r="B148" s="161"/>
      <c r="C148" s="162" t="str">
        <f t="shared" si="27"/>
        <v/>
      </c>
      <c r="D148" s="49" t="str">
        <f t="shared" ca="1" si="24"/>
        <v/>
      </c>
      <c r="E148" s="209"/>
      <c r="F148" s="165">
        <f t="shared" si="28"/>
        <v>0</v>
      </c>
      <c r="G148" s="165">
        <f t="shared" si="29"/>
        <v>0</v>
      </c>
      <c r="H148" s="166"/>
      <c r="I148" s="167" t="str">
        <f t="shared" si="25"/>
        <v/>
      </c>
      <c r="J148" s="166"/>
      <c r="K148" s="168" t="str">
        <f t="shared" si="26"/>
        <v/>
      </c>
      <c r="N148" s="207" t="s">
        <v>229</v>
      </c>
      <c r="O148" s="205">
        <v>0.9</v>
      </c>
      <c r="P148" s="206" t="s">
        <v>65</v>
      </c>
      <c r="AJ148" t="s">
        <v>63</v>
      </c>
    </row>
    <row r="149" spans="1:36" x14ac:dyDescent="0.25">
      <c r="A149" s="160"/>
      <c r="B149" s="161"/>
      <c r="C149" s="162" t="str">
        <f t="shared" si="27"/>
        <v/>
      </c>
      <c r="D149" s="49" t="str">
        <f t="shared" ca="1" si="24"/>
        <v/>
      </c>
      <c r="E149" s="209"/>
      <c r="F149" s="165">
        <f t="shared" si="28"/>
        <v>0</v>
      </c>
      <c r="G149" s="165">
        <f t="shared" si="29"/>
        <v>0</v>
      </c>
      <c r="H149" s="166"/>
      <c r="I149" s="167" t="str">
        <f t="shared" si="25"/>
        <v/>
      </c>
      <c r="J149" s="166"/>
      <c r="K149" s="168" t="str">
        <f t="shared" si="26"/>
        <v/>
      </c>
      <c r="N149" s="207" t="s">
        <v>211</v>
      </c>
      <c r="O149" s="205">
        <v>0.9</v>
      </c>
      <c r="P149" s="206" t="s">
        <v>48</v>
      </c>
      <c r="AJ149" t="s">
        <v>64</v>
      </c>
    </row>
    <row r="150" spans="1:36" x14ac:dyDescent="0.25">
      <c r="A150" s="160"/>
      <c r="B150" s="161"/>
      <c r="C150" s="162" t="str">
        <f t="shared" si="27"/>
        <v/>
      </c>
      <c r="D150" s="49" t="str">
        <f t="shared" ca="1" si="24"/>
        <v/>
      </c>
      <c r="E150" s="209"/>
      <c r="F150" s="165">
        <f t="shared" si="28"/>
        <v>0</v>
      </c>
      <c r="G150" s="165">
        <f t="shared" si="29"/>
        <v>0</v>
      </c>
      <c r="H150" s="166"/>
      <c r="I150" s="167" t="str">
        <f t="shared" si="25"/>
        <v/>
      </c>
      <c r="J150" s="166"/>
      <c r="K150" s="168" t="str">
        <f t="shared" si="26"/>
        <v/>
      </c>
      <c r="N150" s="207" t="s">
        <v>171</v>
      </c>
      <c r="O150" s="205">
        <v>0.9</v>
      </c>
      <c r="P150" s="206" t="s">
        <v>46</v>
      </c>
      <c r="AJ150" t="s">
        <v>65</v>
      </c>
    </row>
    <row r="151" spans="1:36" x14ac:dyDescent="0.25">
      <c r="A151" s="160"/>
      <c r="B151" s="161"/>
      <c r="C151" s="162" t="str">
        <f t="shared" si="27"/>
        <v/>
      </c>
      <c r="D151" s="49" t="str">
        <f t="shared" ca="1" si="24"/>
        <v/>
      </c>
      <c r="E151" s="209"/>
      <c r="F151" s="165">
        <f t="shared" si="28"/>
        <v>0</v>
      </c>
      <c r="G151" s="165">
        <f t="shared" si="29"/>
        <v>0</v>
      </c>
      <c r="H151" s="166"/>
      <c r="I151" s="167" t="str">
        <f t="shared" si="25"/>
        <v/>
      </c>
      <c r="J151" s="166"/>
      <c r="K151" s="168" t="str">
        <f t="shared" si="26"/>
        <v/>
      </c>
      <c r="N151" s="207" t="s">
        <v>275</v>
      </c>
      <c r="O151" s="205">
        <v>0.8</v>
      </c>
      <c r="P151" s="206" t="s">
        <v>62</v>
      </c>
    </row>
    <row r="152" spans="1:36" x14ac:dyDescent="0.25">
      <c r="A152" s="160"/>
      <c r="B152" s="161"/>
      <c r="C152" s="162" t="str">
        <f t="shared" si="27"/>
        <v/>
      </c>
      <c r="D152" s="49" t="str">
        <f t="shared" ca="1" si="24"/>
        <v/>
      </c>
      <c r="E152" s="209"/>
      <c r="F152" s="165">
        <f t="shared" si="28"/>
        <v>0</v>
      </c>
      <c r="G152" s="165">
        <f t="shared" si="29"/>
        <v>0</v>
      </c>
      <c r="H152" s="166"/>
      <c r="I152" s="167" t="str">
        <f t="shared" si="25"/>
        <v/>
      </c>
      <c r="J152" s="166"/>
      <c r="K152" s="168" t="str">
        <f t="shared" si="26"/>
        <v/>
      </c>
      <c r="N152" s="207" t="s">
        <v>261</v>
      </c>
      <c r="O152" s="208">
        <v>0.16</v>
      </c>
      <c r="P152" s="206" t="s">
        <v>58</v>
      </c>
    </row>
    <row r="153" spans="1:36" x14ac:dyDescent="0.25">
      <c r="A153" s="160"/>
      <c r="B153" s="161"/>
      <c r="C153" s="162" t="str">
        <f t="shared" si="27"/>
        <v/>
      </c>
      <c r="D153" s="49" t="str">
        <f t="shared" ca="1" si="24"/>
        <v/>
      </c>
      <c r="E153" s="209"/>
      <c r="F153" s="165">
        <f t="shared" si="28"/>
        <v>0</v>
      </c>
      <c r="G153" s="165">
        <f t="shared" si="29"/>
        <v>0</v>
      </c>
      <c r="H153" s="166"/>
      <c r="I153" s="167" t="str">
        <f t="shared" si="25"/>
        <v/>
      </c>
      <c r="J153" s="166"/>
      <c r="K153" s="168" t="str">
        <f t="shared" si="26"/>
        <v/>
      </c>
      <c r="N153" s="207" t="s">
        <v>237</v>
      </c>
      <c r="O153" s="205">
        <v>0.9</v>
      </c>
      <c r="P153" s="206" t="s">
        <v>65</v>
      </c>
    </row>
    <row r="154" spans="1:36" x14ac:dyDescent="0.25">
      <c r="A154" s="160"/>
      <c r="B154" s="161"/>
      <c r="C154" s="162" t="str">
        <f t="shared" si="27"/>
        <v/>
      </c>
      <c r="D154" s="49" t="str">
        <f t="shared" ca="1" si="24"/>
        <v/>
      </c>
      <c r="E154" s="209"/>
      <c r="F154" s="165">
        <f t="shared" si="28"/>
        <v>0</v>
      </c>
      <c r="G154" s="165">
        <f t="shared" si="29"/>
        <v>0</v>
      </c>
      <c r="H154" s="166"/>
      <c r="I154" s="167" t="str">
        <f t="shared" si="25"/>
        <v/>
      </c>
      <c r="J154" s="166"/>
      <c r="K154" s="168" t="str">
        <f t="shared" si="26"/>
        <v/>
      </c>
      <c r="N154" s="207" t="s">
        <v>238</v>
      </c>
      <c r="O154" s="205">
        <v>0.9</v>
      </c>
      <c r="P154" s="206" t="s">
        <v>64</v>
      </c>
    </row>
    <row r="155" spans="1:36" x14ac:dyDescent="0.25">
      <c r="A155" s="160"/>
      <c r="B155" s="161"/>
      <c r="C155" s="162" t="str">
        <f t="shared" si="27"/>
        <v/>
      </c>
      <c r="D155" s="49" t="str">
        <f t="shared" ca="1" si="24"/>
        <v/>
      </c>
      <c r="E155" s="209"/>
      <c r="F155" s="165">
        <f t="shared" si="28"/>
        <v>0</v>
      </c>
      <c r="G155" s="165">
        <f t="shared" si="29"/>
        <v>0</v>
      </c>
      <c r="H155" s="166"/>
      <c r="I155" s="167" t="str">
        <f t="shared" si="25"/>
        <v/>
      </c>
      <c r="J155" s="166"/>
      <c r="K155" s="168" t="str">
        <f t="shared" si="26"/>
        <v/>
      </c>
      <c r="N155" s="207" t="s">
        <v>407</v>
      </c>
      <c r="O155" s="205">
        <v>0.8</v>
      </c>
      <c r="P155" s="206" t="s">
        <v>62</v>
      </c>
    </row>
    <row r="156" spans="1:36" x14ac:dyDescent="0.25">
      <c r="A156" s="160"/>
      <c r="B156" s="161"/>
      <c r="C156" s="162" t="str">
        <f t="shared" si="27"/>
        <v/>
      </c>
      <c r="D156" s="49" t="str">
        <f t="shared" ca="1" si="24"/>
        <v/>
      </c>
      <c r="E156" s="209"/>
      <c r="F156" s="165">
        <f t="shared" si="28"/>
        <v>0</v>
      </c>
      <c r="G156" s="165">
        <f t="shared" si="29"/>
        <v>0</v>
      </c>
      <c r="H156" s="166"/>
      <c r="I156" s="167" t="str">
        <f t="shared" si="25"/>
        <v/>
      </c>
      <c r="J156" s="166"/>
      <c r="K156" s="168" t="str">
        <f t="shared" si="26"/>
        <v/>
      </c>
      <c r="N156" s="207" t="s">
        <v>212</v>
      </c>
      <c r="O156" s="205">
        <v>0.9</v>
      </c>
      <c r="P156" s="206" t="s">
        <v>50</v>
      </c>
    </row>
    <row r="157" spans="1:36" x14ac:dyDescent="0.25">
      <c r="A157" s="160"/>
      <c r="B157" s="161"/>
      <c r="C157" s="162" t="str">
        <f t="shared" si="27"/>
        <v/>
      </c>
      <c r="D157" s="49" t="str">
        <f t="shared" ca="1" si="24"/>
        <v/>
      </c>
      <c r="E157" s="209"/>
      <c r="F157" s="165">
        <f t="shared" si="28"/>
        <v>0</v>
      </c>
      <c r="G157" s="165">
        <f t="shared" si="29"/>
        <v>0</v>
      </c>
      <c r="H157" s="166"/>
      <c r="I157" s="167" t="str">
        <f t="shared" si="25"/>
        <v/>
      </c>
      <c r="J157" s="166"/>
      <c r="K157" s="168" t="str">
        <f t="shared" si="26"/>
        <v/>
      </c>
      <c r="N157" s="207" t="s">
        <v>277</v>
      </c>
      <c r="O157" s="205">
        <v>0.8</v>
      </c>
      <c r="P157" s="206" t="s">
        <v>62</v>
      </c>
    </row>
    <row r="158" spans="1:36" x14ac:dyDescent="0.25">
      <c r="A158" s="160"/>
      <c r="B158" s="161"/>
      <c r="C158" s="162" t="str">
        <f t="shared" si="27"/>
        <v/>
      </c>
      <c r="D158" s="49" t="str">
        <f t="shared" ca="1" si="24"/>
        <v/>
      </c>
      <c r="E158" s="209"/>
      <c r="F158" s="165">
        <f t="shared" si="28"/>
        <v>0</v>
      </c>
      <c r="G158" s="165">
        <f t="shared" si="29"/>
        <v>0</v>
      </c>
      <c r="H158" s="166"/>
      <c r="I158" s="167" t="str">
        <f t="shared" si="25"/>
        <v/>
      </c>
      <c r="J158" s="166"/>
      <c r="K158" s="168" t="str">
        <f t="shared" si="26"/>
        <v/>
      </c>
      <c r="N158" s="207" t="s">
        <v>167</v>
      </c>
      <c r="O158" s="205">
        <v>0.9</v>
      </c>
      <c r="P158" s="206" t="s">
        <v>52</v>
      </c>
    </row>
    <row r="159" spans="1:36" x14ac:dyDescent="0.25">
      <c r="A159" s="160"/>
      <c r="B159" s="161"/>
      <c r="C159" s="162" t="str">
        <f t="shared" si="27"/>
        <v/>
      </c>
      <c r="D159" s="49" t="str">
        <f t="shared" ca="1" si="24"/>
        <v/>
      </c>
      <c r="E159" s="209"/>
      <c r="F159" s="165">
        <f t="shared" si="28"/>
        <v>0</v>
      </c>
      <c r="G159" s="165">
        <f t="shared" si="29"/>
        <v>0</v>
      </c>
      <c r="H159" s="166"/>
      <c r="I159" s="167" t="str">
        <f t="shared" si="25"/>
        <v/>
      </c>
      <c r="J159" s="166"/>
      <c r="K159" s="168" t="str">
        <f t="shared" si="26"/>
        <v/>
      </c>
      <c r="N159" s="207" t="s">
        <v>195</v>
      </c>
      <c r="O159" s="205">
        <v>0.9</v>
      </c>
      <c r="P159" s="206" t="s">
        <v>46</v>
      </c>
    </row>
    <row r="160" spans="1:36" x14ac:dyDescent="0.25">
      <c r="A160" s="160"/>
      <c r="B160" s="161"/>
      <c r="C160" s="162" t="str">
        <f t="shared" si="27"/>
        <v/>
      </c>
      <c r="D160" s="49" t="str">
        <f t="shared" ca="1" si="24"/>
        <v/>
      </c>
      <c r="E160" s="209"/>
      <c r="F160" s="165">
        <f t="shared" si="28"/>
        <v>0</v>
      </c>
      <c r="G160" s="165">
        <f t="shared" si="29"/>
        <v>0</v>
      </c>
      <c r="H160" s="166"/>
      <c r="I160" s="167" t="str">
        <f t="shared" si="25"/>
        <v/>
      </c>
      <c r="J160" s="166"/>
      <c r="K160" s="168" t="str">
        <f t="shared" si="26"/>
        <v/>
      </c>
      <c r="N160" s="207" t="s">
        <v>157</v>
      </c>
      <c r="O160" s="205">
        <v>0.9</v>
      </c>
      <c r="P160" s="206" t="s">
        <v>51</v>
      </c>
    </row>
    <row r="161" spans="1:16" x14ac:dyDescent="0.25">
      <c r="A161" s="160"/>
      <c r="B161" s="161"/>
      <c r="C161" s="162" t="str">
        <f t="shared" si="27"/>
        <v/>
      </c>
      <c r="D161" s="49" t="str">
        <f t="shared" ca="1" si="24"/>
        <v/>
      </c>
      <c r="E161" s="209"/>
      <c r="F161" s="165">
        <f t="shared" si="28"/>
        <v>0</v>
      </c>
      <c r="G161" s="165">
        <f t="shared" si="29"/>
        <v>0</v>
      </c>
      <c r="H161" s="166"/>
      <c r="I161" s="167" t="str">
        <f t="shared" si="25"/>
        <v/>
      </c>
      <c r="J161" s="166"/>
      <c r="K161" s="168" t="str">
        <f t="shared" si="26"/>
        <v/>
      </c>
      <c r="N161" s="207" t="s">
        <v>213</v>
      </c>
      <c r="O161" s="205">
        <v>0.9</v>
      </c>
      <c r="P161" s="206" t="s">
        <v>45</v>
      </c>
    </row>
    <row r="162" spans="1:16" x14ac:dyDescent="0.25">
      <c r="A162" s="160"/>
      <c r="B162" s="161"/>
      <c r="C162" s="162" t="str">
        <f t="shared" si="27"/>
        <v/>
      </c>
      <c r="D162" s="49" t="str">
        <f t="shared" ca="1" si="24"/>
        <v/>
      </c>
      <c r="E162" s="209"/>
      <c r="F162" s="165">
        <f t="shared" si="28"/>
        <v>0</v>
      </c>
      <c r="G162" s="165">
        <f t="shared" si="29"/>
        <v>0</v>
      </c>
      <c r="H162" s="166"/>
      <c r="I162" s="167" t="str">
        <f t="shared" si="25"/>
        <v/>
      </c>
      <c r="J162" s="166"/>
      <c r="K162" s="168" t="str">
        <f t="shared" si="26"/>
        <v/>
      </c>
      <c r="N162" s="207" t="s">
        <v>245</v>
      </c>
      <c r="O162" s="205">
        <v>0.8</v>
      </c>
      <c r="P162" s="206" t="s">
        <v>64</v>
      </c>
    </row>
    <row r="163" spans="1:16" x14ac:dyDescent="0.25">
      <c r="A163" s="160"/>
      <c r="B163" s="161"/>
      <c r="C163" s="162" t="str">
        <f t="shared" si="27"/>
        <v/>
      </c>
      <c r="D163" s="49" t="str">
        <f t="shared" ca="1" si="24"/>
        <v/>
      </c>
      <c r="E163" s="209"/>
      <c r="F163" s="165">
        <f t="shared" si="28"/>
        <v>0</v>
      </c>
      <c r="G163" s="165">
        <f t="shared" si="29"/>
        <v>0</v>
      </c>
      <c r="H163" s="166"/>
      <c r="I163" s="167" t="str">
        <f t="shared" si="25"/>
        <v/>
      </c>
      <c r="J163" s="166"/>
      <c r="K163" s="168" t="str">
        <f t="shared" si="26"/>
        <v/>
      </c>
      <c r="N163" s="207" t="s">
        <v>278</v>
      </c>
      <c r="O163" s="205">
        <v>0.8</v>
      </c>
      <c r="P163" s="206" t="s">
        <v>62</v>
      </c>
    </row>
    <row r="164" spans="1:16" x14ac:dyDescent="0.25">
      <c r="A164" s="160"/>
      <c r="B164" s="161"/>
      <c r="C164" s="162" t="str">
        <f t="shared" si="27"/>
        <v/>
      </c>
      <c r="D164" s="49" t="str">
        <f t="shared" ca="1" si="24"/>
        <v/>
      </c>
      <c r="E164" s="209"/>
      <c r="F164" s="165">
        <f t="shared" si="28"/>
        <v>0</v>
      </c>
      <c r="G164" s="165">
        <f t="shared" si="29"/>
        <v>0</v>
      </c>
      <c r="H164" s="166"/>
      <c r="I164" s="167" t="str">
        <f t="shared" si="25"/>
        <v/>
      </c>
      <c r="J164" s="166"/>
      <c r="K164" s="168" t="str">
        <f t="shared" si="26"/>
        <v/>
      </c>
      <c r="N164" s="207" t="s">
        <v>262</v>
      </c>
      <c r="O164" s="205">
        <v>0.9</v>
      </c>
      <c r="P164" s="206" t="s">
        <v>59</v>
      </c>
    </row>
    <row r="165" spans="1:16" x14ac:dyDescent="0.25">
      <c r="A165" s="160"/>
      <c r="B165" s="161"/>
      <c r="C165" s="162" t="str">
        <f t="shared" si="27"/>
        <v/>
      </c>
      <c r="D165" s="49" t="str">
        <f t="shared" ca="1" si="24"/>
        <v/>
      </c>
      <c r="E165" s="209"/>
      <c r="F165" s="165">
        <f t="shared" si="28"/>
        <v>0</v>
      </c>
      <c r="G165" s="165">
        <f t="shared" si="29"/>
        <v>0</v>
      </c>
      <c r="H165" s="166"/>
      <c r="I165" s="167" t="str">
        <f t="shared" si="25"/>
        <v/>
      </c>
      <c r="J165" s="166"/>
      <c r="K165" s="168" t="str">
        <f t="shared" si="26"/>
        <v/>
      </c>
      <c r="N165" s="207" t="s">
        <v>265</v>
      </c>
      <c r="O165" s="205">
        <v>0.9</v>
      </c>
      <c r="P165" s="206" t="s">
        <v>59</v>
      </c>
    </row>
    <row r="166" spans="1:16" x14ac:dyDescent="0.25">
      <c r="A166" s="160"/>
      <c r="B166" s="161"/>
      <c r="C166" s="162" t="str">
        <f t="shared" si="27"/>
        <v/>
      </c>
      <c r="D166" s="49" t="str">
        <f t="shared" ca="1" si="24"/>
        <v/>
      </c>
      <c r="E166" s="209"/>
      <c r="F166" s="165">
        <f t="shared" si="28"/>
        <v>0</v>
      </c>
      <c r="G166" s="165">
        <f t="shared" si="29"/>
        <v>0</v>
      </c>
      <c r="H166" s="166"/>
      <c r="I166" s="167" t="str">
        <f t="shared" si="25"/>
        <v/>
      </c>
      <c r="J166" s="166"/>
      <c r="K166" s="168" t="str">
        <f t="shared" si="26"/>
        <v/>
      </c>
      <c r="N166" s="207" t="s">
        <v>268</v>
      </c>
      <c r="O166" s="205">
        <v>0.9</v>
      </c>
      <c r="P166" s="206" t="s">
        <v>59</v>
      </c>
    </row>
    <row r="167" spans="1:16" x14ac:dyDescent="0.25">
      <c r="A167" s="160"/>
      <c r="B167" s="161"/>
      <c r="C167" s="162" t="str">
        <f t="shared" si="27"/>
        <v/>
      </c>
      <c r="D167" s="49" t="str">
        <f t="shared" ca="1" si="24"/>
        <v/>
      </c>
      <c r="E167" s="209"/>
      <c r="F167" s="165">
        <f t="shared" si="28"/>
        <v>0</v>
      </c>
      <c r="G167" s="165">
        <f t="shared" si="29"/>
        <v>0</v>
      </c>
      <c r="H167" s="166"/>
      <c r="I167" s="167" t="str">
        <f t="shared" si="25"/>
        <v/>
      </c>
      <c r="J167" s="166"/>
      <c r="K167" s="168" t="str">
        <f t="shared" si="26"/>
        <v/>
      </c>
      <c r="N167" s="207" t="s">
        <v>210</v>
      </c>
      <c r="O167" s="205">
        <v>0.9</v>
      </c>
      <c r="P167" s="206" t="s">
        <v>60</v>
      </c>
    </row>
    <row r="168" spans="1:16" x14ac:dyDescent="0.25">
      <c r="A168" s="160"/>
      <c r="B168" s="161"/>
      <c r="C168" s="162" t="str">
        <f t="shared" si="27"/>
        <v/>
      </c>
      <c r="D168" s="49" t="str">
        <f t="shared" ca="1" si="24"/>
        <v/>
      </c>
      <c r="E168" s="209"/>
      <c r="F168" s="165">
        <f t="shared" si="28"/>
        <v>0</v>
      </c>
      <c r="G168" s="165">
        <f t="shared" si="29"/>
        <v>0</v>
      </c>
      <c r="H168" s="166"/>
      <c r="I168" s="167" t="str">
        <f t="shared" si="25"/>
        <v/>
      </c>
      <c r="J168" s="166"/>
      <c r="K168" s="168" t="str">
        <f t="shared" si="26"/>
        <v/>
      </c>
      <c r="N168" s="207" t="s">
        <v>224</v>
      </c>
      <c r="O168" s="205">
        <v>0.9</v>
      </c>
      <c r="P168" s="206" t="s">
        <v>60</v>
      </c>
    </row>
    <row r="169" spans="1:16" x14ac:dyDescent="0.25">
      <c r="A169" s="160"/>
      <c r="B169" s="161"/>
      <c r="C169" s="162" t="str">
        <f t="shared" si="27"/>
        <v/>
      </c>
      <c r="D169" s="49" t="str">
        <f t="shared" ca="1" si="24"/>
        <v/>
      </c>
      <c r="E169" s="209"/>
      <c r="F169" s="165">
        <f t="shared" si="28"/>
        <v>0</v>
      </c>
      <c r="G169" s="165">
        <f t="shared" si="29"/>
        <v>0</v>
      </c>
      <c r="H169" s="166"/>
      <c r="I169" s="167" t="str">
        <f t="shared" si="25"/>
        <v/>
      </c>
      <c r="J169" s="166"/>
      <c r="K169" s="168" t="str">
        <f t="shared" si="26"/>
        <v/>
      </c>
      <c r="N169" s="207" t="s">
        <v>264</v>
      </c>
      <c r="O169" s="208">
        <v>0.4</v>
      </c>
      <c r="P169" s="206" t="s">
        <v>58</v>
      </c>
    </row>
    <row r="170" spans="1:16" x14ac:dyDescent="0.25">
      <c r="A170" s="160"/>
      <c r="B170" s="161"/>
      <c r="C170" s="162" t="str">
        <f t="shared" si="27"/>
        <v/>
      </c>
      <c r="D170" s="49" t="str">
        <f t="shared" ca="1" si="24"/>
        <v/>
      </c>
      <c r="E170" s="209"/>
      <c r="F170" s="165">
        <f t="shared" si="28"/>
        <v>0</v>
      </c>
      <c r="G170" s="165">
        <f t="shared" si="29"/>
        <v>0</v>
      </c>
      <c r="H170" s="166"/>
      <c r="I170" s="167" t="str">
        <f t="shared" si="25"/>
        <v/>
      </c>
      <c r="J170" s="166"/>
      <c r="K170" s="168" t="str">
        <f t="shared" si="26"/>
        <v/>
      </c>
    </row>
    <row r="171" spans="1:16" x14ac:dyDescent="0.25">
      <c r="A171" s="160"/>
      <c r="B171" s="161"/>
      <c r="C171" s="162" t="str">
        <f t="shared" si="27"/>
        <v/>
      </c>
      <c r="D171" s="49" t="str">
        <f t="shared" ca="1" si="24"/>
        <v/>
      </c>
      <c r="E171" s="209"/>
      <c r="F171" s="165">
        <f t="shared" si="28"/>
        <v>0</v>
      </c>
      <c r="G171" s="165">
        <f t="shared" si="29"/>
        <v>0</v>
      </c>
      <c r="H171" s="166"/>
      <c r="I171" s="167" t="str">
        <f t="shared" si="25"/>
        <v/>
      </c>
      <c r="J171" s="166"/>
      <c r="K171" s="168" t="str">
        <f t="shared" si="26"/>
        <v/>
      </c>
    </row>
    <row r="172" spans="1:16" x14ac:dyDescent="0.25">
      <c r="A172" s="160"/>
      <c r="B172" s="161"/>
      <c r="C172" s="162" t="str">
        <f t="shared" si="27"/>
        <v/>
      </c>
      <c r="D172" s="49" t="str">
        <f t="shared" ca="1" si="24"/>
        <v/>
      </c>
      <c r="E172" s="209"/>
      <c r="F172" s="165">
        <f t="shared" si="28"/>
        <v>0</v>
      </c>
      <c r="G172" s="165">
        <f t="shared" si="29"/>
        <v>0</v>
      </c>
      <c r="H172" s="166"/>
      <c r="I172" s="167" t="str">
        <f t="shared" si="25"/>
        <v/>
      </c>
      <c r="J172" s="166"/>
      <c r="K172" s="168" t="str">
        <f t="shared" si="26"/>
        <v/>
      </c>
    </row>
    <row r="173" spans="1:16" x14ac:dyDescent="0.25">
      <c r="A173" s="160"/>
      <c r="B173" s="161"/>
      <c r="C173" s="162" t="str">
        <f t="shared" si="27"/>
        <v/>
      </c>
      <c r="D173" s="49" t="str">
        <f t="shared" ca="1" si="24"/>
        <v/>
      </c>
      <c r="E173" s="209"/>
      <c r="F173" s="165">
        <f t="shared" si="28"/>
        <v>0</v>
      </c>
      <c r="G173" s="165">
        <f t="shared" si="29"/>
        <v>0</v>
      </c>
      <c r="H173" s="166"/>
      <c r="I173" s="167" t="str">
        <f t="shared" si="25"/>
        <v/>
      </c>
      <c r="J173" s="166"/>
      <c r="K173" s="168" t="str">
        <f t="shared" si="26"/>
        <v/>
      </c>
    </row>
    <row r="174" spans="1:16" x14ac:dyDescent="0.25">
      <c r="A174" s="160"/>
      <c r="B174" s="161"/>
      <c r="C174" s="162" t="str">
        <f t="shared" si="27"/>
        <v/>
      </c>
      <c r="D174" s="49" t="str">
        <f t="shared" ca="1" si="24"/>
        <v/>
      </c>
      <c r="E174" s="209"/>
      <c r="F174" s="165">
        <f t="shared" si="28"/>
        <v>0</v>
      </c>
      <c r="G174" s="165">
        <f t="shared" si="29"/>
        <v>0</v>
      </c>
      <c r="H174" s="166"/>
      <c r="I174" s="167" t="str">
        <f t="shared" si="25"/>
        <v/>
      </c>
      <c r="J174" s="166"/>
      <c r="K174" s="168" t="str">
        <f t="shared" si="26"/>
        <v/>
      </c>
    </row>
    <row r="175" spans="1:16" x14ac:dyDescent="0.25">
      <c r="A175" s="160"/>
      <c r="B175" s="161"/>
      <c r="C175" s="162" t="str">
        <f t="shared" si="27"/>
        <v/>
      </c>
      <c r="D175" s="49" t="str">
        <f t="shared" ca="1" si="24"/>
        <v/>
      </c>
      <c r="E175" s="209"/>
      <c r="F175" s="165">
        <f t="shared" si="28"/>
        <v>0</v>
      </c>
      <c r="G175" s="165">
        <f t="shared" si="29"/>
        <v>0</v>
      </c>
      <c r="H175" s="166"/>
      <c r="I175" s="167" t="str">
        <f t="shared" si="25"/>
        <v/>
      </c>
      <c r="J175" s="166"/>
      <c r="K175" s="168" t="str">
        <f t="shared" si="26"/>
        <v/>
      </c>
    </row>
    <row r="176" spans="1:16" x14ac:dyDescent="0.25">
      <c r="A176" s="160"/>
      <c r="B176" s="161"/>
      <c r="C176" s="162" t="str">
        <f t="shared" si="27"/>
        <v/>
      </c>
      <c r="D176" s="49" t="str">
        <f t="shared" ca="1" si="24"/>
        <v/>
      </c>
      <c r="E176" s="209"/>
      <c r="F176" s="165">
        <f t="shared" si="28"/>
        <v>0</v>
      </c>
      <c r="G176" s="165">
        <f t="shared" si="29"/>
        <v>0</v>
      </c>
      <c r="H176" s="166"/>
      <c r="I176" s="167" t="str">
        <f t="shared" si="25"/>
        <v/>
      </c>
      <c r="J176" s="166"/>
      <c r="K176" s="168" t="str">
        <f t="shared" si="26"/>
        <v/>
      </c>
    </row>
    <row r="177" spans="1:11" x14ac:dyDescent="0.25">
      <c r="A177" s="160"/>
      <c r="B177" s="161"/>
      <c r="C177" s="162" t="str">
        <f t="shared" si="27"/>
        <v/>
      </c>
      <c r="D177" s="49" t="str">
        <f t="shared" ca="1" si="24"/>
        <v/>
      </c>
      <c r="E177" s="209"/>
      <c r="F177" s="165">
        <f t="shared" si="28"/>
        <v>0</v>
      </c>
      <c r="G177" s="165">
        <f t="shared" si="29"/>
        <v>0</v>
      </c>
      <c r="H177" s="166"/>
      <c r="I177" s="167" t="str">
        <f t="shared" si="25"/>
        <v/>
      </c>
      <c r="J177" s="166"/>
      <c r="K177" s="168" t="str">
        <f t="shared" si="26"/>
        <v/>
      </c>
    </row>
  </sheetData>
  <sheetProtection algorithmName="SHA-512" hashValue="as/FlFYByGHGAXNWHA/Jv31P8aJzCAnafncrekOaZUf3PdzQsjLIR7Z5rq9VOt9h0kTGAckS2OqbVAPgpTcMoA==" saltValue="ZHH45SIyMVd3tvoCzorEHg==" spinCount="100000" sheet="1" objects="1" scenarios="1"/>
  <autoFilter ref="N46:P169">
    <sortState ref="N47:P169">
      <sortCondition ref="N46:N169"/>
    </sortState>
  </autoFilter>
  <dataConsolidate/>
  <conditionalFormatting sqref="A5">
    <cfRule type="expression" dxfId="31" priority="21" stopIfTrue="1">
      <formula>VLOOKUP(XFD4,#REF!,2,0)=1</formula>
    </cfRule>
  </conditionalFormatting>
  <conditionalFormatting sqref="A6:A22">
    <cfRule type="expression" dxfId="30" priority="22" stopIfTrue="1">
      <formula>VLOOKUP(H6,#REF!,2,0)=1</formula>
    </cfRule>
  </conditionalFormatting>
  <conditionalFormatting sqref="A22:A27">
    <cfRule type="expression" dxfId="29" priority="23" stopIfTrue="1">
      <formula>VLOOKUP(#REF!,#REF!,2,0)=1</formula>
    </cfRule>
  </conditionalFormatting>
  <conditionalFormatting sqref="A27:A32">
    <cfRule type="expression" dxfId="28" priority="24" stopIfTrue="1">
      <formula>VLOOKUP(M17,#REF!,2,0)=1</formula>
    </cfRule>
  </conditionalFormatting>
  <conditionalFormatting sqref="A32:A36">
    <cfRule type="expression" dxfId="27" priority="25" stopIfTrue="1">
      <formula>VLOOKUP(N17,#REF!,2,0)=1</formula>
    </cfRule>
  </conditionalFormatting>
  <conditionalFormatting sqref="A4">
    <cfRule type="expression" dxfId="26" priority="20" stopIfTrue="1">
      <formula>VLOOKUP(G4,$M$7:$N$28,2,0)=1</formula>
    </cfRule>
  </conditionalFormatting>
  <conditionalFormatting sqref="A36:A39">
    <cfRule type="expression" dxfId="25" priority="19" stopIfTrue="1">
      <formula>VLOOKUP(G36,$M$7:$N$28,2,0)=1</formula>
    </cfRule>
  </conditionalFormatting>
  <conditionalFormatting sqref="A39:A43">
    <cfRule type="expression" dxfId="24" priority="18" stopIfTrue="1">
      <formula>VLOOKUP(G39,$M$7:$N$28,2,0)=1</formula>
    </cfRule>
  </conditionalFormatting>
  <conditionalFormatting sqref="A43:A56">
    <cfRule type="expression" dxfId="23" priority="17" stopIfTrue="1">
      <formula>VLOOKUP(G43,$M$7:$N$28,2,0)=1</formula>
    </cfRule>
  </conditionalFormatting>
  <conditionalFormatting sqref="A56:A59">
    <cfRule type="expression" dxfId="22" priority="16" stopIfTrue="1">
      <formula>VLOOKUP(G56,$M$7:$N$28,2,0)=1</formula>
    </cfRule>
  </conditionalFormatting>
  <conditionalFormatting sqref="A59:A61">
    <cfRule type="expression" dxfId="21" priority="15" stopIfTrue="1">
      <formula>VLOOKUP(G59,$M$7:$N$28,2,0)=1</formula>
    </cfRule>
  </conditionalFormatting>
  <conditionalFormatting sqref="A61:A70">
    <cfRule type="expression" dxfId="20" priority="14" stopIfTrue="1">
      <formula>VLOOKUP(G61,$M$7:$N$28,2,0)=1</formula>
    </cfRule>
  </conditionalFormatting>
  <conditionalFormatting sqref="A70:A76">
    <cfRule type="expression" dxfId="19" priority="13" stopIfTrue="1">
      <formula>VLOOKUP(G70,$M$7:$N$28,2,0)=1</formula>
    </cfRule>
  </conditionalFormatting>
  <conditionalFormatting sqref="A76">
    <cfRule type="expression" dxfId="18" priority="12" stopIfTrue="1">
      <formula>VLOOKUP(G76,$M$7:$N$28,2,0)=1</formula>
    </cfRule>
  </conditionalFormatting>
  <conditionalFormatting sqref="A77:A85">
    <cfRule type="expression" dxfId="17" priority="11" stopIfTrue="1">
      <formula>VLOOKUP(G77,$M$7:$N$28,2,0)=1</formula>
    </cfRule>
  </conditionalFormatting>
  <conditionalFormatting sqref="A85:A88">
    <cfRule type="expression" dxfId="16" priority="10" stopIfTrue="1">
      <formula>VLOOKUP(G85,$M$7:$N$28,2,0)=1</formula>
    </cfRule>
  </conditionalFormatting>
  <conditionalFormatting sqref="A88:A94">
    <cfRule type="expression" dxfId="15" priority="9" stopIfTrue="1">
      <formula>VLOOKUP(G88,$M$7:$N$28,2,0)=1</formula>
    </cfRule>
  </conditionalFormatting>
  <conditionalFormatting sqref="A94:A101">
    <cfRule type="expression" dxfId="14" priority="8" stopIfTrue="1">
      <formula>VLOOKUP(G94,$M$7:$N$28,2,0)=1</formula>
    </cfRule>
  </conditionalFormatting>
  <conditionalFormatting sqref="A101:A123">
    <cfRule type="expression" dxfId="13" priority="7" stopIfTrue="1">
      <formula>VLOOKUP(G101,$M$7:$N$28,2,0)=1</formula>
    </cfRule>
  </conditionalFormatting>
  <conditionalFormatting sqref="A123">
    <cfRule type="expression" dxfId="12" priority="6" stopIfTrue="1">
      <formula>VLOOKUP(G123,$M$7:$N$28,2,0)=1</formula>
    </cfRule>
  </conditionalFormatting>
  <conditionalFormatting sqref="A124:A177">
    <cfRule type="expression" dxfId="11" priority="5" stopIfTrue="1">
      <formula>VLOOKUP(G124,$M$7:$N$28,2,0)=1</formula>
    </cfRule>
  </conditionalFormatting>
  <conditionalFormatting sqref="S6:S9">
    <cfRule type="expression" dxfId="10" priority="3" stopIfTrue="1">
      <formula>VLOOKUP(#REF!,$M$17:$N$117,2,0)=1</formula>
    </cfRule>
  </conditionalFormatting>
  <conditionalFormatting sqref="S4:S5 S10:S15">
    <cfRule type="expression" dxfId="9" priority="4" stopIfTrue="1">
      <formula>VLOOKUP(S18,$M$17:$N$117,2,0)=1</formula>
    </cfRule>
  </conditionalFormatting>
  <conditionalFormatting sqref="S16:S17">
    <cfRule type="expression" dxfId="8" priority="26" stopIfTrue="1">
      <formula>VLOOKUP(S33,$M$17:$N$117,2,0)=1</formula>
    </cfRule>
  </conditionalFormatting>
  <conditionalFormatting sqref="A77">
    <cfRule type="expression" dxfId="7" priority="2" stopIfTrue="1">
      <formula>VLOOKUP(G77,$M$7:$N$28,2,0)=1</formula>
    </cfRule>
  </conditionalFormatting>
  <conditionalFormatting sqref="A124">
    <cfRule type="expression" dxfId="6" priority="1" stopIfTrue="1">
      <formula>VLOOKUP(G124,$M$7:$N$28,2,0)=1</formula>
    </cfRule>
  </conditionalFormatting>
  <dataValidations count="3">
    <dataValidation allowBlank="1" showErrorMessage="1" sqref="R4:X17"/>
    <dataValidation type="list" allowBlank="1" showInputMessage="1" showErrorMessage="1" sqref="E4:E177">
      <formula1>$T$4:$T$17</formula1>
    </dataValidation>
    <dataValidation type="list" allowBlank="1" showInputMessage="1" showErrorMessage="1" sqref="H4:H177 J4:J177">
      <formula1>$R$24:$R$42</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45</vt:i4>
      </vt:variant>
    </vt:vector>
  </HeadingPairs>
  <TitlesOfParts>
    <vt:vector size="47" baseType="lpstr">
      <vt:lpstr>PEDIDO</vt:lpstr>
      <vt:lpstr>ORÇAMENTO</vt:lpstr>
      <vt:lpstr>AL</vt:lpstr>
      <vt:lpstr>AM</vt:lpstr>
      <vt:lpstr>ORÇAMENTO!Area_de_impressao</vt:lpstr>
      <vt:lpstr>PEDIDO!Area_de_impressao</vt:lpstr>
      <vt:lpstr>BA</vt:lpstr>
      <vt:lpstr>CE</vt:lpstr>
      <vt:lpstr>CIDADE</vt:lpstr>
      <vt:lpstr>CLASS_FISCAL</vt:lpstr>
      <vt:lpstr>CODFISCAL</vt:lpstr>
      <vt:lpstr>D.ADM</vt:lpstr>
      <vt:lpstr>D.ADM_AT</vt:lpstr>
      <vt:lpstr>D.COM</vt:lpstr>
      <vt:lpstr>D.FIN</vt:lpstr>
      <vt:lpstr>DESTINO</vt:lpstr>
      <vt:lpstr>DF</vt:lpstr>
      <vt:lpstr>ES</vt:lpstr>
      <vt:lpstr>ESTADO</vt:lpstr>
      <vt:lpstr>ESTADOS</vt:lpstr>
      <vt:lpstr>FAIXAS</vt:lpstr>
      <vt:lpstr>FAIXAS_TRANSPORTE</vt:lpstr>
      <vt:lpstr>'1. DADOS'!FLAG_COL.ICMS</vt:lpstr>
      <vt:lpstr>GO</vt:lpstr>
      <vt:lpstr>IE</vt:lpstr>
      <vt:lpstr>MA</vt:lpstr>
      <vt:lpstr>Margem_sec</vt:lpstr>
      <vt:lpstr>MG</vt:lpstr>
      <vt:lpstr>MS</vt:lpstr>
      <vt:lpstr>MT</vt:lpstr>
      <vt:lpstr>MVA_COLUNA</vt:lpstr>
      <vt:lpstr>PA</vt:lpstr>
      <vt:lpstr>PB</vt:lpstr>
      <vt:lpstr>PE</vt:lpstr>
      <vt:lpstr>PI</vt:lpstr>
      <vt:lpstr>PIS</vt:lpstr>
      <vt:lpstr>PR</vt:lpstr>
      <vt:lpstr>PRAZO</vt:lpstr>
      <vt:lpstr>REL_ICMS</vt:lpstr>
      <vt:lpstr>RJ</vt:lpstr>
      <vt:lpstr>RN</vt:lpstr>
      <vt:lpstr>RS</vt:lpstr>
      <vt:lpstr>SC</vt:lpstr>
      <vt:lpstr>SE</vt:lpstr>
      <vt:lpstr>SP</vt:lpstr>
      <vt:lpstr>tabela_frete</vt:lpstr>
      <vt:lpstr>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Lorenzo</dc:creator>
  <cp:lastModifiedBy>Fabio Lorenzo</cp:lastModifiedBy>
  <cp:lastPrinted>2018-09-28T12:06:33Z</cp:lastPrinted>
  <dcterms:created xsi:type="dcterms:W3CDTF">2018-02-27T12:22:48Z</dcterms:created>
  <dcterms:modified xsi:type="dcterms:W3CDTF">2018-11-28T17:04:13Z</dcterms:modified>
</cp:coreProperties>
</file>