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01"/>
  <workbookPr defaultThemeVersion="166925"/>
  <xr:revisionPtr revIDLastSave="0" documentId="8_{EB6C16B4-5582-4244-A7B1-0685B841CD6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" i="1"/>
  <c r="K54" i="1"/>
  <c r="K52" i="1"/>
  <c r="K47" i="1"/>
  <c r="B47" i="1"/>
  <c r="K42" i="1"/>
  <c r="L39" i="1"/>
  <c r="L38" i="1"/>
  <c r="L36" i="1"/>
  <c r="K35" i="1"/>
  <c r="K34" i="1"/>
  <c r="K33" i="1"/>
  <c r="B33" i="1"/>
  <c r="K32" i="1"/>
  <c r="K31" i="1"/>
  <c r="L30" i="1"/>
  <c r="B30" i="1"/>
  <c r="K29" i="1"/>
  <c r="K27" i="1"/>
  <c r="L27" i="1"/>
  <c r="B27" i="1"/>
  <c r="L26" i="1"/>
  <c r="B26" i="1"/>
  <c r="B24" i="1"/>
  <c r="L23" i="1"/>
  <c r="K22" i="1"/>
  <c r="K20" i="1"/>
  <c r="L20" i="1"/>
  <c r="K19" i="1"/>
  <c r="L19" i="1"/>
  <c r="K18" i="1"/>
  <c r="L18" i="1"/>
  <c r="B18" i="1"/>
  <c r="K17" i="1"/>
  <c r="L17" i="1"/>
  <c r="B17" i="1"/>
  <c r="K16" i="1"/>
  <c r="K15" i="1"/>
  <c r="L15" i="1"/>
  <c r="B15" i="1"/>
  <c r="L14" i="1"/>
  <c r="B14" i="1"/>
  <c r="K13" i="1"/>
  <c r="B13" i="1"/>
  <c r="K12" i="1"/>
  <c r="E12" i="1"/>
  <c r="B12" i="1"/>
  <c r="K11" i="1"/>
  <c r="B11" i="1"/>
  <c r="K10" i="1"/>
  <c r="C10" i="1"/>
  <c r="B10" i="1"/>
  <c r="K9" i="1"/>
  <c r="L9" i="1"/>
  <c r="E9" i="1"/>
  <c r="B9" i="1"/>
  <c r="L8" i="1"/>
  <c r="K8" i="1"/>
  <c r="B8" i="1"/>
  <c r="K7" i="1"/>
  <c r="L7" i="1"/>
  <c r="E7" i="1"/>
  <c r="B7" i="1"/>
</calcChain>
</file>

<file path=xl/sharedStrings.xml><?xml version="1.0" encoding="utf-8"?>
<sst xmlns="http://schemas.openxmlformats.org/spreadsheetml/2006/main" count="106" uniqueCount="69">
  <si>
    <t>Date</t>
  </si>
  <si>
    <t>Sleep Length</t>
  </si>
  <si>
    <t>REM Sleep</t>
  </si>
  <si>
    <t>Deep Sleep</t>
  </si>
  <si>
    <t>Light Sleep</t>
  </si>
  <si>
    <t>Awake</t>
  </si>
  <si>
    <t>REM Sleep Proportion</t>
  </si>
  <si>
    <t>Deep Sleep Proportion</t>
  </si>
  <si>
    <t>Light Sleep Proportion</t>
  </si>
  <si>
    <t>Awake Proportion</t>
  </si>
  <si>
    <t>HRV</t>
  </si>
  <si>
    <t>Respiratory Rate</t>
  </si>
  <si>
    <t>Type of Workout</t>
  </si>
  <si>
    <t>Categories of Exercise</t>
  </si>
  <si>
    <t>Length of Workout</t>
  </si>
  <si>
    <t>Calories Burned Workout</t>
  </si>
  <si>
    <t>Day Total Calories Burned</t>
  </si>
  <si>
    <t>Traditional Strength Training, Golf</t>
  </si>
  <si>
    <t>52, 85</t>
  </si>
  <si>
    <t>441, 549</t>
  </si>
  <si>
    <t>Traditional Strength Training, Outdoor Walk</t>
  </si>
  <si>
    <t>57, 49</t>
  </si>
  <si>
    <t>371, 172</t>
  </si>
  <si>
    <t>31,79</t>
  </si>
  <si>
    <t>434, 781</t>
  </si>
  <si>
    <t>Outdoor Run</t>
  </si>
  <si>
    <t>Rest</t>
  </si>
  <si>
    <t>Traditional Strength Training, Outdoor Walk, Golf</t>
  </si>
  <si>
    <t>60, 34, 41</t>
  </si>
  <si>
    <t xml:space="preserve">303, 166, 253 </t>
  </si>
  <si>
    <t>Traditional Strength Training, Indoor Cycle</t>
  </si>
  <si>
    <t>58, 30</t>
  </si>
  <si>
    <t>354, 275</t>
  </si>
  <si>
    <t>58, 31</t>
  </si>
  <si>
    <t>403, 292</t>
  </si>
  <si>
    <t>58, 28</t>
  </si>
  <si>
    <t>357, 150</t>
  </si>
  <si>
    <t>Indoor Cycle</t>
  </si>
  <si>
    <t>55, 68</t>
  </si>
  <si>
    <t>750, 500</t>
  </si>
  <si>
    <t>Golf</t>
  </si>
  <si>
    <t>50, 34</t>
  </si>
  <si>
    <t>408, 171</t>
  </si>
  <si>
    <t>49, 33</t>
  </si>
  <si>
    <t>331, 159</t>
  </si>
  <si>
    <t xml:space="preserve">Traditional Strength Training </t>
  </si>
  <si>
    <t>Traditional Strength Training, Walk</t>
  </si>
  <si>
    <t>45, 31</t>
  </si>
  <si>
    <t>455, 168</t>
  </si>
  <si>
    <t>Traditional Strength Training, Volleyball</t>
  </si>
  <si>
    <t>43, 137</t>
  </si>
  <si>
    <t>251, 330</t>
  </si>
  <si>
    <t>Outdoor Walk</t>
  </si>
  <si>
    <t>Traditional Strength Training, Outdoor Run</t>
  </si>
  <si>
    <t>25, 34</t>
  </si>
  <si>
    <t>291, 427</t>
  </si>
  <si>
    <t>60, 50</t>
  </si>
  <si>
    <t>374, 251</t>
  </si>
  <si>
    <t>50, 158</t>
  </si>
  <si>
    <t>334, 1596</t>
  </si>
  <si>
    <t>Traditional Strength Training</t>
  </si>
  <si>
    <t>Traditional Strength Training, Climbing</t>
  </si>
  <si>
    <t>35, 88</t>
  </si>
  <si>
    <t>381, 536</t>
  </si>
  <si>
    <t>72, 38</t>
  </si>
  <si>
    <t>349, 199</t>
  </si>
  <si>
    <t>Traditional Strength Training, Hiking</t>
  </si>
  <si>
    <t>51, 150</t>
  </si>
  <si>
    <t>243, 816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</si>
</sst>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J2" sqref="J2"/>
    </sheetView>
  </sheetViews>
  <sheetFormatPr defaultRowHeight="15"/>
  <cols>
    <col min="1" max="1" width="10.42578125" bestFit="1" customWidth="1"/>
    <col min="2" max="2" width="12.28515625" bestFit="1" customWidth="1"/>
    <col min="3" max="3" width="10.42578125" bestFit="1" customWidth="1"/>
    <col min="5" max="5" width="10.5703125" bestFit="1" customWidth="1"/>
    <col min="6" max="6" width="7" bestFit="1" customWidth="1"/>
    <col min="7" max="7" width="20.5703125" bestFit="1" customWidth="1"/>
    <col min="8" max="8" width="21.140625" bestFit="1" customWidth="1"/>
    <col min="9" max="9" width="19.85546875" customWidth="1"/>
    <col min="10" max="10" width="18.28515625" customWidth="1"/>
    <col min="11" max="11" width="31.85546875" style="2" bestFit="1" customWidth="1"/>
    <col min="12" max="12" width="31.85546875" bestFit="1" customWidth="1"/>
    <col min="13" max="13" width="45.140625" bestFit="1" customWidth="1"/>
    <col min="14" max="17" width="2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</row>
    <row r="2" spans="1:17">
      <c r="A2" s="1">
        <v>45091</v>
      </c>
      <c r="B2" s="2">
        <v>544</v>
      </c>
      <c r="C2" s="2">
        <v>144</v>
      </c>
      <c r="D2" s="2">
        <v>45</v>
      </c>
      <c r="E2" s="2">
        <v>355</v>
      </c>
      <c r="F2" s="2">
        <v>20</v>
      </c>
      <c r="G2" s="7">
        <f>C2/B2</f>
        <v>0.26470588235294118</v>
      </c>
      <c r="H2" s="7">
        <f>D2/B2</f>
        <v>8.2720588235294115E-2</v>
      </c>
      <c r="I2" s="7">
        <f>E2/B2</f>
        <v>0.65257352941176472</v>
      </c>
      <c r="J2" s="7">
        <f>F2/B2</f>
        <v>3.6764705882352942E-2</v>
      </c>
      <c r="K2" s="2">
        <v>64</v>
      </c>
      <c r="L2">
        <v>15.3</v>
      </c>
      <c r="M2" s="3" t="s">
        <v>17</v>
      </c>
      <c r="N2" s="3">
        <v>2</v>
      </c>
      <c r="O2" s="3" t="s">
        <v>18</v>
      </c>
      <c r="P2" s="3" t="s">
        <v>19</v>
      </c>
      <c r="Q2">
        <v>3555</v>
      </c>
    </row>
    <row r="3" spans="1:17">
      <c r="A3" s="1">
        <v>45092</v>
      </c>
      <c r="B3">
        <v>505</v>
      </c>
      <c r="C3">
        <v>130</v>
      </c>
      <c r="D3">
        <v>29</v>
      </c>
      <c r="E3">
        <v>346</v>
      </c>
      <c r="F3">
        <v>16</v>
      </c>
      <c r="G3" s="7">
        <f t="shared" ref="G3:G54" si="0">C3/B3</f>
        <v>0.25742574257425743</v>
      </c>
      <c r="H3" s="7">
        <f t="shared" ref="H3:H54" si="1">D3/B3</f>
        <v>5.7425742574257428E-2</v>
      </c>
      <c r="I3" s="7">
        <f t="shared" ref="I3:I54" si="2">E3/B3</f>
        <v>0.6851485148514852</v>
      </c>
      <c r="J3" s="7">
        <f t="shared" ref="J3:J54" si="3">F3/B3</f>
        <v>3.1683168316831684E-2</v>
      </c>
      <c r="K3" s="2">
        <v>45.5</v>
      </c>
      <c r="L3">
        <v>15.25</v>
      </c>
      <c r="M3" s="3" t="s">
        <v>20</v>
      </c>
      <c r="N3" s="3">
        <v>2</v>
      </c>
      <c r="O3" s="3" t="s">
        <v>21</v>
      </c>
      <c r="P3" s="4" t="s">
        <v>22</v>
      </c>
      <c r="Q3">
        <v>3185</v>
      </c>
    </row>
    <row r="4" spans="1:17">
      <c r="A4" s="1">
        <v>45093</v>
      </c>
      <c r="B4">
        <v>522</v>
      </c>
      <c r="C4">
        <v>140</v>
      </c>
      <c r="D4">
        <v>62</v>
      </c>
      <c r="E4">
        <v>320</v>
      </c>
      <c r="F4">
        <v>15</v>
      </c>
      <c r="G4" s="7">
        <f t="shared" si="0"/>
        <v>0.26819923371647508</v>
      </c>
      <c r="H4" s="7">
        <f t="shared" si="1"/>
        <v>0.11877394636015326</v>
      </c>
      <c r="I4" s="7">
        <f t="shared" si="2"/>
        <v>0.6130268199233716</v>
      </c>
      <c r="J4" s="7">
        <f t="shared" si="3"/>
        <v>2.8735632183908046E-2</v>
      </c>
      <c r="K4" s="2">
        <v>96</v>
      </c>
      <c r="L4">
        <v>16.5</v>
      </c>
      <c r="M4" s="3" t="s">
        <v>17</v>
      </c>
      <c r="N4" s="3">
        <v>2</v>
      </c>
      <c r="O4" s="3" t="s">
        <v>23</v>
      </c>
      <c r="P4" s="3" t="s">
        <v>24</v>
      </c>
      <c r="Q4">
        <v>4158</v>
      </c>
    </row>
    <row r="5" spans="1:17">
      <c r="A5" s="1">
        <v>45094</v>
      </c>
      <c r="B5">
        <v>483</v>
      </c>
      <c r="C5">
        <v>121</v>
      </c>
      <c r="D5">
        <v>70</v>
      </c>
      <c r="E5">
        <v>292</v>
      </c>
      <c r="F5">
        <v>13</v>
      </c>
      <c r="G5" s="7">
        <f t="shared" si="0"/>
        <v>0.25051759834368531</v>
      </c>
      <c r="H5" s="7">
        <f t="shared" si="1"/>
        <v>0.14492753623188406</v>
      </c>
      <c r="I5" s="7">
        <f t="shared" si="2"/>
        <v>0.6045548654244306</v>
      </c>
      <c r="J5" s="7">
        <f t="shared" si="3"/>
        <v>2.6915113871635612E-2</v>
      </c>
      <c r="K5" s="2">
        <v>46.5</v>
      </c>
      <c r="L5">
        <v>16</v>
      </c>
      <c r="M5" s="3" t="s">
        <v>25</v>
      </c>
      <c r="N5" s="3">
        <v>3</v>
      </c>
      <c r="O5">
        <v>29</v>
      </c>
      <c r="P5">
        <v>445</v>
      </c>
      <c r="Q5">
        <v>3063</v>
      </c>
    </row>
    <row r="6" spans="1:17">
      <c r="A6" s="1">
        <v>45095</v>
      </c>
      <c r="B6">
        <v>583</v>
      </c>
      <c r="C6">
        <v>146</v>
      </c>
      <c r="D6">
        <v>54</v>
      </c>
      <c r="E6">
        <v>383</v>
      </c>
      <c r="F6">
        <v>35</v>
      </c>
      <c r="G6" s="7">
        <f t="shared" si="0"/>
        <v>0.2504288164665523</v>
      </c>
      <c r="H6" s="7">
        <f t="shared" si="1"/>
        <v>9.2624356775300176E-2</v>
      </c>
      <c r="I6" s="7">
        <f t="shared" si="2"/>
        <v>0.65694682675814753</v>
      </c>
      <c r="J6" s="7">
        <f t="shared" si="3"/>
        <v>6.0034305317324184E-2</v>
      </c>
      <c r="K6" s="2">
        <v>47</v>
      </c>
      <c r="L6">
        <v>17.5</v>
      </c>
      <c r="M6" s="3" t="s">
        <v>26</v>
      </c>
      <c r="N6" s="3">
        <v>0</v>
      </c>
      <c r="O6">
        <v>0</v>
      </c>
      <c r="P6">
        <v>0</v>
      </c>
      <c r="Q6">
        <v>2552</v>
      </c>
    </row>
    <row r="7" spans="1:17">
      <c r="A7" s="1">
        <v>45096</v>
      </c>
      <c r="B7">
        <f>8*60+48</f>
        <v>528</v>
      </c>
      <c r="C7">
        <v>152</v>
      </c>
      <c r="D7">
        <v>19</v>
      </c>
      <c r="E7">
        <f>5*60+57</f>
        <v>357</v>
      </c>
      <c r="F7">
        <v>72</v>
      </c>
      <c r="G7" s="7">
        <f t="shared" si="0"/>
        <v>0.2878787878787879</v>
      </c>
      <c r="H7" s="7">
        <f t="shared" si="1"/>
        <v>3.5984848484848488E-2</v>
      </c>
      <c r="I7" s="7">
        <f t="shared" si="2"/>
        <v>0.67613636363636365</v>
      </c>
      <c r="J7" s="7">
        <f t="shared" si="3"/>
        <v>0.13636363636363635</v>
      </c>
      <c r="K7" s="2">
        <f>(78+55)/2</f>
        <v>66.5</v>
      </c>
      <c r="L7">
        <f>(12.5+19)/2</f>
        <v>15.75</v>
      </c>
      <c r="M7" s="3" t="s">
        <v>27</v>
      </c>
      <c r="N7" s="3">
        <v>2</v>
      </c>
      <c r="O7" s="5" t="s">
        <v>28</v>
      </c>
      <c r="P7" s="3" t="s">
        <v>29</v>
      </c>
      <c r="Q7">
        <v>3242</v>
      </c>
    </row>
    <row r="8" spans="1:17">
      <c r="A8" s="1">
        <v>45097</v>
      </c>
      <c r="B8">
        <f>9*60+28</f>
        <v>568</v>
      </c>
      <c r="C8">
        <v>121</v>
      </c>
      <c r="D8">
        <v>26</v>
      </c>
      <c r="E8">
        <v>421</v>
      </c>
      <c r="F8">
        <v>26</v>
      </c>
      <c r="G8" s="7">
        <f t="shared" si="0"/>
        <v>0.2130281690140845</v>
      </c>
      <c r="H8" s="7">
        <f t="shared" si="1"/>
        <v>4.5774647887323945E-2</v>
      </c>
      <c r="I8" s="7">
        <f t="shared" si="2"/>
        <v>0.74119718309859151</v>
      </c>
      <c r="J8" s="7">
        <f t="shared" si="3"/>
        <v>4.5774647887323945E-2</v>
      </c>
      <c r="K8" s="2">
        <f>(32+54)/2</f>
        <v>43</v>
      </c>
      <c r="L8">
        <f>(13+19)/2</f>
        <v>16</v>
      </c>
      <c r="M8" s="3" t="s">
        <v>30</v>
      </c>
      <c r="N8" s="3">
        <v>2</v>
      </c>
      <c r="O8" s="3" t="s">
        <v>31</v>
      </c>
      <c r="P8" s="3" t="s">
        <v>32</v>
      </c>
      <c r="Q8">
        <v>3119</v>
      </c>
    </row>
    <row r="9" spans="1:17">
      <c r="A9" s="1">
        <v>45098</v>
      </c>
      <c r="B9">
        <f>9*60+23</f>
        <v>563</v>
      </c>
      <c r="C9">
        <v>124</v>
      </c>
      <c r="D9">
        <v>60</v>
      </c>
      <c r="E9">
        <f>6*60+19</f>
        <v>379</v>
      </c>
      <c r="F9">
        <v>44</v>
      </c>
      <c r="G9" s="7">
        <f t="shared" si="0"/>
        <v>0.2202486678507993</v>
      </c>
      <c r="H9" s="7">
        <f t="shared" si="1"/>
        <v>0.10657193605683836</v>
      </c>
      <c r="I9" s="7">
        <f t="shared" si="2"/>
        <v>0.67317939609236233</v>
      </c>
      <c r="J9" s="7">
        <f t="shared" si="3"/>
        <v>7.8152753108348141E-2</v>
      </c>
      <c r="K9" s="2">
        <f>(56+63)/2</f>
        <v>59.5</v>
      </c>
      <c r="L9">
        <f>(13.5+18.5)/2</f>
        <v>16</v>
      </c>
      <c r="M9" s="3" t="s">
        <v>30</v>
      </c>
      <c r="N9" s="3">
        <v>2</v>
      </c>
      <c r="O9" s="3" t="s">
        <v>33</v>
      </c>
      <c r="P9" s="3" t="s">
        <v>34</v>
      </c>
      <c r="Q9">
        <v>3153</v>
      </c>
    </row>
    <row r="10" spans="1:17">
      <c r="A10" s="1">
        <v>45099</v>
      </c>
      <c r="B10">
        <f>7*60+57</f>
        <v>477</v>
      </c>
      <c r="C10">
        <f>60+55</f>
        <v>115</v>
      </c>
      <c r="D10">
        <v>52</v>
      </c>
      <c r="E10">
        <v>310</v>
      </c>
      <c r="F10">
        <v>19</v>
      </c>
      <c r="G10" s="7">
        <f t="shared" si="0"/>
        <v>0.24109014675052412</v>
      </c>
      <c r="H10" s="7">
        <f t="shared" si="1"/>
        <v>0.1090146750524109</v>
      </c>
      <c r="I10" s="7">
        <f t="shared" si="2"/>
        <v>0.64989517819706499</v>
      </c>
      <c r="J10" s="7">
        <f t="shared" si="3"/>
        <v>3.9832285115303984E-2</v>
      </c>
      <c r="K10" s="2">
        <f>(71+95)/2</f>
        <v>83</v>
      </c>
      <c r="L10">
        <v>16</v>
      </c>
      <c r="M10" s="3" t="s">
        <v>20</v>
      </c>
      <c r="N10" s="3">
        <v>2</v>
      </c>
      <c r="O10" s="3" t="s">
        <v>35</v>
      </c>
      <c r="P10" s="3" t="s">
        <v>36</v>
      </c>
      <c r="Q10">
        <v>3112</v>
      </c>
    </row>
    <row r="11" spans="1:17">
      <c r="A11" s="1">
        <v>45100</v>
      </c>
      <c r="B11">
        <f>6*60+19</f>
        <v>379</v>
      </c>
      <c r="C11">
        <v>70</v>
      </c>
      <c r="D11">
        <v>45</v>
      </c>
      <c r="E11">
        <v>264</v>
      </c>
      <c r="F11">
        <v>92</v>
      </c>
      <c r="G11" s="7">
        <f t="shared" si="0"/>
        <v>0.18469656992084432</v>
      </c>
      <c r="H11" s="7">
        <f t="shared" si="1"/>
        <v>0.11873350923482849</v>
      </c>
      <c r="I11" s="7">
        <f t="shared" si="2"/>
        <v>0.69656992084432723</v>
      </c>
      <c r="J11" s="7">
        <f t="shared" si="3"/>
        <v>0.24274406332453827</v>
      </c>
      <c r="K11" s="2">
        <f>(71+41)/2</f>
        <v>56</v>
      </c>
      <c r="L11">
        <v>15.25</v>
      </c>
      <c r="M11" s="3" t="s">
        <v>37</v>
      </c>
      <c r="N11" s="3">
        <v>3</v>
      </c>
      <c r="O11">
        <v>38</v>
      </c>
      <c r="P11">
        <v>414</v>
      </c>
      <c r="Q11">
        <v>3185</v>
      </c>
    </row>
    <row r="12" spans="1:17">
      <c r="A12" s="1">
        <v>45101</v>
      </c>
      <c r="B12">
        <f>8*60+27</f>
        <v>507</v>
      </c>
      <c r="C12">
        <v>86</v>
      </c>
      <c r="D12">
        <v>70</v>
      </c>
      <c r="E12">
        <f>5*60+51</f>
        <v>351</v>
      </c>
      <c r="F12">
        <v>33</v>
      </c>
      <c r="G12" s="7">
        <f t="shared" si="0"/>
        <v>0.16962524654832348</v>
      </c>
      <c r="H12" s="7">
        <f t="shared" si="1"/>
        <v>0.13806706114398423</v>
      </c>
      <c r="I12" s="7">
        <f t="shared" si="2"/>
        <v>0.69230769230769229</v>
      </c>
      <c r="J12" s="7">
        <f t="shared" si="3"/>
        <v>6.5088757396449703E-2</v>
      </c>
      <c r="K12" s="2">
        <f>(47+69)/2</f>
        <v>58</v>
      </c>
      <c r="L12">
        <v>16</v>
      </c>
      <c r="M12" s="3" t="s">
        <v>17</v>
      </c>
      <c r="N12" s="3">
        <v>2</v>
      </c>
      <c r="O12" s="3" t="s">
        <v>38</v>
      </c>
      <c r="P12" s="3" t="s">
        <v>39</v>
      </c>
      <c r="Q12">
        <v>3401</v>
      </c>
    </row>
    <row r="13" spans="1:17">
      <c r="A13" s="1">
        <v>45102</v>
      </c>
      <c r="B13">
        <f>7*60+57</f>
        <v>477</v>
      </c>
      <c r="C13">
        <v>113</v>
      </c>
      <c r="D13">
        <v>40</v>
      </c>
      <c r="E13">
        <v>324</v>
      </c>
      <c r="F13">
        <v>19</v>
      </c>
      <c r="G13" s="7">
        <f t="shared" si="0"/>
        <v>0.23689727463312368</v>
      </c>
      <c r="H13" s="7">
        <f t="shared" si="1"/>
        <v>8.385744234800839E-2</v>
      </c>
      <c r="I13" s="7">
        <f t="shared" si="2"/>
        <v>0.67924528301886788</v>
      </c>
      <c r="J13" s="7">
        <f t="shared" si="3"/>
        <v>3.9832285115303984E-2</v>
      </c>
      <c r="K13" s="2">
        <f>(26+49)/2</f>
        <v>37.5</v>
      </c>
      <c r="L13">
        <v>17</v>
      </c>
      <c r="M13" s="3" t="s">
        <v>40</v>
      </c>
      <c r="N13" s="3">
        <v>3</v>
      </c>
      <c r="O13">
        <v>32</v>
      </c>
      <c r="P13">
        <v>209</v>
      </c>
      <c r="Q13">
        <v>2703</v>
      </c>
    </row>
    <row r="14" spans="1:17">
      <c r="A14" s="1">
        <v>45103</v>
      </c>
      <c r="B14">
        <f>6*60+38</f>
        <v>398</v>
      </c>
      <c r="C14">
        <v>95</v>
      </c>
      <c r="D14">
        <v>51</v>
      </c>
      <c r="E14">
        <v>252</v>
      </c>
      <c r="F14">
        <v>9</v>
      </c>
      <c r="G14" s="7">
        <f t="shared" si="0"/>
        <v>0.23869346733668342</v>
      </c>
      <c r="H14" s="7">
        <f t="shared" si="1"/>
        <v>0.12814070351758794</v>
      </c>
      <c r="I14" s="7">
        <f t="shared" si="2"/>
        <v>0.63316582914572861</v>
      </c>
      <c r="J14" s="7">
        <f t="shared" si="3"/>
        <v>2.2613065326633167E-2</v>
      </c>
      <c r="K14" s="2">
        <v>42.5</v>
      </c>
      <c r="L14">
        <f>(13.5+19.5)/2</f>
        <v>16.5</v>
      </c>
      <c r="M14" s="3" t="s">
        <v>20</v>
      </c>
      <c r="N14" s="3">
        <v>2</v>
      </c>
      <c r="O14" s="3" t="s">
        <v>41</v>
      </c>
      <c r="P14" s="3" t="s">
        <v>42</v>
      </c>
      <c r="Q14">
        <v>3329</v>
      </c>
    </row>
    <row r="15" spans="1:17">
      <c r="A15" s="1">
        <v>45104</v>
      </c>
      <c r="B15">
        <f>8*60+16</f>
        <v>496</v>
      </c>
      <c r="C15">
        <v>112</v>
      </c>
      <c r="D15">
        <v>43</v>
      </c>
      <c r="E15">
        <v>341</v>
      </c>
      <c r="F15">
        <v>7</v>
      </c>
      <c r="G15" s="7">
        <f t="shared" si="0"/>
        <v>0.22580645161290322</v>
      </c>
      <c r="H15" s="7">
        <f t="shared" si="1"/>
        <v>8.669354838709678E-2</v>
      </c>
      <c r="I15" s="7">
        <f t="shared" si="2"/>
        <v>0.6875</v>
      </c>
      <c r="J15" s="7">
        <f t="shared" si="3"/>
        <v>1.4112903225806451E-2</v>
      </c>
      <c r="K15" s="2">
        <f>(60+47)/2</f>
        <v>53.5</v>
      </c>
      <c r="L15">
        <f>(13.5+22)/2</f>
        <v>17.75</v>
      </c>
      <c r="M15" s="3" t="s">
        <v>20</v>
      </c>
      <c r="N15" s="3">
        <v>2</v>
      </c>
      <c r="O15" s="3" t="s">
        <v>43</v>
      </c>
      <c r="P15" s="4" t="s">
        <v>44</v>
      </c>
      <c r="Q15">
        <v>3153</v>
      </c>
    </row>
    <row r="16" spans="1:17">
      <c r="A16" s="1">
        <v>45105</v>
      </c>
      <c r="B16">
        <v>480</v>
      </c>
      <c r="C16">
        <v>116</v>
      </c>
      <c r="D16">
        <v>45</v>
      </c>
      <c r="E16">
        <v>319</v>
      </c>
      <c r="F16">
        <v>11</v>
      </c>
      <c r="G16" s="7">
        <f t="shared" si="0"/>
        <v>0.24166666666666667</v>
      </c>
      <c r="H16" s="7">
        <f t="shared" si="1"/>
        <v>9.375E-2</v>
      </c>
      <c r="I16" s="7">
        <f t="shared" si="2"/>
        <v>0.6645833333333333</v>
      </c>
      <c r="J16" s="7">
        <f t="shared" si="3"/>
        <v>2.2916666666666665E-2</v>
      </c>
      <c r="K16" s="2">
        <f>(40+72)/2</f>
        <v>56</v>
      </c>
      <c r="L16">
        <v>15</v>
      </c>
      <c r="M16" s="3" t="s">
        <v>45</v>
      </c>
      <c r="N16" s="3">
        <v>1</v>
      </c>
      <c r="O16">
        <v>60</v>
      </c>
      <c r="P16">
        <v>664</v>
      </c>
      <c r="Q16">
        <v>3398</v>
      </c>
    </row>
    <row r="17" spans="1:17">
      <c r="A17" s="1">
        <v>45106</v>
      </c>
      <c r="B17">
        <f>7*60+46</f>
        <v>466</v>
      </c>
      <c r="C17">
        <v>106</v>
      </c>
      <c r="D17">
        <v>54</v>
      </c>
      <c r="E17">
        <v>306</v>
      </c>
      <c r="F17">
        <v>23</v>
      </c>
      <c r="G17" s="7">
        <f t="shared" si="0"/>
        <v>0.22746781115879827</v>
      </c>
      <c r="H17" s="7">
        <f t="shared" si="1"/>
        <v>0.11587982832618025</v>
      </c>
      <c r="I17" s="7">
        <f t="shared" si="2"/>
        <v>0.6566523605150214</v>
      </c>
      <c r="J17" s="7">
        <f t="shared" si="3"/>
        <v>4.9356223175965663E-2</v>
      </c>
      <c r="K17" s="2">
        <f>(101+45)/2</f>
        <v>73</v>
      </c>
      <c r="L17">
        <f>(8.5+19)/2</f>
        <v>13.75</v>
      </c>
      <c r="M17" s="3" t="s">
        <v>45</v>
      </c>
      <c r="N17" s="3">
        <v>1</v>
      </c>
      <c r="O17">
        <v>60</v>
      </c>
      <c r="P17">
        <v>596</v>
      </c>
      <c r="Q17">
        <v>3270</v>
      </c>
    </row>
    <row r="18" spans="1:17">
      <c r="A18" s="1">
        <v>45107</v>
      </c>
      <c r="B18">
        <f>7*60+32</f>
        <v>452</v>
      </c>
      <c r="C18">
        <v>91</v>
      </c>
      <c r="D18">
        <v>55</v>
      </c>
      <c r="E18">
        <v>306</v>
      </c>
      <c r="F18">
        <v>40</v>
      </c>
      <c r="G18" s="7">
        <f t="shared" si="0"/>
        <v>0.20132743362831859</v>
      </c>
      <c r="H18" s="7">
        <f t="shared" si="1"/>
        <v>0.12168141592920353</v>
      </c>
      <c r="I18" s="7">
        <f t="shared" si="2"/>
        <v>0.67699115044247793</v>
      </c>
      <c r="J18" s="7">
        <f t="shared" si="3"/>
        <v>8.8495575221238937E-2</v>
      </c>
      <c r="K18" s="2">
        <f>(39+59)/2</f>
        <v>49</v>
      </c>
      <c r="L18">
        <f>(14+21)/2</f>
        <v>17.5</v>
      </c>
      <c r="M18" s="3" t="s">
        <v>37</v>
      </c>
      <c r="N18" s="3">
        <v>3</v>
      </c>
      <c r="O18">
        <v>42</v>
      </c>
      <c r="P18">
        <v>442</v>
      </c>
      <c r="Q18">
        <v>3410</v>
      </c>
    </row>
    <row r="19" spans="1:17">
      <c r="A19" s="1">
        <v>45108</v>
      </c>
      <c r="B19">
        <v>570</v>
      </c>
      <c r="C19">
        <v>151</v>
      </c>
      <c r="D19">
        <v>61</v>
      </c>
      <c r="E19">
        <v>338</v>
      </c>
      <c r="F19">
        <v>23</v>
      </c>
      <c r="G19" s="7">
        <f t="shared" si="0"/>
        <v>0.26491228070175438</v>
      </c>
      <c r="H19" s="7">
        <f t="shared" si="1"/>
        <v>0.10701754385964912</v>
      </c>
      <c r="I19" s="7">
        <f t="shared" si="2"/>
        <v>0.59298245614035083</v>
      </c>
      <c r="J19" s="7">
        <f t="shared" si="3"/>
        <v>4.0350877192982457E-2</v>
      </c>
      <c r="K19" s="2">
        <f>(27+24)/2</f>
        <v>25.5</v>
      </c>
      <c r="L19">
        <f>(13+20.5)/2</f>
        <v>16.75</v>
      </c>
      <c r="M19" s="3" t="s">
        <v>45</v>
      </c>
      <c r="N19">
        <v>1</v>
      </c>
      <c r="O19">
        <v>82</v>
      </c>
      <c r="P19">
        <v>427</v>
      </c>
      <c r="Q19">
        <v>2952</v>
      </c>
    </row>
    <row r="20" spans="1:17">
      <c r="A20" s="1">
        <v>45109</v>
      </c>
      <c r="B20">
        <v>615</v>
      </c>
      <c r="C20">
        <v>116</v>
      </c>
      <c r="D20">
        <v>32</v>
      </c>
      <c r="E20">
        <v>467</v>
      </c>
      <c r="F20">
        <v>18</v>
      </c>
      <c r="G20" s="7">
        <f t="shared" si="0"/>
        <v>0.1886178861788618</v>
      </c>
      <c r="H20" s="7">
        <f t="shared" si="1"/>
        <v>5.2032520325203252E-2</v>
      </c>
      <c r="I20" s="7">
        <f t="shared" si="2"/>
        <v>0.759349593495935</v>
      </c>
      <c r="J20" s="7">
        <f t="shared" si="3"/>
        <v>2.9268292682926831E-2</v>
      </c>
      <c r="K20" s="2">
        <f>(36+63+63)/3</f>
        <v>54</v>
      </c>
      <c r="L20">
        <f>(13.5+20)/2</f>
        <v>16.75</v>
      </c>
      <c r="M20" s="3" t="s">
        <v>26</v>
      </c>
      <c r="N20">
        <v>0</v>
      </c>
      <c r="O20">
        <v>0</v>
      </c>
      <c r="P20">
        <v>0</v>
      </c>
      <c r="Q20">
        <v>2529</v>
      </c>
    </row>
    <row r="21" spans="1:17">
      <c r="A21" s="1">
        <v>45110</v>
      </c>
      <c r="B21">
        <v>447</v>
      </c>
      <c r="C21">
        <v>97</v>
      </c>
      <c r="D21">
        <v>38</v>
      </c>
      <c r="E21">
        <v>312</v>
      </c>
      <c r="F21">
        <v>6</v>
      </c>
      <c r="G21" s="7">
        <f t="shared" si="0"/>
        <v>0.21700223713646533</v>
      </c>
      <c r="H21" s="7">
        <f t="shared" si="1"/>
        <v>8.5011185682326629E-2</v>
      </c>
      <c r="I21" s="7">
        <f t="shared" si="2"/>
        <v>0.69798657718120805</v>
      </c>
      <c r="J21" s="7">
        <f t="shared" si="3"/>
        <v>1.3422818791946308E-2</v>
      </c>
      <c r="K21" s="2">
        <v>51.5</v>
      </c>
      <c r="L21">
        <v>16.5</v>
      </c>
      <c r="M21" s="3" t="s">
        <v>46</v>
      </c>
      <c r="N21">
        <v>2</v>
      </c>
      <c r="O21" s="3" t="s">
        <v>47</v>
      </c>
      <c r="P21" s="3" t="s">
        <v>48</v>
      </c>
      <c r="Q21">
        <v>3297</v>
      </c>
    </row>
    <row r="22" spans="1:17">
      <c r="A22" s="1">
        <v>45111</v>
      </c>
      <c r="B22">
        <v>582</v>
      </c>
      <c r="C22">
        <v>155</v>
      </c>
      <c r="D22">
        <v>55</v>
      </c>
      <c r="E22">
        <v>352</v>
      </c>
      <c r="F22">
        <v>14</v>
      </c>
      <c r="G22" s="7">
        <f t="shared" si="0"/>
        <v>0.26632302405498282</v>
      </c>
      <c r="H22" s="7">
        <f t="shared" si="1"/>
        <v>9.4501718213058417E-2</v>
      </c>
      <c r="I22" s="7">
        <f t="shared" si="2"/>
        <v>0.60481099656357384</v>
      </c>
      <c r="J22" s="7">
        <f t="shared" si="3"/>
        <v>2.4054982817869417E-2</v>
      </c>
      <c r="K22" s="2">
        <f>(28+56+33)/3</f>
        <v>39</v>
      </c>
      <c r="L22">
        <v>16.75</v>
      </c>
      <c r="M22" s="3" t="s">
        <v>49</v>
      </c>
      <c r="N22">
        <v>2</v>
      </c>
      <c r="O22" s="3" t="s">
        <v>50</v>
      </c>
      <c r="P22" s="3" t="s">
        <v>51</v>
      </c>
      <c r="Q22">
        <v>3220</v>
      </c>
    </row>
    <row r="23" spans="1:17">
      <c r="A23" s="1">
        <v>45112</v>
      </c>
      <c r="B23">
        <v>350</v>
      </c>
      <c r="C23">
        <v>55</v>
      </c>
      <c r="D23">
        <v>12</v>
      </c>
      <c r="E23">
        <v>283</v>
      </c>
      <c r="F23">
        <v>100</v>
      </c>
      <c r="G23" s="7">
        <f t="shared" si="0"/>
        <v>0.15714285714285714</v>
      </c>
      <c r="H23" s="7">
        <f t="shared" si="1"/>
        <v>3.4285714285714287E-2</v>
      </c>
      <c r="I23" s="7">
        <f t="shared" si="2"/>
        <v>0.80857142857142861</v>
      </c>
      <c r="J23" s="7">
        <f t="shared" si="3"/>
        <v>0.2857142857142857</v>
      </c>
      <c r="K23" s="2">
        <v>22</v>
      </c>
      <c r="L23">
        <f>(13.5+18.5)/2</f>
        <v>16</v>
      </c>
      <c r="M23" s="3" t="s">
        <v>52</v>
      </c>
      <c r="N23">
        <v>3</v>
      </c>
      <c r="O23">
        <v>38</v>
      </c>
      <c r="P23">
        <v>169</v>
      </c>
      <c r="Q23">
        <v>2789</v>
      </c>
    </row>
    <row r="24" spans="1:17">
      <c r="A24" s="1">
        <v>45113</v>
      </c>
      <c r="B24">
        <f>8*60+38</f>
        <v>518</v>
      </c>
      <c r="C24">
        <v>103</v>
      </c>
      <c r="D24">
        <v>76</v>
      </c>
      <c r="E24">
        <v>339</v>
      </c>
      <c r="F24">
        <v>8</v>
      </c>
      <c r="G24" s="7">
        <f t="shared" si="0"/>
        <v>0.19884169884169883</v>
      </c>
      <c r="H24" s="7">
        <f t="shared" si="1"/>
        <v>0.14671814671814673</v>
      </c>
      <c r="I24" s="7">
        <f t="shared" si="2"/>
        <v>0.65444015444015446</v>
      </c>
      <c r="J24" s="7">
        <f t="shared" si="3"/>
        <v>1.5444015444015444E-2</v>
      </c>
      <c r="K24" s="2">
        <v>42.5</v>
      </c>
      <c r="L24">
        <v>16</v>
      </c>
      <c r="M24" s="3" t="s">
        <v>45</v>
      </c>
      <c r="N24">
        <v>1</v>
      </c>
      <c r="O24">
        <v>60</v>
      </c>
      <c r="P24">
        <v>480</v>
      </c>
      <c r="Q24">
        <v>3198</v>
      </c>
    </row>
    <row r="25" spans="1:17">
      <c r="A25" s="1">
        <v>45114</v>
      </c>
      <c r="B25">
        <v>322</v>
      </c>
      <c r="C25">
        <v>51</v>
      </c>
      <c r="D25">
        <v>59</v>
      </c>
      <c r="E25">
        <v>212</v>
      </c>
      <c r="F25">
        <v>19</v>
      </c>
      <c r="G25" s="7">
        <f t="shared" si="0"/>
        <v>0.15838509316770186</v>
      </c>
      <c r="H25" s="7">
        <f t="shared" si="1"/>
        <v>0.18322981366459629</v>
      </c>
      <c r="I25" s="7">
        <f t="shared" si="2"/>
        <v>0.65838509316770188</v>
      </c>
      <c r="J25" s="7">
        <f t="shared" si="3"/>
        <v>5.9006211180124224E-2</v>
      </c>
      <c r="K25" s="2">
        <v>41</v>
      </c>
      <c r="L25">
        <v>16.75</v>
      </c>
      <c r="M25" s="3" t="s">
        <v>53</v>
      </c>
      <c r="N25">
        <v>2</v>
      </c>
      <c r="O25" s="3" t="s">
        <v>54</v>
      </c>
      <c r="P25" s="3" t="s">
        <v>55</v>
      </c>
      <c r="Q25">
        <v>3508</v>
      </c>
    </row>
    <row r="26" spans="1:17">
      <c r="A26" s="1">
        <v>45115</v>
      </c>
      <c r="B26">
        <f>8*60+49</f>
        <v>529</v>
      </c>
      <c r="C26">
        <v>122</v>
      </c>
      <c r="D26">
        <v>43</v>
      </c>
      <c r="E26">
        <v>364</v>
      </c>
      <c r="F26">
        <v>7</v>
      </c>
      <c r="G26" s="7">
        <f t="shared" si="0"/>
        <v>0.23062381852551986</v>
      </c>
      <c r="H26" s="7">
        <f t="shared" si="1"/>
        <v>8.1285444234404536E-2</v>
      </c>
      <c r="I26" s="7">
        <f t="shared" si="2"/>
        <v>0.68809073724007563</v>
      </c>
      <c r="J26" s="7">
        <f t="shared" si="3"/>
        <v>1.3232514177693762E-2</v>
      </c>
      <c r="K26" s="2">
        <v>57.7</v>
      </c>
      <c r="L26">
        <f>(14+20.5)/2</f>
        <v>17.25</v>
      </c>
      <c r="M26" s="3" t="s">
        <v>45</v>
      </c>
      <c r="N26">
        <v>1</v>
      </c>
      <c r="O26">
        <v>79</v>
      </c>
      <c r="P26">
        <v>375</v>
      </c>
      <c r="Q26">
        <v>2972</v>
      </c>
    </row>
    <row r="27" spans="1:17">
      <c r="A27" s="1">
        <v>45116</v>
      </c>
      <c r="B27">
        <f>8*60+43</f>
        <v>523</v>
      </c>
      <c r="C27">
        <v>88</v>
      </c>
      <c r="D27">
        <v>39</v>
      </c>
      <c r="E27">
        <v>396</v>
      </c>
      <c r="F27">
        <v>9</v>
      </c>
      <c r="G27" s="7">
        <f t="shared" si="0"/>
        <v>0.16826003824091779</v>
      </c>
      <c r="H27" s="7">
        <f t="shared" si="1"/>
        <v>7.4569789674952203E-2</v>
      </c>
      <c r="I27" s="7">
        <f t="shared" si="2"/>
        <v>0.75717017208413007</v>
      </c>
      <c r="J27" s="7">
        <f t="shared" si="3"/>
        <v>1.7208413001912046E-2</v>
      </c>
      <c r="K27" s="2">
        <f>(31+66)/2</f>
        <v>48.5</v>
      </c>
      <c r="L27">
        <f>(13.5+32.5)/2</f>
        <v>23</v>
      </c>
      <c r="M27" s="3" t="s">
        <v>26</v>
      </c>
      <c r="N27">
        <v>0</v>
      </c>
      <c r="O27">
        <v>0</v>
      </c>
      <c r="P27">
        <v>0</v>
      </c>
      <c r="Q27">
        <v>2628</v>
      </c>
    </row>
    <row r="28" spans="1:17">
      <c r="A28" s="1">
        <v>45117</v>
      </c>
      <c r="B28">
        <v>352</v>
      </c>
      <c r="C28">
        <v>92</v>
      </c>
      <c r="D28">
        <v>82</v>
      </c>
      <c r="E28">
        <v>178</v>
      </c>
      <c r="F28">
        <v>0</v>
      </c>
      <c r="G28" s="7">
        <f t="shared" si="0"/>
        <v>0.26136363636363635</v>
      </c>
      <c r="H28" s="7">
        <f t="shared" si="1"/>
        <v>0.23295454545454544</v>
      </c>
      <c r="I28" s="7">
        <f t="shared" si="2"/>
        <v>0.50568181818181823</v>
      </c>
      <c r="J28" s="7">
        <f t="shared" si="3"/>
        <v>0</v>
      </c>
      <c r="K28" s="2">
        <v>56</v>
      </c>
      <c r="L28">
        <v>16.5</v>
      </c>
      <c r="M28" s="3" t="s">
        <v>45</v>
      </c>
      <c r="N28">
        <v>1</v>
      </c>
      <c r="O28">
        <v>60</v>
      </c>
      <c r="P28">
        <v>499</v>
      </c>
      <c r="Q28">
        <v>3293</v>
      </c>
    </row>
    <row r="29" spans="1:17">
      <c r="A29" s="1">
        <v>45118</v>
      </c>
      <c r="B29">
        <v>502</v>
      </c>
      <c r="C29">
        <v>129</v>
      </c>
      <c r="D29">
        <v>74</v>
      </c>
      <c r="E29">
        <v>299</v>
      </c>
      <c r="F29">
        <v>8</v>
      </c>
      <c r="G29" s="7">
        <f t="shared" si="0"/>
        <v>0.25697211155378485</v>
      </c>
      <c r="H29" s="7">
        <f t="shared" si="1"/>
        <v>0.14741035856573706</v>
      </c>
      <c r="I29" s="7">
        <f t="shared" si="2"/>
        <v>0.59561752988047811</v>
      </c>
      <c r="J29" s="7">
        <f t="shared" si="3"/>
        <v>1.5936254980079681E-2</v>
      </c>
      <c r="K29" s="2">
        <f>(40+58)/2</f>
        <v>49</v>
      </c>
      <c r="L29">
        <v>17.25</v>
      </c>
      <c r="M29" s="3" t="s">
        <v>20</v>
      </c>
      <c r="N29">
        <v>2</v>
      </c>
      <c r="O29" s="3" t="s">
        <v>56</v>
      </c>
      <c r="P29" s="3" t="s">
        <v>57</v>
      </c>
      <c r="Q29">
        <v>3308</v>
      </c>
    </row>
    <row r="30" spans="1:17">
      <c r="A30" s="1">
        <v>45119</v>
      </c>
      <c r="B30">
        <f>6*60+48</f>
        <v>408</v>
      </c>
      <c r="C30">
        <v>103</v>
      </c>
      <c r="D30">
        <v>61</v>
      </c>
      <c r="E30">
        <v>244</v>
      </c>
      <c r="F30">
        <v>2</v>
      </c>
      <c r="G30" s="7">
        <f t="shared" si="0"/>
        <v>0.25245098039215685</v>
      </c>
      <c r="H30" s="7">
        <f t="shared" si="1"/>
        <v>0.14950980392156862</v>
      </c>
      <c r="I30" s="7">
        <f t="shared" si="2"/>
        <v>0.59803921568627449</v>
      </c>
      <c r="J30" s="7">
        <f t="shared" si="3"/>
        <v>4.9019607843137254E-3</v>
      </c>
      <c r="K30" s="2">
        <v>57</v>
      </c>
      <c r="L30">
        <f>(13+17.5)/2</f>
        <v>15.25</v>
      </c>
      <c r="M30" s="3" t="s">
        <v>25</v>
      </c>
      <c r="N30">
        <v>3</v>
      </c>
      <c r="O30">
        <v>30</v>
      </c>
      <c r="P30">
        <v>205</v>
      </c>
      <c r="Q30">
        <v>2987</v>
      </c>
    </row>
    <row r="31" spans="1:17">
      <c r="A31" s="1">
        <v>45120</v>
      </c>
      <c r="B31">
        <v>487</v>
      </c>
      <c r="C31">
        <v>139</v>
      </c>
      <c r="D31">
        <v>74</v>
      </c>
      <c r="E31">
        <v>274</v>
      </c>
      <c r="F31">
        <v>6</v>
      </c>
      <c r="G31" s="7">
        <f t="shared" si="0"/>
        <v>0.28542094455852157</v>
      </c>
      <c r="H31" s="7">
        <f t="shared" si="1"/>
        <v>0.15195071868583163</v>
      </c>
      <c r="I31" s="7">
        <f t="shared" si="2"/>
        <v>0.56262833675564683</v>
      </c>
      <c r="J31" s="7">
        <f t="shared" si="3"/>
        <v>1.2320328542094456E-2</v>
      </c>
      <c r="K31" s="2">
        <f>(50+146)/2</f>
        <v>98</v>
      </c>
      <c r="L31">
        <v>16</v>
      </c>
      <c r="M31" s="3" t="s">
        <v>45</v>
      </c>
      <c r="N31">
        <v>1</v>
      </c>
      <c r="O31">
        <v>60</v>
      </c>
      <c r="P31">
        <v>394</v>
      </c>
      <c r="Q31">
        <v>3084</v>
      </c>
    </row>
    <row r="32" spans="1:17">
      <c r="A32" s="1">
        <v>45121</v>
      </c>
      <c r="B32">
        <v>430</v>
      </c>
      <c r="C32">
        <v>91</v>
      </c>
      <c r="D32">
        <v>39</v>
      </c>
      <c r="E32">
        <v>300</v>
      </c>
      <c r="F32">
        <v>8</v>
      </c>
      <c r="G32" s="7">
        <f t="shared" si="0"/>
        <v>0.21162790697674419</v>
      </c>
      <c r="H32" s="7">
        <f t="shared" si="1"/>
        <v>9.0697674418604657E-2</v>
      </c>
      <c r="I32" s="7">
        <f t="shared" si="2"/>
        <v>0.69767441860465118</v>
      </c>
      <c r="J32" s="7">
        <f t="shared" si="3"/>
        <v>1.8604651162790697E-2</v>
      </c>
      <c r="K32" s="2">
        <f>(60+34)/2</f>
        <v>47</v>
      </c>
      <c r="L32">
        <v>16</v>
      </c>
      <c r="M32" s="3" t="s">
        <v>49</v>
      </c>
      <c r="N32">
        <v>2</v>
      </c>
      <c r="O32" s="3" t="s">
        <v>58</v>
      </c>
      <c r="P32" s="3" t="s">
        <v>59</v>
      </c>
      <c r="Q32">
        <v>4843</v>
      </c>
    </row>
    <row r="33" spans="1:17">
      <c r="A33" s="1">
        <v>45122</v>
      </c>
      <c r="B33">
        <f>7*60+46</f>
        <v>466</v>
      </c>
      <c r="C33">
        <v>102</v>
      </c>
      <c r="D33">
        <v>46</v>
      </c>
      <c r="E33">
        <v>318</v>
      </c>
      <c r="F33">
        <v>9</v>
      </c>
      <c r="G33" s="7">
        <f t="shared" si="0"/>
        <v>0.21888412017167383</v>
      </c>
      <c r="H33" s="7">
        <f t="shared" si="1"/>
        <v>9.8712446351931327E-2</v>
      </c>
      <c r="I33" s="7">
        <f t="shared" si="2"/>
        <v>0.68240343347639487</v>
      </c>
      <c r="J33" s="7">
        <f t="shared" si="3"/>
        <v>1.9313304721030045E-2</v>
      </c>
      <c r="K33" s="2">
        <f>(26+55)/2</f>
        <v>40.5</v>
      </c>
      <c r="L33">
        <v>17</v>
      </c>
      <c r="M33" s="3" t="s">
        <v>25</v>
      </c>
      <c r="N33">
        <v>3</v>
      </c>
      <c r="O33">
        <v>45</v>
      </c>
      <c r="P33">
        <v>281</v>
      </c>
      <c r="Q33">
        <v>2964</v>
      </c>
    </row>
    <row r="34" spans="1:17">
      <c r="A34" s="1">
        <v>45123</v>
      </c>
      <c r="B34">
        <v>584</v>
      </c>
      <c r="C34">
        <v>150</v>
      </c>
      <c r="D34">
        <v>53</v>
      </c>
      <c r="E34">
        <v>381</v>
      </c>
      <c r="F34">
        <v>15</v>
      </c>
      <c r="G34" s="7">
        <f t="shared" si="0"/>
        <v>0.25684931506849318</v>
      </c>
      <c r="H34" s="7">
        <f t="shared" si="1"/>
        <v>9.0753424657534248E-2</v>
      </c>
      <c r="I34" s="7">
        <f t="shared" si="2"/>
        <v>0.6523972602739726</v>
      </c>
      <c r="J34" s="7">
        <f t="shared" si="3"/>
        <v>2.5684931506849314E-2</v>
      </c>
      <c r="K34" s="2">
        <f>(27+54+42)/3</f>
        <v>41</v>
      </c>
      <c r="L34">
        <v>17</v>
      </c>
      <c r="M34" s="3" t="s">
        <v>26</v>
      </c>
      <c r="N34">
        <v>0</v>
      </c>
      <c r="O34">
        <v>0</v>
      </c>
      <c r="P34">
        <v>0</v>
      </c>
      <c r="Q34">
        <v>2579</v>
      </c>
    </row>
    <row r="35" spans="1:17">
      <c r="A35" s="1">
        <v>45124</v>
      </c>
      <c r="B35">
        <v>471</v>
      </c>
      <c r="C35">
        <v>120</v>
      </c>
      <c r="D35">
        <v>26</v>
      </c>
      <c r="E35">
        <v>325</v>
      </c>
      <c r="F35">
        <v>11</v>
      </c>
      <c r="G35" s="7">
        <f t="shared" si="0"/>
        <v>0.25477707006369427</v>
      </c>
      <c r="H35" s="7">
        <f t="shared" si="1"/>
        <v>5.5201698513800426E-2</v>
      </c>
      <c r="I35" s="7">
        <f t="shared" si="2"/>
        <v>0.69002123142250527</v>
      </c>
      <c r="J35" s="7">
        <f t="shared" si="3"/>
        <v>2.3354564755838639E-2</v>
      </c>
      <c r="K35" s="2">
        <f>(139+76)/2</f>
        <v>107.5</v>
      </c>
      <c r="L35">
        <v>16.5</v>
      </c>
      <c r="M35" s="3" t="s">
        <v>45</v>
      </c>
      <c r="N35">
        <v>1</v>
      </c>
      <c r="O35">
        <v>62</v>
      </c>
      <c r="P35">
        <v>427</v>
      </c>
      <c r="Q35">
        <v>3118</v>
      </c>
    </row>
    <row r="36" spans="1:17">
      <c r="A36" s="1">
        <v>45125</v>
      </c>
      <c r="B36">
        <v>411</v>
      </c>
      <c r="C36">
        <v>116</v>
      </c>
      <c r="D36">
        <v>27</v>
      </c>
      <c r="E36">
        <v>268</v>
      </c>
      <c r="F36">
        <v>20</v>
      </c>
      <c r="G36" s="7">
        <f t="shared" si="0"/>
        <v>0.28223844282238442</v>
      </c>
      <c r="H36" s="7">
        <f t="shared" si="1"/>
        <v>6.569343065693431E-2</v>
      </c>
      <c r="I36" s="7">
        <f t="shared" si="2"/>
        <v>0.65206812652068125</v>
      </c>
      <c r="J36" s="7">
        <f t="shared" si="3"/>
        <v>4.8661800486618008E-2</v>
      </c>
      <c r="K36" s="2">
        <v>55</v>
      </c>
      <c r="L36">
        <f>(14+22.5)/2</f>
        <v>18.25</v>
      </c>
      <c r="M36" s="3" t="s">
        <v>45</v>
      </c>
      <c r="N36">
        <v>1</v>
      </c>
      <c r="O36">
        <v>62</v>
      </c>
      <c r="P36">
        <v>362</v>
      </c>
      <c r="Q36">
        <v>3099</v>
      </c>
    </row>
    <row r="37" spans="1:17">
      <c r="A37" s="1">
        <v>45126</v>
      </c>
      <c r="B37">
        <v>453</v>
      </c>
      <c r="C37">
        <v>104</v>
      </c>
      <c r="D37">
        <v>47</v>
      </c>
      <c r="E37">
        <v>302</v>
      </c>
      <c r="F37">
        <v>11</v>
      </c>
      <c r="G37" s="7">
        <f t="shared" si="0"/>
        <v>0.22958057395143489</v>
      </c>
      <c r="H37" s="7">
        <f t="shared" si="1"/>
        <v>0.10375275938189846</v>
      </c>
      <c r="I37" s="7">
        <f t="shared" si="2"/>
        <v>0.66666666666666663</v>
      </c>
      <c r="J37" s="7">
        <f t="shared" si="3"/>
        <v>2.4282560706401765E-2</v>
      </c>
      <c r="K37" s="2">
        <v>121</v>
      </c>
      <c r="L37">
        <v>16.5</v>
      </c>
      <c r="M37" s="3" t="s">
        <v>25</v>
      </c>
      <c r="N37">
        <v>3</v>
      </c>
      <c r="O37">
        <v>51</v>
      </c>
      <c r="P37">
        <v>353</v>
      </c>
      <c r="Q37">
        <v>3076</v>
      </c>
    </row>
    <row r="38" spans="1:17">
      <c r="A38" s="1">
        <v>45127</v>
      </c>
      <c r="B38">
        <v>467</v>
      </c>
      <c r="C38">
        <v>110</v>
      </c>
      <c r="D38">
        <v>73</v>
      </c>
      <c r="E38">
        <v>464</v>
      </c>
      <c r="F38">
        <v>5</v>
      </c>
      <c r="G38" s="7">
        <f t="shared" si="0"/>
        <v>0.23554603854389722</v>
      </c>
      <c r="H38" s="7">
        <f t="shared" si="1"/>
        <v>0.15631691648822268</v>
      </c>
      <c r="I38" s="7">
        <f t="shared" si="2"/>
        <v>0.99357601713062094</v>
      </c>
      <c r="J38" s="7">
        <f t="shared" si="3"/>
        <v>1.0706638115631691E-2</v>
      </c>
      <c r="K38" s="2">
        <v>49</v>
      </c>
      <c r="L38">
        <f>(35.5+13.5)/2</f>
        <v>24.5</v>
      </c>
      <c r="M38" s="3" t="s">
        <v>45</v>
      </c>
      <c r="N38">
        <v>1</v>
      </c>
      <c r="O38">
        <v>61</v>
      </c>
      <c r="P38">
        <v>341</v>
      </c>
      <c r="Q38">
        <v>3056</v>
      </c>
    </row>
    <row r="39" spans="1:17">
      <c r="A39" s="1">
        <v>45128</v>
      </c>
      <c r="B39">
        <v>458</v>
      </c>
      <c r="C39">
        <v>110</v>
      </c>
      <c r="D39">
        <v>98</v>
      </c>
      <c r="E39">
        <v>250</v>
      </c>
      <c r="F39">
        <v>18</v>
      </c>
      <c r="G39" s="7">
        <f t="shared" si="0"/>
        <v>0.24017467248908297</v>
      </c>
      <c r="H39" s="7">
        <f t="shared" si="1"/>
        <v>0.21397379912663755</v>
      </c>
      <c r="I39" s="7">
        <f t="shared" si="2"/>
        <v>0.54585152838427953</v>
      </c>
      <c r="J39" s="7">
        <f t="shared" si="3"/>
        <v>3.9301310043668124E-2</v>
      </c>
      <c r="K39" s="2">
        <v>41</v>
      </c>
      <c r="L39">
        <f>(24+8)/2</f>
        <v>16</v>
      </c>
      <c r="M39" s="3" t="s">
        <v>45</v>
      </c>
      <c r="N39">
        <v>1</v>
      </c>
      <c r="O39">
        <v>69</v>
      </c>
      <c r="P39">
        <v>366</v>
      </c>
      <c r="Q39">
        <v>3224</v>
      </c>
    </row>
    <row r="40" spans="1:17">
      <c r="A40" s="1">
        <v>45129</v>
      </c>
      <c r="B40">
        <v>455</v>
      </c>
      <c r="C40">
        <v>83</v>
      </c>
      <c r="D40">
        <v>69</v>
      </c>
      <c r="E40">
        <v>303</v>
      </c>
      <c r="F40">
        <v>12</v>
      </c>
      <c r="G40" s="7">
        <f t="shared" si="0"/>
        <v>0.18241758241758241</v>
      </c>
      <c r="H40" s="7">
        <f t="shared" si="1"/>
        <v>0.15164835164835164</v>
      </c>
      <c r="I40" s="7">
        <f t="shared" si="2"/>
        <v>0.6659340659340659</v>
      </c>
      <c r="J40" s="7">
        <f t="shared" si="3"/>
        <v>2.6373626373626374E-2</v>
      </c>
      <c r="K40" s="2">
        <v>41</v>
      </c>
      <c r="L40">
        <v>17.5</v>
      </c>
      <c r="M40" s="3" t="s">
        <v>25</v>
      </c>
      <c r="N40">
        <v>3</v>
      </c>
      <c r="O40">
        <v>48</v>
      </c>
      <c r="P40">
        <v>359</v>
      </c>
      <c r="Q40">
        <v>2988</v>
      </c>
    </row>
    <row r="41" spans="1:17">
      <c r="A41" s="1">
        <v>45130</v>
      </c>
      <c r="B41">
        <v>504</v>
      </c>
      <c r="C41">
        <v>135</v>
      </c>
      <c r="D41">
        <v>32</v>
      </c>
      <c r="E41">
        <v>337</v>
      </c>
      <c r="F41">
        <v>4</v>
      </c>
      <c r="G41" s="7">
        <f t="shared" si="0"/>
        <v>0.26785714285714285</v>
      </c>
      <c r="H41" s="7">
        <f t="shared" si="1"/>
        <v>6.3492063492063489E-2</v>
      </c>
      <c r="I41" s="7">
        <f t="shared" si="2"/>
        <v>0.66865079365079361</v>
      </c>
      <c r="J41" s="7">
        <f t="shared" si="3"/>
        <v>7.9365079365079361E-3</v>
      </c>
      <c r="K41" s="2">
        <v>44</v>
      </c>
      <c r="L41">
        <v>16</v>
      </c>
      <c r="M41" s="3" t="s">
        <v>52</v>
      </c>
      <c r="N41">
        <v>3</v>
      </c>
      <c r="O41">
        <v>44</v>
      </c>
      <c r="P41">
        <v>189</v>
      </c>
      <c r="Q41">
        <v>2818</v>
      </c>
    </row>
    <row r="42" spans="1:17">
      <c r="A42" s="1">
        <v>45131</v>
      </c>
      <c r="B42">
        <v>453</v>
      </c>
      <c r="C42">
        <v>92</v>
      </c>
      <c r="D42">
        <v>71</v>
      </c>
      <c r="E42">
        <v>290</v>
      </c>
      <c r="F42">
        <v>8</v>
      </c>
      <c r="G42" s="7">
        <f t="shared" si="0"/>
        <v>0.20309050772626933</v>
      </c>
      <c r="H42" s="7">
        <f t="shared" si="1"/>
        <v>0.15673289183222958</v>
      </c>
      <c r="I42" s="7">
        <f t="shared" si="2"/>
        <v>0.64017660044150115</v>
      </c>
      <c r="J42" s="7">
        <f t="shared" si="3"/>
        <v>1.7660044150110375E-2</v>
      </c>
      <c r="K42" s="2">
        <f>(40+72)/2</f>
        <v>56</v>
      </c>
      <c r="L42">
        <v>16</v>
      </c>
      <c r="M42" s="3" t="s">
        <v>45</v>
      </c>
      <c r="N42">
        <v>1</v>
      </c>
      <c r="O42">
        <v>72</v>
      </c>
      <c r="P42">
        <v>416</v>
      </c>
      <c r="Q42">
        <v>3242</v>
      </c>
    </row>
    <row r="43" spans="1:17">
      <c r="A43" s="1">
        <v>45132</v>
      </c>
      <c r="B43">
        <v>360</v>
      </c>
      <c r="C43">
        <v>95</v>
      </c>
      <c r="D43">
        <v>44</v>
      </c>
      <c r="E43">
        <v>221</v>
      </c>
      <c r="F43">
        <v>4</v>
      </c>
      <c r="G43" s="7">
        <f t="shared" si="0"/>
        <v>0.2638888888888889</v>
      </c>
      <c r="H43" s="7">
        <f t="shared" si="1"/>
        <v>0.12222222222222222</v>
      </c>
      <c r="I43" s="7">
        <f t="shared" si="2"/>
        <v>0.61388888888888893</v>
      </c>
      <c r="J43" s="7">
        <f t="shared" si="3"/>
        <v>1.1111111111111112E-2</v>
      </c>
      <c r="K43" s="2">
        <v>52</v>
      </c>
      <c r="L43">
        <v>18</v>
      </c>
      <c r="M43" s="3" t="s">
        <v>60</v>
      </c>
      <c r="N43">
        <v>1</v>
      </c>
      <c r="O43">
        <v>62</v>
      </c>
      <c r="P43">
        <v>346</v>
      </c>
      <c r="Q43">
        <v>3158</v>
      </c>
    </row>
    <row r="44" spans="1:17">
      <c r="A44" s="1">
        <v>45133</v>
      </c>
      <c r="B44">
        <v>479</v>
      </c>
      <c r="C44">
        <v>150</v>
      </c>
      <c r="D44">
        <v>49</v>
      </c>
      <c r="E44">
        <v>280</v>
      </c>
      <c r="F44">
        <v>12</v>
      </c>
      <c r="G44" s="7">
        <f t="shared" si="0"/>
        <v>0.31315240083507306</v>
      </c>
      <c r="H44" s="7">
        <f t="shared" si="1"/>
        <v>0.1022964509394572</v>
      </c>
      <c r="I44" s="7">
        <f t="shared" si="2"/>
        <v>0.58455114822546972</v>
      </c>
      <c r="J44" s="7">
        <f t="shared" si="3"/>
        <v>2.5052192066805846E-2</v>
      </c>
      <c r="K44" s="2">
        <v>37</v>
      </c>
      <c r="L44">
        <v>16</v>
      </c>
      <c r="M44" s="3" t="s">
        <v>61</v>
      </c>
      <c r="N44">
        <v>2</v>
      </c>
      <c r="O44" s="3" t="s">
        <v>62</v>
      </c>
      <c r="P44" s="3" t="s">
        <v>63</v>
      </c>
      <c r="Q44">
        <v>3718</v>
      </c>
    </row>
    <row r="45" spans="1:17">
      <c r="A45" s="1">
        <v>45134</v>
      </c>
      <c r="B45">
        <v>496</v>
      </c>
      <c r="C45">
        <v>112</v>
      </c>
      <c r="D45">
        <v>43</v>
      </c>
      <c r="E45">
        <v>341</v>
      </c>
      <c r="F45">
        <v>15</v>
      </c>
      <c r="G45" s="7">
        <f t="shared" si="0"/>
        <v>0.22580645161290322</v>
      </c>
      <c r="H45" s="7">
        <f t="shared" si="1"/>
        <v>8.669354838709678E-2</v>
      </c>
      <c r="I45" s="7">
        <f t="shared" si="2"/>
        <v>0.6875</v>
      </c>
      <c r="J45" s="7">
        <f t="shared" si="3"/>
        <v>3.0241935483870969E-2</v>
      </c>
      <c r="K45" s="2">
        <v>39</v>
      </c>
      <c r="L45">
        <v>16</v>
      </c>
      <c r="M45" s="3" t="s">
        <v>60</v>
      </c>
      <c r="N45">
        <v>1</v>
      </c>
      <c r="O45">
        <v>72</v>
      </c>
      <c r="P45">
        <v>380</v>
      </c>
      <c r="Q45">
        <v>3425</v>
      </c>
    </row>
    <row r="46" spans="1:17">
      <c r="A46" s="1">
        <v>45135</v>
      </c>
      <c r="B46">
        <v>345</v>
      </c>
      <c r="C46">
        <v>90</v>
      </c>
      <c r="D46">
        <v>15</v>
      </c>
      <c r="E46">
        <v>240</v>
      </c>
      <c r="F46">
        <v>0</v>
      </c>
      <c r="G46" s="7">
        <f t="shared" si="0"/>
        <v>0.2608695652173913</v>
      </c>
      <c r="H46" s="7">
        <f t="shared" si="1"/>
        <v>4.3478260869565216E-2</v>
      </c>
      <c r="I46" s="7">
        <f t="shared" si="2"/>
        <v>0.69565217391304346</v>
      </c>
      <c r="J46" s="7">
        <f t="shared" si="3"/>
        <v>0</v>
      </c>
      <c r="K46" s="2">
        <v>66</v>
      </c>
      <c r="L46">
        <v>17</v>
      </c>
      <c r="M46" s="3" t="s">
        <v>60</v>
      </c>
      <c r="N46">
        <v>1</v>
      </c>
      <c r="O46">
        <v>53</v>
      </c>
      <c r="P46">
        <v>447</v>
      </c>
      <c r="Q46">
        <v>3400</v>
      </c>
    </row>
    <row r="47" spans="1:17">
      <c r="A47" s="1">
        <v>45136</v>
      </c>
      <c r="B47">
        <f>8*60+56</f>
        <v>536</v>
      </c>
      <c r="C47">
        <v>124</v>
      </c>
      <c r="D47">
        <v>46</v>
      </c>
      <c r="E47">
        <v>366</v>
      </c>
      <c r="F47">
        <v>68</v>
      </c>
      <c r="G47" s="7">
        <f t="shared" si="0"/>
        <v>0.23134328358208955</v>
      </c>
      <c r="H47" s="7">
        <f t="shared" si="1"/>
        <v>8.5820895522388058E-2</v>
      </c>
      <c r="I47" s="7">
        <f t="shared" si="2"/>
        <v>0.68283582089552242</v>
      </c>
      <c r="J47" s="7">
        <f t="shared" si="3"/>
        <v>0.12686567164179105</v>
      </c>
      <c r="K47" s="2">
        <f>(108+49)/2</f>
        <v>78.5</v>
      </c>
      <c r="L47">
        <v>16.5</v>
      </c>
      <c r="M47" s="3" t="s">
        <v>17</v>
      </c>
      <c r="N47">
        <v>2</v>
      </c>
      <c r="O47" s="3" t="s">
        <v>64</v>
      </c>
      <c r="P47" s="3" t="s">
        <v>65</v>
      </c>
      <c r="Q47">
        <v>3107</v>
      </c>
    </row>
    <row r="48" spans="1:17">
      <c r="A48" s="1">
        <v>45137</v>
      </c>
      <c r="B48">
        <v>452</v>
      </c>
      <c r="C48">
        <v>88</v>
      </c>
      <c r="D48">
        <v>62</v>
      </c>
      <c r="E48">
        <v>302</v>
      </c>
      <c r="F48">
        <v>8</v>
      </c>
      <c r="G48" s="7">
        <f t="shared" si="0"/>
        <v>0.19469026548672566</v>
      </c>
      <c r="H48" s="7">
        <f t="shared" si="1"/>
        <v>0.13716814159292035</v>
      </c>
      <c r="I48" s="7">
        <f t="shared" si="2"/>
        <v>0.66814159292035402</v>
      </c>
      <c r="J48" s="7">
        <f t="shared" si="3"/>
        <v>1.7699115044247787E-2</v>
      </c>
      <c r="K48" s="2">
        <v>70</v>
      </c>
      <c r="L48">
        <v>18</v>
      </c>
      <c r="M48" s="3" t="s">
        <v>26</v>
      </c>
      <c r="N48">
        <v>0</v>
      </c>
      <c r="O48">
        <v>0</v>
      </c>
      <c r="P48">
        <v>0</v>
      </c>
      <c r="Q48">
        <v>2861</v>
      </c>
    </row>
    <row r="49" spans="1:17">
      <c r="A49" s="1">
        <v>45138</v>
      </c>
      <c r="B49">
        <v>371</v>
      </c>
      <c r="C49">
        <v>95</v>
      </c>
      <c r="D49">
        <v>43</v>
      </c>
      <c r="E49">
        <v>233</v>
      </c>
      <c r="F49">
        <v>17</v>
      </c>
      <c r="G49" s="7">
        <f t="shared" si="0"/>
        <v>0.2560646900269542</v>
      </c>
      <c r="H49" s="7">
        <f t="shared" si="1"/>
        <v>0.11590296495956873</v>
      </c>
      <c r="I49" s="7">
        <f t="shared" si="2"/>
        <v>0.62803234501347704</v>
      </c>
      <c r="J49" s="7">
        <f t="shared" si="3"/>
        <v>4.5822102425876012E-2</v>
      </c>
      <c r="K49" s="2">
        <v>63</v>
      </c>
      <c r="L49">
        <v>16.5</v>
      </c>
      <c r="M49" s="3" t="s">
        <v>60</v>
      </c>
      <c r="N49">
        <v>1</v>
      </c>
      <c r="O49">
        <v>54</v>
      </c>
      <c r="P49">
        <v>415</v>
      </c>
      <c r="Q49">
        <v>3356</v>
      </c>
    </row>
    <row r="50" spans="1:17">
      <c r="A50" s="1">
        <v>45139</v>
      </c>
      <c r="B50">
        <v>444</v>
      </c>
      <c r="C50">
        <v>129</v>
      </c>
      <c r="D50">
        <v>47</v>
      </c>
      <c r="E50">
        <v>268</v>
      </c>
      <c r="F50">
        <v>3</v>
      </c>
      <c r="G50" s="7">
        <f t="shared" si="0"/>
        <v>0.29054054054054052</v>
      </c>
      <c r="H50" s="7">
        <f t="shared" si="1"/>
        <v>0.10585585585585586</v>
      </c>
      <c r="I50" s="7">
        <f t="shared" si="2"/>
        <v>0.60360360360360366</v>
      </c>
      <c r="J50" s="7">
        <f t="shared" si="3"/>
        <v>6.7567567567567571E-3</v>
      </c>
      <c r="K50" s="2">
        <v>74</v>
      </c>
      <c r="L50">
        <v>18</v>
      </c>
      <c r="M50" s="3" t="s">
        <v>66</v>
      </c>
      <c r="N50">
        <v>2</v>
      </c>
      <c r="O50" s="3" t="s">
        <v>67</v>
      </c>
      <c r="P50" s="3" t="s">
        <v>68</v>
      </c>
      <c r="Q50">
        <v>3662</v>
      </c>
    </row>
    <row r="51" spans="1:17">
      <c r="A51" s="1">
        <v>45140</v>
      </c>
      <c r="B51">
        <v>469</v>
      </c>
      <c r="C51">
        <v>117</v>
      </c>
      <c r="D51">
        <v>8</v>
      </c>
      <c r="E51">
        <v>344</v>
      </c>
      <c r="F51">
        <v>6</v>
      </c>
      <c r="G51" s="7">
        <f t="shared" si="0"/>
        <v>0.24946695095948826</v>
      </c>
      <c r="H51" s="7">
        <f t="shared" si="1"/>
        <v>1.7057569296375266E-2</v>
      </c>
      <c r="I51" s="7">
        <f t="shared" si="2"/>
        <v>0.73347547974413652</v>
      </c>
      <c r="J51" s="7">
        <f t="shared" si="3"/>
        <v>1.279317697228145E-2</v>
      </c>
      <c r="K51" s="2">
        <v>54</v>
      </c>
      <c r="L51">
        <v>17</v>
      </c>
      <c r="M51" s="3" t="s">
        <v>60</v>
      </c>
      <c r="N51">
        <v>1</v>
      </c>
      <c r="O51">
        <v>44</v>
      </c>
      <c r="P51">
        <v>492</v>
      </c>
      <c r="Q51">
        <v>3362</v>
      </c>
    </row>
    <row r="52" spans="1:17">
      <c r="A52" s="1">
        <v>45141</v>
      </c>
      <c r="B52">
        <v>566</v>
      </c>
      <c r="C52">
        <v>114</v>
      </c>
      <c r="D52">
        <v>28</v>
      </c>
      <c r="E52">
        <v>404</v>
      </c>
      <c r="F52">
        <v>16</v>
      </c>
      <c r="G52" s="7">
        <f t="shared" si="0"/>
        <v>0.20141342756183744</v>
      </c>
      <c r="H52" s="7">
        <f t="shared" si="1"/>
        <v>4.9469964664310952E-2</v>
      </c>
      <c r="I52" s="7">
        <f t="shared" si="2"/>
        <v>0.71378091872791516</v>
      </c>
      <c r="J52" s="7">
        <f t="shared" si="3"/>
        <v>2.8268551236749116E-2</v>
      </c>
      <c r="K52" s="2">
        <f>(74+99)/2</f>
        <v>86.5</v>
      </c>
      <c r="L52">
        <v>15.5</v>
      </c>
      <c r="M52" s="3" t="s">
        <v>60</v>
      </c>
      <c r="N52">
        <v>1</v>
      </c>
      <c r="O52">
        <v>61</v>
      </c>
      <c r="P52">
        <v>412</v>
      </c>
      <c r="Q52">
        <v>3080</v>
      </c>
    </row>
    <row r="53" spans="1:17">
      <c r="A53" s="1">
        <v>45142</v>
      </c>
      <c r="B53">
        <v>415</v>
      </c>
      <c r="C53">
        <v>104</v>
      </c>
      <c r="D53">
        <v>38</v>
      </c>
      <c r="E53">
        <v>273</v>
      </c>
      <c r="F53">
        <v>1</v>
      </c>
      <c r="G53" s="7">
        <f t="shared" si="0"/>
        <v>0.25060240963855424</v>
      </c>
      <c r="H53" s="7">
        <f t="shared" si="1"/>
        <v>9.1566265060240959E-2</v>
      </c>
      <c r="I53" s="7">
        <f t="shared" si="2"/>
        <v>0.65783132530120481</v>
      </c>
      <c r="J53" s="7">
        <f t="shared" si="3"/>
        <v>2.4096385542168677E-3</v>
      </c>
      <c r="K53" s="2">
        <v>39</v>
      </c>
      <c r="L53">
        <v>16</v>
      </c>
      <c r="M53" s="3" t="s">
        <v>60</v>
      </c>
      <c r="N53">
        <v>1</v>
      </c>
      <c r="O53">
        <v>68</v>
      </c>
      <c r="P53">
        <v>556</v>
      </c>
      <c r="Q53">
        <v>3408</v>
      </c>
    </row>
    <row r="54" spans="1:17">
      <c r="A54" s="1">
        <v>45143</v>
      </c>
      <c r="B54">
        <v>499</v>
      </c>
      <c r="C54">
        <v>123</v>
      </c>
      <c r="D54">
        <v>82</v>
      </c>
      <c r="E54">
        <v>294</v>
      </c>
      <c r="F54">
        <v>60</v>
      </c>
      <c r="G54" s="7">
        <f t="shared" si="0"/>
        <v>0.24649298597194388</v>
      </c>
      <c r="H54" s="7">
        <f t="shared" si="1"/>
        <v>0.16432865731462926</v>
      </c>
      <c r="I54" s="7">
        <f t="shared" si="2"/>
        <v>0.58917835671342689</v>
      </c>
      <c r="J54" s="7">
        <f t="shared" si="3"/>
        <v>0.12024048096192384</v>
      </c>
      <c r="K54" s="2">
        <f>(43+184)/2</f>
        <v>113.5</v>
      </c>
      <c r="L54">
        <v>16.5</v>
      </c>
      <c r="M54" s="3" t="s">
        <v>60</v>
      </c>
      <c r="N54">
        <v>1</v>
      </c>
      <c r="O54">
        <v>40</v>
      </c>
      <c r="P54">
        <v>490</v>
      </c>
    </row>
    <row r="55" spans="1:17">
      <c r="M55" s="3"/>
    </row>
    <row r="56" spans="1:17">
      <c r="M56" s="3"/>
    </row>
    <row r="57" spans="1:17">
      <c r="M57" s="3"/>
    </row>
    <row r="58" spans="1:17">
      <c r="M58" s="3"/>
    </row>
    <row r="59" spans="1:17">
      <c r="M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2023-06-13T23:15:49Z</dcterms:created>
  <dcterms:modified xsi:type="dcterms:W3CDTF">2023-08-05T23:52:50Z</dcterms:modified>
  <cp:category/>
  <cp:contentStatus/>
</cp:coreProperties>
</file>