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18393\Documents\PESSOAL\Cursos\Excel\"/>
    </mc:Choice>
  </mc:AlternateContent>
  <xr:revisionPtr revIDLastSave="0" documentId="13_ncr:1_{4843E230-BD6D-4706-B44C-AFAF96478FFA}" xr6:coauthVersionLast="47" xr6:coauthVersionMax="47" xr10:uidLastSave="{00000000-0000-0000-0000-000000000000}"/>
  <bookViews>
    <workbookView xWindow="-28920" yWindow="-120" windowWidth="29040" windowHeight="15720" xr2:uid="{1B0F76D3-D471-432F-A8B5-0F7BF54F72C8}"/>
  </bookViews>
  <sheets>
    <sheet name="PROJETO_1" sheetId="1" r:id="rId1"/>
  </sheets>
  <externalReferences>
    <externalReference r:id="rId2"/>
  </externalReferences>
  <definedNames>
    <definedName name="ALTO_RISCO">PROJETO_1!$L$15:$N$15</definedName>
    <definedName name="BAIXO_RISCO">PROJETO_1!$L$14:$N$14</definedName>
    <definedName name="PATRIMONIO_ACUMULADO">PROJETO_1!#REF!</definedName>
    <definedName name="PERFIL">PROJETO_1!$D$4</definedName>
    <definedName name="PERIODO_INVESTIMENTO">PROJETO_1!$F$8</definedName>
    <definedName name="RENDA">PROJETO_1!$D$3</definedName>
    <definedName name="RENDIMENTO_CARTEIRA">PROJETO_1!$F$9</definedName>
    <definedName name="VALOR_INVESTIDO">PROJETO_1!$F$7</definedName>
    <definedName name="VARIACAO_RENDIMENTO">PROJETO_1!$F$10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" i="1" l="1"/>
  <c r="K41" i="1"/>
  <c r="L40" i="1"/>
  <c r="K40" i="1"/>
  <c r="L39" i="1"/>
  <c r="O39" i="1" s="1"/>
  <c r="K39" i="1"/>
  <c r="L38" i="1"/>
  <c r="K38" i="1"/>
  <c r="K37" i="1"/>
  <c r="K36" i="1"/>
  <c r="P35" i="1"/>
  <c r="O35" i="1"/>
  <c r="M35" i="1"/>
  <c r="M39" i="1" s="1"/>
  <c r="L35" i="1"/>
  <c r="L41" i="1" s="1"/>
  <c r="N25" i="1"/>
  <c r="M25" i="1"/>
  <c r="L25" i="1"/>
  <c r="C25" i="1"/>
  <c r="D25" i="1" s="1"/>
  <c r="K24" i="1"/>
  <c r="G24" i="1" a="1"/>
  <c r="G24" i="1" s="1"/>
  <c r="H24" i="1" s="1"/>
  <c r="C24" i="1"/>
  <c r="D24" i="1" s="1"/>
  <c r="K23" i="1"/>
  <c r="H23" i="1"/>
  <c r="G23" i="1"/>
  <c r="G23" i="1" a="1"/>
  <c r="C23" i="1"/>
  <c r="D23" i="1" s="1"/>
  <c r="K22" i="1"/>
  <c r="G22" i="1" a="1"/>
  <c r="G22" i="1" s="1"/>
  <c r="H22" i="1" s="1"/>
  <c r="C22" i="1"/>
  <c r="D22" i="1" s="1"/>
  <c r="K21" i="1"/>
  <c r="G21" i="1" a="1"/>
  <c r="G21" i="1" s="1"/>
  <c r="H21" i="1" s="1"/>
  <c r="C21" i="1"/>
  <c r="D21" i="1" s="1"/>
  <c r="K20" i="1"/>
  <c r="G20" i="1" a="1"/>
  <c r="G20" i="1" s="1"/>
  <c r="H20" i="1" s="1"/>
  <c r="C20" i="1"/>
  <c r="D20" i="1" s="1"/>
  <c r="K19" i="1"/>
  <c r="G19" i="1" a="1"/>
  <c r="G19" i="1" s="1"/>
  <c r="H19" i="1" s="1"/>
  <c r="C19" i="1"/>
  <c r="D19" i="1" s="1"/>
  <c r="B17" i="1"/>
  <c r="N15" i="1"/>
  <c r="M15" i="1"/>
  <c r="L15" i="1"/>
  <c r="N14" i="1"/>
  <c r="M14" i="1"/>
  <c r="L14" i="1"/>
  <c r="B13" i="1"/>
  <c r="F2" i="1"/>
  <c r="P39" i="1" l="1"/>
  <c r="Q39" i="1" s="1"/>
  <c r="N39" i="1"/>
  <c r="O41" i="1"/>
  <c r="H25" i="1"/>
  <c r="L37" i="1"/>
  <c r="M38" i="1"/>
  <c r="O40" i="1"/>
  <c r="L36" i="1"/>
  <c r="M37" i="1"/>
  <c r="M36" i="1"/>
  <c r="O38" i="1"/>
  <c r="L42" i="1"/>
  <c r="B27" i="1"/>
  <c r="M42" i="1"/>
  <c r="M41" i="1"/>
  <c r="M40" i="1"/>
  <c r="O37" i="1" l="1"/>
  <c r="B29" i="1" s="1"/>
  <c r="O42" i="1"/>
  <c r="B34" i="1"/>
  <c r="B31" i="1"/>
  <c r="P37" i="1"/>
  <c r="N37" i="1"/>
  <c r="P42" i="1"/>
  <c r="N42" i="1"/>
  <c r="P36" i="1"/>
  <c r="Q36" i="1" s="1"/>
  <c r="N36" i="1"/>
  <c r="N40" i="1"/>
  <c r="P40" i="1"/>
  <c r="Q40" i="1" s="1"/>
  <c r="O36" i="1"/>
  <c r="B28" i="1" s="1"/>
  <c r="N41" i="1"/>
  <c r="P41" i="1"/>
  <c r="Q41" i="1" s="1"/>
  <c r="P38" i="1"/>
  <c r="Q38" i="1" s="1"/>
  <c r="N38" i="1"/>
  <c r="Q42" i="1" l="1"/>
  <c r="B30" i="1"/>
  <c r="B32" i="1"/>
  <c r="Q37" i="1"/>
  <c r="B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<sst xmlns="http://schemas.openxmlformats.org/spreadsheetml/2006/main" count="35" uniqueCount="34">
  <si>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PREENCHIMENTO INICIAL</t>
  </si>
  <si>
    <t>Qual é sua renda mensal?</t>
  </si>
  <si>
    <t>Qual é seu perfil de investimento?</t>
  </si>
  <si>
    <t>Agressivo</t>
  </si>
  <si>
    <t>INVESTIMENTO MENSAL</t>
  </si>
  <si>
    <t>Valor mensal destinado ao investimento</t>
  </si>
  <si>
    <t>Horizonte de investimento (em anos)</t>
  </si>
  <si>
    <t>Taxa de rendimento mensal estimada</t>
  </si>
  <si>
    <t>Variação esperada na taxa de rendimento mensal</t>
  </si>
  <si>
    <t>RESUMO</t>
  </si>
  <si>
    <t>Baixo Risco</t>
  </si>
  <si>
    <t>Alto Risco</t>
  </si>
  <si>
    <t>CARTEIRA RECOMENDADA</t>
  </si>
  <si>
    <t>Período</t>
  </si>
  <si>
    <t>Patrimônio</t>
  </si>
  <si>
    <t>Dividendos</t>
  </si>
  <si>
    <t>Tipo</t>
  </si>
  <si>
    <t>Percentual Sugerido</t>
  </si>
  <si>
    <t>Valores</t>
  </si>
  <si>
    <t>Conservador</t>
  </si>
  <si>
    <t>Moderado</t>
  </si>
  <si>
    <t xml:space="preserve">Em 1 ano </t>
  </si>
  <si>
    <t>Papel</t>
  </si>
  <si>
    <t>Em 5 anos</t>
  </si>
  <si>
    <t>Tijolo</t>
  </si>
  <si>
    <t>Em 10 anos</t>
  </si>
  <si>
    <t>Híbrido</t>
  </si>
  <si>
    <t>Em 15 anos</t>
  </si>
  <si>
    <t>FOF</t>
  </si>
  <si>
    <t>Em 20 anos</t>
  </si>
  <si>
    <t>Desenvolvimento</t>
  </si>
  <si>
    <t>Em 25 anos</t>
  </si>
  <si>
    <t>Hotelaria</t>
  </si>
  <si>
    <t>Em 30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</si>
</sst>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0.0%"/>
    <numFmt numFmtId="166" formatCode="0.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0"/>
      <name val="Arial"/>
      <family val="2"/>
    </font>
    <font>
      <sz val="10"/>
      <color theme="0"/>
      <name val="Arial"/>
      <family val="2"/>
    </font>
    <font>
      <sz val="12"/>
      <color theme="1"/>
      <name val="Arial"/>
      <family val="2"/>
    </font>
    <font>
      <sz val="10"/>
      <color theme="0" tint="-0.14999847407452621"/>
      <name val="Arial"/>
      <family val="2"/>
    </font>
    <font>
      <sz val="12"/>
      <color rgb="FF002060"/>
      <name val="Arial"/>
      <family val="2"/>
    </font>
    <font>
      <sz val="8"/>
      <color theme="0" tint="-0.1499984740745262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rgb="FF002060"/>
      </left>
      <right/>
      <top style="medium">
        <color rgb="FF002060"/>
      </top>
      <bottom style="thin">
        <color rgb="FF002060"/>
      </bottom>
      <diagonal/>
    </border>
    <border>
      <left/>
      <right/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 style="medium">
        <color rgb="FF002060"/>
      </right>
      <top style="thin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theme="3" tint="0.59996337778862885"/>
      </right>
      <top style="medium">
        <color rgb="FF002060"/>
      </top>
      <bottom style="medium">
        <color rgb="FF002060"/>
      </bottom>
      <diagonal/>
    </border>
    <border>
      <left style="thin">
        <color theme="3" tint="0.59996337778862885"/>
      </left>
      <right style="thin">
        <color theme="3" tint="0.59996337778862885"/>
      </right>
      <top style="medium">
        <color rgb="FF002060"/>
      </top>
      <bottom style="medium">
        <color rgb="FF002060"/>
      </bottom>
      <diagonal/>
    </border>
    <border>
      <left style="thin">
        <color theme="3" tint="0.59996337778862885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theme="3" tint="0.59996337778862885"/>
      </left>
      <right style="medium">
        <color rgb="FF002060"/>
      </right>
      <top/>
      <bottom style="thin">
        <color theme="3" tint="0.59996337778862885"/>
      </bottom>
      <diagonal/>
    </border>
    <border>
      <left style="medium">
        <color rgb="FF002060"/>
      </left>
      <right style="thin">
        <color theme="3" tint="0.59996337778862885"/>
      </right>
      <top style="medium">
        <color rgb="FF002060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medium">
        <color rgb="FF002060"/>
      </top>
      <bottom style="thin">
        <color theme="3" tint="0.59996337778862885"/>
      </bottom>
      <diagonal/>
    </border>
    <border>
      <left style="thin">
        <color theme="3" tint="0.59996337778862885"/>
      </left>
      <right style="medium">
        <color rgb="FF002060"/>
      </right>
      <top style="medium">
        <color rgb="FF002060"/>
      </top>
      <bottom style="thin">
        <color theme="3" tint="0.59996337778862885"/>
      </bottom>
      <diagonal/>
    </border>
    <border>
      <left style="medium">
        <color rgb="FF002060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medium">
        <color rgb="FF002060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060"/>
      </left>
      <right style="thin">
        <color theme="3" tint="0.59996337778862885"/>
      </right>
      <top style="thin">
        <color theme="3" tint="0.59996337778862885"/>
      </top>
      <bottom style="medium">
        <color rgb="FF00206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medium">
        <color rgb="FF002060"/>
      </bottom>
      <diagonal/>
    </border>
    <border>
      <left style="thin">
        <color theme="3" tint="0.59996337778862885"/>
      </left>
      <right style="medium">
        <color rgb="FF002060"/>
      </right>
      <top style="thin">
        <color theme="3" tint="0.59996337778862885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 style="thin">
        <color theme="3" tint="0.59996337778862885"/>
      </right>
      <top style="medium">
        <color rgb="FF002060"/>
      </top>
      <bottom style="medium">
        <color rgb="FF002060"/>
      </bottom>
      <diagonal/>
    </border>
    <border>
      <left style="thin">
        <color theme="3" tint="0.59996337778862885"/>
      </left>
      <right style="medium">
        <color rgb="FF002060"/>
      </right>
      <top/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Continuous"/>
    </xf>
    <xf numFmtId="0" fontId="4" fillId="2" borderId="0" xfId="0" applyFont="1" applyFill="1"/>
    <xf numFmtId="9" fontId="5" fillId="3" borderId="0" xfId="0" applyNumberFormat="1" applyFont="1" applyFill="1" applyAlignment="1">
      <alignment horizontal="center" vertical="center" wrapText="1"/>
    </xf>
    <xf numFmtId="9" fontId="2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Continuous" vertical="center"/>
    </xf>
    <xf numFmtId="164" fontId="5" fillId="4" borderId="3" xfId="1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centerContinuous" vertical="center"/>
    </xf>
    <xf numFmtId="49" fontId="5" fillId="4" borderId="6" xfId="1" applyNumberFormat="1" applyFont="1" applyFill="1" applyBorder="1" applyAlignment="1">
      <alignment horizontal="center" vertical="center"/>
    </xf>
    <xf numFmtId="9" fontId="2" fillId="0" borderId="7" xfId="0" applyNumberFormat="1" applyFont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5" fillId="0" borderId="1" xfId="0" applyFont="1" applyBorder="1" applyAlignment="1">
      <alignment horizontal="left" vertical="center" indent="4"/>
    </xf>
    <xf numFmtId="0" fontId="5" fillId="0" borderId="2" xfId="0" applyFont="1" applyBorder="1" applyAlignment="1">
      <alignment horizontal="left" vertical="center" indent="4"/>
    </xf>
    <xf numFmtId="0" fontId="5" fillId="0" borderId="8" xfId="0" applyFont="1" applyBorder="1" applyAlignment="1">
      <alignment horizontal="left" vertical="center" indent="4"/>
    </xf>
    <xf numFmtId="0" fontId="5" fillId="0" borderId="9" xfId="0" applyFont="1" applyBorder="1" applyAlignment="1">
      <alignment horizontal="left" vertical="center" indent="4"/>
    </xf>
    <xf numFmtId="0" fontId="5" fillId="4" borderId="10" xfId="0" applyFont="1" applyFill="1" applyBorder="1" applyAlignment="1">
      <alignment horizontal="center" vertical="center"/>
    </xf>
    <xf numFmtId="9" fontId="5" fillId="4" borderId="10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indent="4"/>
    </xf>
    <xf numFmtId="0" fontId="5" fillId="0" borderId="5" xfId="0" applyFont="1" applyBorder="1" applyAlignment="1">
      <alignment horizontal="left" vertical="center" indent="4"/>
    </xf>
    <xf numFmtId="10" fontId="5" fillId="4" borderId="6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9" fontId="6" fillId="0" borderId="0" xfId="0" applyNumberFormat="1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5" fillId="0" borderId="14" xfId="0" applyFont="1" applyBorder="1" applyAlignment="1">
      <alignment horizontal="center" vertical="center"/>
    </xf>
    <xf numFmtId="8" fontId="5" fillId="0" borderId="15" xfId="0" applyNumberFormat="1" applyFont="1" applyBorder="1" applyAlignment="1">
      <alignment horizontal="center" vertical="center"/>
    </xf>
    <xf numFmtId="8" fontId="5" fillId="0" borderId="16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5" fontId="5" fillId="0" borderId="18" xfId="2" applyNumberFormat="1" applyFont="1" applyBorder="1" applyAlignment="1">
      <alignment horizontal="center" vertical="center"/>
    </xf>
    <xf numFmtId="8" fontId="5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8" fontId="5" fillId="0" borderId="21" xfId="0" applyNumberFormat="1" applyFont="1" applyBorder="1" applyAlignment="1">
      <alignment horizontal="center" vertical="center"/>
    </xf>
    <xf numFmtId="8" fontId="5" fillId="0" borderId="22" xfId="0" applyNumberFormat="1" applyFont="1" applyBorder="1" applyAlignment="1">
      <alignment horizontal="center" vertical="center"/>
    </xf>
    <xf numFmtId="165" fontId="5" fillId="0" borderId="21" xfId="2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5" fontId="5" fillId="0" borderId="24" xfId="2" applyNumberFormat="1" applyFont="1" applyBorder="1" applyAlignment="1">
      <alignment horizontal="center" vertical="center"/>
    </xf>
    <xf numFmtId="8" fontId="5" fillId="0" borderId="25" xfId="0" applyNumberFormat="1" applyFont="1" applyBorder="1" applyAlignment="1">
      <alignment horizontal="center" vertical="center"/>
    </xf>
    <xf numFmtId="8" fontId="5" fillId="0" borderId="24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9" fontId="5" fillId="0" borderId="27" xfId="2" applyFont="1" applyBorder="1" applyAlignment="1">
      <alignment horizontal="center" vertical="center"/>
    </xf>
    <xf numFmtId="8" fontId="9" fillId="0" borderId="28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66" fontId="2" fillId="0" borderId="0" xfId="2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0" fontId="6" fillId="0" borderId="0" xfId="2" applyNumberFormat="1" applyFont="1"/>
    <xf numFmtId="8" fontId="6" fillId="0" borderId="0" xfId="2" applyNumberFormat="1" applyFont="1"/>
    <xf numFmtId="8" fontId="6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>
                <a:latin typeface="Arial" panose="020B0604020202020204" pitchFamily="34" charset="0"/>
                <a:cs typeface="Arial" panose="020B0604020202020204" pitchFamily="34" charset="0"/>
              </a:rPr>
              <a:t>Variação</a:t>
            </a:r>
            <a:r>
              <a:rPr lang="pt-BR" sz="1200" baseline="0">
                <a:latin typeface="Arial" panose="020B0604020202020204" pitchFamily="34" charset="0"/>
                <a:cs typeface="Arial" panose="020B0604020202020204" pitchFamily="34" charset="0"/>
              </a:rPr>
              <a:t> do Patrimônio</a:t>
            </a:r>
            <a:endParaRPr lang="pt-BR" sz="12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PROJETO_1!$N$35</c:f>
              <c:strCache>
                <c:ptCount val="1"/>
              </c:strCache>
            </c:strRef>
          </c:tx>
          <c:spPr>
            <a:solidFill>
              <a:schemeClr val="tx2"/>
            </a:solidFill>
            <a:ln w="25400"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PROJETO_1!$K$36:$K$42</c:f>
              <c:strCache>
                <c:ptCount val="7"/>
                <c:pt idx="0">
                  <c:v>Em 1 ano </c:v>
                </c:pt>
                <c:pt idx="1">
                  <c:v>Em 5 anos</c:v>
                </c:pt>
                <c:pt idx="2">
                  <c:v>Em 10 anos</c:v>
                </c:pt>
                <c:pt idx="3">
                  <c:v>Em 15 anos</c:v>
                </c:pt>
                <c:pt idx="4">
                  <c:v>Em 20 anos</c:v>
                </c:pt>
                <c:pt idx="5">
                  <c:v>Em 25 anos</c:v>
                </c:pt>
                <c:pt idx="6">
                  <c:v>Em 30 anos</c:v>
                </c:pt>
              </c:strCache>
            </c:strRef>
          </c:cat>
          <c:val>
            <c:numRef>
              <c:f>PROJETO_1!$N$36:$N$42</c:f>
              <c:numCache>
                <c:formatCode>"R$"#,##0.00_);[Red]\("R$"#,##0.00\)</c:formatCode>
                <c:ptCount val="7"/>
                <c:pt idx="0">
                  <c:v>211.65672689908024</c:v>
                </c:pt>
                <c:pt idx="1">
                  <c:v>7878.1667330609343</c:v>
                </c:pt>
                <c:pt idx="2">
                  <c:v>48689.10763009981</c:v>
                </c:pt>
                <c:pt idx="3">
                  <c:v>171229.19935704861</c:v>
                </c:pt>
                <c:pt idx="4">
                  <c:v>482554.33603591821</c:v>
                </c:pt>
                <c:pt idx="5">
                  <c:v>1211278.3507898836</c:v>
                </c:pt>
                <c:pt idx="6">
                  <c:v>2836181.8062870479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4-4CB6-BE9D-1414672DA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1991944"/>
        <c:axId val="641997344"/>
      </c:barChart>
      <c:catAx>
        <c:axId val="64199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641997344"/>
        <c:crosses val="autoZero"/>
        <c:auto val="1"/>
        <c:lblAlgn val="ctr"/>
        <c:lblOffset val="100"/>
        <c:tickMarkSkip val="1"/>
        <c:noMultiLvlLbl val="0"/>
      </c:catAx>
      <c:valAx>
        <c:axId val="641997344"/>
        <c:scaling>
          <c:orientation val="minMax"/>
        </c:scaling>
        <c:delete val="1"/>
        <c:axPos val="l"/>
        <c:numFmt formatCode="&quot;R$&quot;#,##0.00_);[Red]\(&quot;R$&quot;#,##0.00\)" sourceLinked="1"/>
        <c:majorTickMark val="none"/>
        <c:minorTickMark val="none"/>
        <c:tickLblPos val="nextTo"/>
        <c:crossAx val="64199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>
                <a:latin typeface="Arial" panose="020B0604020202020204" pitchFamily="34" charset="0"/>
                <a:cs typeface="Arial" panose="020B0604020202020204" pitchFamily="34" charset="0"/>
              </a:rPr>
              <a:t>Variação</a:t>
            </a:r>
            <a:r>
              <a:rPr lang="pt-BR" sz="1200" baseline="0">
                <a:latin typeface="Arial" panose="020B0604020202020204" pitchFamily="34" charset="0"/>
                <a:cs typeface="Arial" panose="020B0604020202020204" pitchFamily="34" charset="0"/>
              </a:rPr>
              <a:t> do Dividendo</a:t>
            </a:r>
            <a:endParaRPr lang="pt-BR" sz="12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PROJETO_1!$Q$35</c:f>
              <c:strCache>
                <c:ptCount val="1"/>
              </c:strCache>
            </c:strRef>
          </c:tx>
          <c:spPr>
            <a:solidFill>
              <a:schemeClr val="tx2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&quot;R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PROJETO_1!$K$36:$K$42</c:f>
              <c:strCache>
                <c:ptCount val="7"/>
                <c:pt idx="0">
                  <c:v>Em 1 ano </c:v>
                </c:pt>
                <c:pt idx="1">
                  <c:v>Em 5 anos</c:v>
                </c:pt>
                <c:pt idx="2">
                  <c:v>Em 10 anos</c:v>
                </c:pt>
                <c:pt idx="3">
                  <c:v>Em 15 anos</c:v>
                </c:pt>
                <c:pt idx="4">
                  <c:v>Em 20 anos</c:v>
                </c:pt>
                <c:pt idx="5">
                  <c:v>Em 25 anos</c:v>
                </c:pt>
                <c:pt idx="6">
                  <c:v>Em 30 anos</c:v>
                </c:pt>
              </c:strCache>
            </c:strRef>
          </c:cat>
          <c:val>
            <c:numRef>
              <c:f>PROJETO_1!$Q$36:$Q$42</c:f>
              <c:numCache>
                <c:formatCode>"R$"#,##0.00_);[Red]\("R$"#,##0.00\)</c:formatCode>
                <c:ptCount val="7"/>
                <c:pt idx="0">
                  <c:v>40.164782314779188</c:v>
                </c:pt>
                <c:pt idx="1">
                  <c:v>323.94877386440453</c:v>
                </c:pt>
                <c:pt idx="2">
                  <c:v>1179.0761863878361</c:v>
                </c:pt>
                <c:pt idx="3">
                  <c:v>3222.389587751918</c:v>
                </c:pt>
                <c:pt idx="4">
                  <c:v>7837.3510168419853</c:v>
                </c:pt>
                <c:pt idx="5">
                  <c:v>17891.095635625323</c:v>
                </c:pt>
                <c:pt idx="6">
                  <c:v>39253.442394785146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B-4D70-9F33-AE5AA8ABD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1991944"/>
        <c:axId val="641997344"/>
      </c:barChart>
      <c:catAx>
        <c:axId val="64199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641997344"/>
        <c:crosses val="autoZero"/>
        <c:auto val="1"/>
        <c:lblAlgn val="ctr"/>
        <c:lblOffset val="100"/>
        <c:noMultiLvlLbl val="0"/>
      </c:catAx>
      <c:valAx>
        <c:axId val="641997344"/>
        <c:scaling>
          <c:orientation val="minMax"/>
        </c:scaling>
        <c:delete val="1"/>
        <c:axPos val="l"/>
        <c:numFmt formatCode="&quot;R$&quot;#,##0.00_);[Red]\(&quot;R$&quot;#,##0.00\)" sourceLinked="1"/>
        <c:majorTickMark val="none"/>
        <c:minorTickMark val="none"/>
        <c:tickLblPos val="nextTo"/>
        <c:crossAx val="64199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19050</xdr:rowOff>
    </xdr:from>
    <xdr:to>
      <xdr:col>8</xdr:col>
      <xdr:colOff>39688</xdr:colOff>
      <xdr:row>0</xdr:row>
      <xdr:rowOff>885825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DEDDE7-C2FA-4B41-814C-659CF4A97BCD}"/>
            </a:ext>
          </a:extLst>
        </xdr:cNvPr>
        <xdr:cNvSpPr/>
      </xdr:nvSpPr>
      <xdr:spPr>
        <a:xfrm>
          <a:off x="6350" y="19050"/>
          <a:ext cx="8843963" cy="863600"/>
        </a:xfrm>
        <a:prstGeom prst="roundRect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latin typeface="Arial" panose="020B0604020202020204" pitchFamily="34" charset="0"/>
              <a:cs typeface="Arial" panose="020B0604020202020204" pitchFamily="34" charset="0"/>
            </a:rPr>
            <a:t>CALCULADORA DE INVESTIMENTOS EM FUNDOS</a:t>
          </a:r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 IMOBILIÁRIOS</a:t>
          </a:r>
          <a:r>
            <a:rPr lang="pt-BR" sz="2000">
              <a:latin typeface="Arial" panose="020B0604020202020204" pitchFamily="34" charset="0"/>
              <a:cs typeface="Arial" panose="020B0604020202020204" pitchFamily="34" charset="0"/>
            </a:rPr>
            <a:t> 🧮</a:t>
          </a:r>
          <a:endParaRPr lang="pt-BR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absolute">
    <xdr:from>
      <xdr:col>1</xdr:col>
      <xdr:colOff>63500</xdr:colOff>
      <xdr:row>34</xdr:row>
      <xdr:rowOff>48161</xdr:rowOff>
    </xdr:from>
    <xdr:to>
      <xdr:col>4</xdr:col>
      <xdr:colOff>369687</xdr:colOff>
      <xdr:row>47</xdr:row>
      <xdr:rowOff>144411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5B7B50-E333-4F43-B393-9584D3C81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379991</xdr:colOff>
      <xdr:row>34</xdr:row>
      <xdr:rowOff>48160</xdr:rowOff>
    </xdr:from>
    <xdr:to>
      <xdr:col>7</xdr:col>
      <xdr:colOff>1238629</xdr:colOff>
      <xdr:row>47</xdr:row>
      <xdr:rowOff>144410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21628D-EDAD-4A9A-8461-F0B8479F4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216091</xdr:colOff>
      <xdr:row>4</xdr:row>
      <xdr:rowOff>211672</xdr:rowOff>
    </xdr:from>
    <xdr:to>
      <xdr:col>7</xdr:col>
      <xdr:colOff>1008254</xdr:colOff>
      <xdr:row>9</xdr:row>
      <xdr:rowOff>134063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4D016FDC-8D00-4C5C-8CEC-02BCBDC25F02}"/>
            </a:ext>
          </a:extLst>
        </xdr:cNvPr>
        <xdr:cNvSpPr/>
      </xdr:nvSpPr>
      <xdr:spPr>
        <a:xfrm>
          <a:off x="6140641" y="2202397"/>
          <a:ext cx="2373313" cy="1113016"/>
        </a:xfrm>
        <a:prstGeom prst="wedgeEllipseCallout">
          <a:avLst>
            <a:gd name="adj1" fmla="val -50873"/>
            <a:gd name="adj2" fmla="val 55733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050"/>
            <a:t>A variação esperada define a margem de oscilação</a:t>
          </a:r>
          <a:r>
            <a:rPr lang="pt-BR" sz="1050" baseline="0"/>
            <a:t> aceita para o rendimento a longo prazo </a:t>
          </a:r>
          <a:endParaRPr lang="pt-BR" sz="105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sa618393\Documents\PESSOAL\Cursos\Excel\DIO%20-%20Pratica.xlsx" TargetMode="External"/><Relationship Id="rId1" Type="http://schemas.openxmlformats.org/officeDocument/2006/relationships/externalLinkPath" Target="DIO%20-%20Prat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ATICA_1"/>
      <sheetName val="PRATICA_2"/>
      <sheetName val="PRATICA_3"/>
      <sheetName val="PRATICA_4"/>
      <sheetName val="APOIO_P3"/>
      <sheetName val="APOIO_P4"/>
      <sheetName val="PROJETO_1 (2)"/>
      <sheetName val="PROJETO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6">
          <cell r="K36" t="str">
            <v xml:space="preserve">Em 1 ano </v>
          </cell>
          <cell r="N36">
            <v>211.65672689908024</v>
          </cell>
          <cell r="Q36">
            <v>40.164782314779188</v>
          </cell>
        </row>
        <row r="37">
          <cell r="K37" t="str">
            <v>Em 5 anos</v>
          </cell>
          <cell r="N37">
            <v>7878.1667330609343</v>
          </cell>
          <cell r="Q37">
            <v>323.94877386440453</v>
          </cell>
        </row>
        <row r="38">
          <cell r="K38" t="str">
            <v>Em 10 anos</v>
          </cell>
          <cell r="N38">
            <v>48689.10763009981</v>
          </cell>
          <cell r="Q38">
            <v>1179.0761863878361</v>
          </cell>
        </row>
        <row r="39">
          <cell r="K39" t="str">
            <v>Em 15 anos</v>
          </cell>
          <cell r="N39">
            <v>171229.19935704861</v>
          </cell>
          <cell r="Q39">
            <v>3222.389587751918</v>
          </cell>
        </row>
        <row r="40">
          <cell r="K40" t="str">
            <v>Em 20 anos</v>
          </cell>
          <cell r="N40">
            <v>482554.33603591821</v>
          </cell>
          <cell r="Q40">
            <v>7837.3510168419853</v>
          </cell>
        </row>
        <row r="41">
          <cell r="K41" t="str">
            <v>Em 25 anos</v>
          </cell>
          <cell r="N41">
            <v>1211278.3507898836</v>
          </cell>
          <cell r="Q41">
            <v>17891.095635625323</v>
          </cell>
        </row>
        <row r="42">
          <cell r="K42" t="str">
            <v>Em 30 anos</v>
          </cell>
          <cell r="N42">
            <v>2836181.8062870479</v>
          </cell>
          <cell r="Q42">
            <v>39253.442394785146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EE5D-953D-4283-A135-8651CF53E412}">
  <dimension ref="A1:Q44"/>
  <sheetViews>
    <sheetView showGridLines="0" tabSelected="1" zoomScaleNormal="100" workbookViewId="0">
      <selection activeCell="J1" sqref="J1"/>
    </sheetView>
  </sheetViews>
  <sheetFormatPr defaultColWidth="8.7265625" defaultRowHeight="12.5" x14ac:dyDescent="0.25"/>
  <cols>
    <col min="1" max="1" width="5.6328125" style="1" customWidth="1"/>
    <col min="2" max="2" width="13.6328125" style="1" customWidth="1"/>
    <col min="3" max="3" width="22.6328125" style="1" customWidth="1"/>
    <col min="4" max="4" width="18.6328125" style="1" customWidth="1"/>
    <col min="5" max="5" width="5.6328125" style="1" customWidth="1"/>
    <col min="6" max="6" width="18.6328125" style="1" customWidth="1"/>
    <col min="7" max="7" width="22.6328125" style="1" customWidth="1"/>
    <col min="8" max="8" width="18.6328125" style="1" customWidth="1"/>
    <col min="9" max="9" width="5.6328125" style="1" customWidth="1"/>
    <col min="10" max="10" width="9.6328125" style="1" customWidth="1"/>
    <col min="11" max="11" width="10.36328125" style="1" customWidth="1"/>
    <col min="12" max="12" width="11.36328125" style="1" customWidth="1"/>
    <col min="13" max="16384" width="8.7265625" style="1"/>
  </cols>
  <sheetData>
    <row r="1" spans="2:14" ht="84" customHeight="1" x14ac:dyDescent="0.25"/>
    <row r="2" spans="2:14" ht="22" customHeight="1" thickBot="1" x14ac:dyDescent="0.3">
      <c r="B2" s="2" t="s">
        <v>0</v>
      </c>
      <c r="C2" s="3"/>
      <c r="D2" s="4"/>
      <c r="F2" s="5" t="str">
        <f>"Com base na estimativa de destinar 30% da renda mensal para investimentos, o valor sugerido para aplicação é de R$"&amp;RENDA*30%&amp;" por mês."</f>
        <v>Com base na estimativa de destinar 30% da renda mensal para investimentos, o valor sugerido para aplicação é de R$1500 por mês.</v>
      </c>
      <c r="G2" s="5"/>
      <c r="H2" s="5"/>
      <c r="I2" s="6"/>
    </row>
    <row r="3" spans="2:14" ht="25.5" customHeight="1" x14ac:dyDescent="0.25">
      <c r="B3" s="7" t="s">
        <v>1</v>
      </c>
      <c r="C3" s="8"/>
      <c r="D3" s="9">
        <v>5000</v>
      </c>
      <c r="E3" s="6"/>
      <c r="F3" s="5"/>
      <c r="G3" s="5"/>
      <c r="H3" s="5"/>
      <c r="I3" s="6"/>
    </row>
    <row r="4" spans="2:14" ht="25.5" customHeight="1" thickBot="1" x14ac:dyDescent="0.3">
      <c r="B4" s="10" t="s">
        <v>2</v>
      </c>
      <c r="C4" s="11"/>
      <c r="D4" s="12" t="s">
        <v>3</v>
      </c>
      <c r="E4" s="6"/>
      <c r="F4" s="5"/>
      <c r="G4" s="5"/>
      <c r="H4" s="5"/>
      <c r="I4" s="6"/>
    </row>
    <row r="5" spans="2:14" ht="18" customHeight="1" x14ac:dyDescent="0.25">
      <c r="C5" s="13"/>
      <c r="D5" s="13"/>
    </row>
    <row r="6" spans="2:14" ht="22" customHeight="1" thickBot="1" x14ac:dyDescent="0.4">
      <c r="B6" s="2" t="s">
        <v>4</v>
      </c>
      <c r="C6" s="14"/>
      <c r="D6" s="14"/>
      <c r="E6" s="14"/>
      <c r="F6" s="4"/>
      <c r="G6" s="15"/>
      <c r="H6"/>
    </row>
    <row r="7" spans="2:14" ht="18" customHeight="1" x14ac:dyDescent="0.35">
      <c r="B7" s="16" t="s">
        <v>5</v>
      </c>
      <c r="C7" s="17"/>
      <c r="D7" s="17"/>
      <c r="E7" s="17"/>
      <c r="F7" s="9">
        <v>1500</v>
      </c>
      <c r="G7" s="15"/>
      <c r="H7"/>
    </row>
    <row r="8" spans="2:14" ht="18" customHeight="1" x14ac:dyDescent="0.35">
      <c r="B8" s="18" t="s">
        <v>6</v>
      </c>
      <c r="C8" s="19"/>
      <c r="D8" s="19"/>
      <c r="E8" s="19"/>
      <c r="F8" s="20">
        <v>30</v>
      </c>
      <c r="G8" s="15"/>
      <c r="H8"/>
    </row>
    <row r="9" spans="2:14" ht="18" customHeight="1" x14ac:dyDescent="0.35">
      <c r="B9" s="18" t="s">
        <v>7</v>
      </c>
      <c r="C9" s="19"/>
      <c r="D9" s="19"/>
      <c r="E9" s="19"/>
      <c r="F9" s="21">
        <v>0.01</v>
      </c>
      <c r="G9" s="15"/>
      <c r="H9"/>
    </row>
    <row r="10" spans="2:14" ht="18" customHeight="1" thickBot="1" x14ac:dyDescent="0.4">
      <c r="B10" s="22" t="s">
        <v>8</v>
      </c>
      <c r="C10" s="23"/>
      <c r="D10" s="23"/>
      <c r="E10" s="23"/>
      <c r="F10" s="24">
        <v>1E-3</v>
      </c>
      <c r="G10" s="15"/>
      <c r="H10"/>
    </row>
    <row r="11" spans="2:14" ht="18" customHeight="1" x14ac:dyDescent="0.35">
      <c r="B11" s="25"/>
      <c r="C11" s="25"/>
      <c r="D11" s="25"/>
      <c r="F11" s="15"/>
      <c r="G11" s="15"/>
      <c r="H11"/>
    </row>
    <row r="12" spans="2:14" s="26" customFormat="1" ht="22" customHeight="1" x14ac:dyDescent="0.25">
      <c r="B12" s="2" t="s">
        <v>9</v>
      </c>
      <c r="C12" s="3"/>
      <c r="D12" s="4"/>
      <c r="E12" s="4"/>
      <c r="F12" s="4"/>
      <c r="G12" s="4"/>
      <c r="H12" s="4"/>
    </row>
    <row r="13" spans="2:14" s="26" customFormat="1" ht="20.5" customHeight="1" x14ac:dyDescent="0.35">
      <c r="B13" s="27" t="str">
        <f>"Considerando os parâmetros definidos, estima-se um patrimônio acumulado de R$ "&amp;ROUND(FV(RENDIMENTO_CARTEIRA,PERIODO_INVESTIMENTO*12,-VALOR_INVESTIDO)/1000000,1)&amp;" milhões ao final do período de "&amp;PERIODO_INVESTIMENTO&amp;" anos, com uma projeção de renda mensal em dividendos de aproximadamente "&amp;ROUND(FV(RENDIMENTO_CARTEIRA,PERIODO_INVESTIMENTO*12,-VALOR_INVESTIDO)/1000,0)*RENDIMENTO_CARTEIRA&amp;" mil reais.
Considerando o perfil do investidor, recomenda-se uma alocação de carteira composta por "&amp;_xlfn.XLOOKUP(PERFIL,$L$18:$N$18,BAIXO_RISCO)*100&amp;"% em fundos de baixo risco e "&amp;_xlfn.XLOOKUP(PERFIL,$L$18:$N$18,ALTO_RISCO)*100&amp;"% em fundos de alto risco."</f>
        <v>Considerando os parâmetros definidos, estima-se um patrimônio acumulado de R$ 5,2 milhões ao final do período de 30 anos, com uma projeção de renda mensal em dividendos de aproximadamente 52,42 mil reais.
Considerando o perfil do investidor, recomenda-se uma alocação de carteira composta por 75% em fundos de baixo risco e 25% em fundos de alto risco.</v>
      </c>
      <c r="C13" s="27"/>
      <c r="D13" s="27"/>
      <c r="E13" s="27"/>
      <c r="F13" s="27"/>
      <c r="G13" s="27"/>
      <c r="H13" s="27"/>
    </row>
    <row r="14" spans="2:14" s="26" customFormat="1" ht="20.5" customHeight="1" x14ac:dyDescent="0.35">
      <c r="B14" s="27"/>
      <c r="C14" s="27"/>
      <c r="D14" s="27"/>
      <c r="E14" s="27"/>
      <c r="F14" s="27"/>
      <c r="G14" s="27"/>
      <c r="H14" s="27"/>
      <c r="K14" s="28" t="s">
        <v>10</v>
      </c>
      <c r="L14" s="29">
        <f>SUM(L19:L21)</f>
        <v>1</v>
      </c>
      <c r="M14" s="29">
        <f>SUM(M19:M21)</f>
        <v>0.85</v>
      </c>
      <c r="N14" s="29">
        <f>SUM(N19:N21)</f>
        <v>0.75</v>
      </c>
    </row>
    <row r="15" spans="2:14" s="26" customFormat="1" ht="20.5" customHeight="1" x14ac:dyDescent="0.25">
      <c r="B15" s="27"/>
      <c r="C15" s="27"/>
      <c r="D15" s="27"/>
      <c r="E15" s="27"/>
      <c r="F15" s="27"/>
      <c r="G15" s="27"/>
      <c r="H15" s="27"/>
      <c r="K15" s="30" t="s">
        <v>11</v>
      </c>
      <c r="L15" s="29">
        <f>SUM(L22:L24)</f>
        <v>0</v>
      </c>
      <c r="M15" s="29">
        <f>SUM(M22:M24)</f>
        <v>0.15000000000000002</v>
      </c>
      <c r="N15" s="29">
        <f>SUM(N22:N24)</f>
        <v>0.25</v>
      </c>
    </row>
    <row r="16" spans="2:14" s="26" customFormat="1" ht="20.5" customHeight="1" x14ac:dyDescent="0.35">
      <c r="B16" s="31"/>
      <c r="C16" s="31"/>
      <c r="D16" s="31"/>
      <c r="E16" s="31"/>
      <c r="F16" s="31"/>
      <c r="G16" s="31"/>
      <c r="H16" s="31"/>
    </row>
    <row r="17" spans="1:14" s="26" customFormat="1" ht="20.5" customHeight="1" thickBot="1" x14ac:dyDescent="0.3">
      <c r="A17" s="1"/>
      <c r="B17" s="32" t="str">
        <f>"CENÁRIOS COM TAXA MENSAL DE "&amp;RENDIMENTO_CARTEIRA*100&amp;" %"</f>
        <v>CENÁRIOS COM TAXA MENSAL DE 1 %</v>
      </c>
      <c r="C17" s="33"/>
      <c r="D17" s="33"/>
      <c r="E17" s="31"/>
      <c r="F17" s="32" t="s">
        <v>12</v>
      </c>
      <c r="G17" s="33"/>
      <c r="H17" s="33"/>
    </row>
    <row r="18" spans="1:14" s="26" customFormat="1" ht="20.5" customHeight="1" thickBot="1" x14ac:dyDescent="0.3">
      <c r="A18" s="1"/>
      <c r="B18" s="34" t="s">
        <v>13</v>
      </c>
      <c r="C18" s="35" t="s">
        <v>14</v>
      </c>
      <c r="D18" s="36" t="s">
        <v>15</v>
      </c>
      <c r="E18" s="31"/>
      <c r="F18" s="34" t="s">
        <v>16</v>
      </c>
      <c r="G18" s="35" t="s">
        <v>17</v>
      </c>
      <c r="H18" s="36" t="s">
        <v>18</v>
      </c>
      <c r="K18" s="28"/>
      <c r="L18" s="28" t="s">
        <v>19</v>
      </c>
      <c r="M18" s="28" t="s">
        <v>20</v>
      </c>
      <c r="N18" s="28" t="s">
        <v>3</v>
      </c>
    </row>
    <row r="19" spans="1:14" s="26" customFormat="1" ht="20.5" customHeight="1" x14ac:dyDescent="0.35">
      <c r="A19" s="37">
        <v>1</v>
      </c>
      <c r="B19" s="38" t="s">
        <v>21</v>
      </c>
      <c r="C19" s="39">
        <f t="shared" ref="C19:C25" si="0">FV($F$9,$A19*12,-$F$7)</f>
        <v>19023.754519795464</v>
      </c>
      <c r="D19" s="40">
        <f>$C19*1%</f>
        <v>190.23754519795463</v>
      </c>
      <c r="E19" s="31"/>
      <c r="F19" s="41" t="s">
        <v>22</v>
      </c>
      <c r="G19" s="42" cm="1">
        <f t="array" ref="G19">_xlfn.IFS(PERFIL="Conservador",$L19,PERFIL="Moderado",$M19,PERFIL="Agressivo",$N19)</f>
        <v>0.4</v>
      </c>
      <c r="H19" s="43">
        <f t="shared" ref="H19:H24" si="1">G19*VALOR_INVESTIDO</f>
        <v>600</v>
      </c>
      <c r="K19" s="28" t="str">
        <f t="shared" ref="K19:K24" si="2">F19</f>
        <v>Papel</v>
      </c>
      <c r="L19" s="29">
        <v>0.3</v>
      </c>
      <c r="M19" s="29">
        <v>0.35</v>
      </c>
      <c r="N19" s="29">
        <v>0.4</v>
      </c>
    </row>
    <row r="20" spans="1:14" s="26" customFormat="1" ht="20.5" customHeight="1" x14ac:dyDescent="0.35">
      <c r="A20" s="37">
        <v>5</v>
      </c>
      <c r="B20" s="44" t="s">
        <v>23</v>
      </c>
      <c r="C20" s="45">
        <f t="shared" si="0"/>
        <v>122504.50478461369</v>
      </c>
      <c r="D20" s="46">
        <f t="shared" ref="D20:D25" si="3">$C20*1%</f>
        <v>1225.0450478461369</v>
      </c>
      <c r="E20" s="31"/>
      <c r="F20" s="44" t="s">
        <v>24</v>
      </c>
      <c r="G20" s="47" cm="1">
        <f t="array" ref="G20">_xlfn.IFS(PERFIL="Conservador",$L20,PERFIL="Moderado",$M20,PERFIL="Agressivo",$N20)</f>
        <v>0.3</v>
      </c>
      <c r="H20" s="46">
        <f t="shared" ref="H20:H25" si="4">G20*VALOR_INVESTIDO</f>
        <v>450</v>
      </c>
      <c r="K20" s="28" t="str">
        <f t="shared" si="2"/>
        <v>Tijolo</v>
      </c>
      <c r="L20" s="29">
        <v>0.5</v>
      </c>
      <c r="M20" s="29">
        <v>0.4</v>
      </c>
      <c r="N20" s="29">
        <v>0.3</v>
      </c>
    </row>
    <row r="21" spans="1:14" s="26" customFormat="1" ht="20.5" customHeight="1" x14ac:dyDescent="0.35">
      <c r="A21" s="37">
        <v>10</v>
      </c>
      <c r="B21" s="44" t="s">
        <v>25</v>
      </c>
      <c r="C21" s="45">
        <f t="shared" si="0"/>
        <v>345058.03418605047</v>
      </c>
      <c r="D21" s="46">
        <f t="shared" si="3"/>
        <v>3450.5803418605046</v>
      </c>
      <c r="E21" s="31"/>
      <c r="F21" s="44" t="s">
        <v>26</v>
      </c>
      <c r="G21" s="47" cm="1">
        <f t="array" ref="G21">_xlfn.IFS(PERFIL="Conservador",$L21,PERFIL="Moderado",$M21,PERFIL="Agressivo",$N21)</f>
        <v>0.05</v>
      </c>
      <c r="H21" s="46">
        <f t="shared" ref="H21:H26" si="5">G21*VALOR_INVESTIDO</f>
        <v>75</v>
      </c>
      <c r="K21" s="28" t="str">
        <f t="shared" si="2"/>
        <v>Híbrido</v>
      </c>
      <c r="L21" s="29">
        <v>0.2</v>
      </c>
      <c r="M21" s="29">
        <v>0.1</v>
      </c>
      <c r="N21" s="29">
        <v>0.05</v>
      </c>
    </row>
    <row r="22" spans="1:14" s="26" customFormat="1" ht="20.5" customHeight="1" x14ac:dyDescent="0.35">
      <c r="A22" s="37">
        <v>15</v>
      </c>
      <c r="B22" s="44" t="s">
        <v>27</v>
      </c>
      <c r="C22" s="45">
        <f t="shared" si="0"/>
        <v>749370.29630342696</v>
      </c>
      <c r="D22" s="46">
        <f>$C22*1%</f>
        <v>7493.7029630342695</v>
      </c>
      <c r="E22" s="31"/>
      <c r="F22" s="44" t="s">
        <v>28</v>
      </c>
      <c r="G22" s="47" cm="1">
        <f t="array" ref="G22">_xlfn.IFS(PERFIL="Conservador",$L22,PERFIL="Moderado",$M22,PERFIL="Agressivo",$N22)</f>
        <v>7.4999999999999997E-2</v>
      </c>
      <c r="H22" s="46">
        <f t="shared" ref="H22:H27" si="6">G22*VALOR_INVESTIDO</f>
        <v>112.5</v>
      </c>
      <c r="K22" s="28" t="str">
        <f t="shared" si="2"/>
        <v>FOF</v>
      </c>
      <c r="L22" s="29">
        <v>0</v>
      </c>
      <c r="M22" s="29">
        <v>0.05</v>
      </c>
      <c r="N22" s="29">
        <v>7.4999999999999997E-2</v>
      </c>
    </row>
    <row r="23" spans="1:14" s="26" customFormat="1" ht="20.5" customHeight="1" x14ac:dyDescent="0.35">
      <c r="A23" s="37">
        <v>20</v>
      </c>
      <c r="B23" s="44" t="s">
        <v>29</v>
      </c>
      <c r="C23" s="45">
        <f t="shared" si="0"/>
        <v>1483883.0480810446</v>
      </c>
      <c r="D23" s="46">
        <f t="shared" ref="D23:D28" si="7">$C23*1%</f>
        <v>14838.830480810446</v>
      </c>
      <c r="E23" s="31"/>
      <c r="F23" s="44" t="s">
        <v>30</v>
      </c>
      <c r="G23" s="47" cm="1">
        <f t="array" ref="G23">_xlfn.IFS(PERFIL="Conservador",$L23,PERFIL="Moderado",$M23,PERFIL="Agressivo",$N23)</f>
        <v>0.1</v>
      </c>
      <c r="H23" s="46">
        <f t="shared" ref="H23:H28" si="8">G23*VALOR_INVESTIDO</f>
        <v>150</v>
      </c>
      <c r="K23" s="28" t="str">
        <f t="shared" si="2"/>
        <v>Desenvolvimento</v>
      </c>
      <c r="L23" s="29">
        <v>0</v>
      </c>
      <c r="M23" s="29">
        <v>0.05</v>
      </c>
      <c r="N23" s="29">
        <v>0.1</v>
      </c>
    </row>
    <row r="24" spans="1:14" s="26" customFormat="1" ht="20.5" customHeight="1" thickBot="1" x14ac:dyDescent="0.4">
      <c r="A24" s="37">
        <v>25</v>
      </c>
      <c r="B24" s="44" t="s">
        <v>31</v>
      </c>
      <c r="C24" s="45">
        <f t="shared" si="0"/>
        <v>2818269.9392886683</v>
      </c>
      <c r="D24" s="46">
        <f t="shared" si="7"/>
        <v>28182.699392886683</v>
      </c>
      <c r="E24" s="31"/>
      <c r="F24" s="48" t="s">
        <v>32</v>
      </c>
      <c r="G24" s="49" cm="1">
        <f t="array" ref="G24">_xlfn.IFS(PERFIL="Conservador",$L24,PERFIL="Moderado",$M24,PERFIL="Agressivo",$N24)</f>
        <v>7.4999999999999997E-2</v>
      </c>
      <c r="H24" s="50">
        <f t="shared" ref="H24:H29" si="9">G24*VALOR_INVESTIDO</f>
        <v>112.5</v>
      </c>
      <c r="K24" s="28" t="str">
        <f t="shared" si="2"/>
        <v>Hotelaria</v>
      </c>
      <c r="L24" s="29">
        <v>0</v>
      </c>
      <c r="M24" s="29">
        <v>0.05</v>
      </c>
      <c r="N24" s="29">
        <v>7.4999999999999997E-2</v>
      </c>
    </row>
    <row r="25" spans="1:14" s="26" customFormat="1" ht="20.5" customHeight="1" thickBot="1" x14ac:dyDescent="0.4">
      <c r="A25" s="37">
        <v>30</v>
      </c>
      <c r="B25" s="48" t="s">
        <v>33</v>
      </c>
      <c r="C25" s="51">
        <f t="shared" si="0"/>
        <v>5242446.1991527593</v>
      </c>
      <c r="D25" s="50">
        <f t="shared" si="7"/>
        <v>52424.461991527591</v>
      </c>
      <c r="E25" s="31"/>
      <c r="F25" s="52"/>
      <c r="G25" s="53"/>
      <c r="H25" s="54">
        <f>SUM(H19:H24)</f>
        <v>1500</v>
      </c>
      <c r="L25" s="29">
        <f>SUM(L19:L24)</f>
        <v>1</v>
      </c>
      <c r="M25" s="29">
        <f t="shared" ref="M25:N25" si="10">SUM(M19:M24)</f>
        <v>1</v>
      </c>
      <c r="N25" s="29">
        <f t="shared" si="10"/>
        <v>0.99999999999999989</v>
      </c>
    </row>
    <row r="26" spans="1:14" s="26" customFormat="1" ht="15" customHeight="1" x14ac:dyDescent="0.35">
      <c r="F26" s="6"/>
      <c r="G26" s="6"/>
      <c r="H26" s="6"/>
    </row>
    <row r="27" spans="1:14" ht="22" customHeight="1" x14ac:dyDescent="0.35">
      <c r="B27" s="32" t="str">
        <f>"VARIAÇÃO DA TAXA MENSAL VARIÁVEL DE "&amp;L35*100&amp;"% A "&amp;M35*100&amp;"%"</f>
        <v>VARIAÇÃO DA TAXA MENSAL VARIÁVEL DE 0,9% A 1,1%</v>
      </c>
      <c r="C27" s="33"/>
      <c r="D27" s="33"/>
      <c r="E27" s="33"/>
      <c r="F27" s="33"/>
      <c r="G27" s="33"/>
      <c r="H27" s="33"/>
      <c r="I27"/>
    </row>
    <row r="28" spans="1:14" ht="42" customHeight="1" x14ac:dyDescent="0.35">
      <c r="B28" s="55" t="str">
        <f>"- Após 1 ano de investimentos, o patrimônio acumulado pode variar entre R$ "&amp;ROUND(L36/1000,2)&amp;" mil e R$ "&amp;ROUND(M36/1000,2)&amp;" mil, enquanto a renda mensal estimada em dividendos pode oscilar entre R$ "&amp;ROUND(O36,2)&amp;" a R$ "&amp;ROUND(P36,2)&amp;"."</f>
        <v>- Após 1 ano de investimentos, o patrimônio acumulado pode variar entre R$ 18,92 mil e R$ 19,13 mil, enquanto a renda mensal estimada em dividendos pode oscilar entre R$ 170,26 a R$ 210,43.</v>
      </c>
      <c r="C28" s="55"/>
      <c r="D28" s="55"/>
      <c r="E28" s="55"/>
      <c r="F28" s="55"/>
      <c r="G28" s="55"/>
      <c r="H28" s="55"/>
      <c r="I28"/>
    </row>
    <row r="29" spans="1:14" s="26" customFormat="1" ht="42" customHeight="1" x14ac:dyDescent="0.35">
      <c r="B29" s="55" t="str">
        <f>"- Após 5 anos de investimentos, o patrimônio acumulado pode variar entre R$ "&amp;ROUND(L37/1000,2)&amp;" mil e R$ "&amp;ROUND(M37/1000,2)&amp;" mil, enquanto a renda mensal estimada em dividendos pode oscilar entre R$ "&amp;ROUND(O37,2)&amp;" a R$ "&amp;ROUND(P37,2)&amp;"."</f>
        <v>- Após 5 anos de investimentos, o patrimônio acumulado pode variar entre R$ 118,64 mil e R$ 126,52 mil, enquanto a renda mensal estimada em dividendos pode oscilar entre R$ 1067,8 a R$ 1391,75.</v>
      </c>
      <c r="C29" s="55"/>
      <c r="D29" s="55"/>
      <c r="E29" s="55"/>
      <c r="F29" s="55"/>
      <c r="G29" s="55"/>
      <c r="H29" s="55"/>
      <c r="I29"/>
      <c r="J29" s="56"/>
    </row>
    <row r="30" spans="1:14" s="26" customFormat="1" ht="42" customHeight="1" x14ac:dyDescent="0.35">
      <c r="B30" s="55" t="str">
        <f>"- Após 10 anos de investimentos, o patrimônio acumulado pode variar entre R$ "&amp;ROUND(L38/1000,2)&amp;" mil e R$ "&amp;ROUND(M38/1000,2)&amp;" mil, enquanto a renda mensal estimada em dividendos pode oscilar entre R$ "&amp;ROUND(O38/1000,2)&amp;" mil a R$ "&amp;ROUND(P38/1000,2)&amp;" mil."</f>
        <v>- Após 10 anos de investimentos, o patrimônio acumulado pode variar entre R$ 321,75 mil e R$ 370,44 mil, enquanto a renda mensal estimada em dividendos pode oscilar entre R$ 2,9 mil a R$ 4,07 mil.</v>
      </c>
      <c r="C30" s="55"/>
      <c r="D30" s="55"/>
      <c r="E30" s="55"/>
      <c r="F30" s="55"/>
      <c r="G30" s="55"/>
      <c r="H30" s="55"/>
      <c r="I30"/>
    </row>
    <row r="31" spans="1:14" s="26" customFormat="1" ht="42" customHeight="1" x14ac:dyDescent="0.35">
      <c r="B31" s="55" t="str">
        <f>"- Após 15 anos de investimentos, o patrimônio acumulado pode variar entre R$ "&amp;ROUND(L39/1000,2)&amp;" mil e R$ "&amp;ROUND(M39/1000,2)&amp;" mil, enquanto a renda mensal estimada em dividendos pode oscilar entre R$ "&amp;ROUND(O39/1000,2)&amp;" mil a R$ "&amp;ROUND(P39/1000,2)&amp;" mil."</f>
        <v>- Após 15 anos de investimentos, o patrimônio acumulado pode variar entre R$ 669,43 mil e R$ 840,66 mil, enquanto a renda mensal estimada em dividendos pode oscilar entre R$ 6,02 mil a R$ 9,25 mil.</v>
      </c>
      <c r="C31" s="55"/>
      <c r="D31" s="55"/>
      <c r="E31" s="55"/>
      <c r="F31" s="55"/>
      <c r="G31" s="55"/>
      <c r="H31" s="55"/>
      <c r="I31"/>
    </row>
    <row r="32" spans="1:14" s="26" customFormat="1" ht="42" customHeight="1" x14ac:dyDescent="0.35">
      <c r="B32" s="55" t="str">
        <f>"- Após 20 anos de investimentos, o patrimônio acumulado pode variar entre R$ "&amp;ROUND(L40/1000000,2)&amp;" milhões e R$ "&amp;ROUND(M40/1000000,2)&amp;" millhões, enquanto a renda mensal estimada em dividendos pode oscilar entre R$ "&amp;ROUND(O40/1000,2)&amp;" mil a R$ "&amp;ROUND(P40/1000,2)&amp;"mil."</f>
        <v>- Após 20 anos de investimentos, o patrimônio acumulado pode variar entre R$ 1,26 milhões e R$ 1,75 millhões, enquanto a renda mensal estimada em dividendos pode oscilar entre R$ 11,38 mil a R$ 19,22mil.</v>
      </c>
      <c r="C32" s="55"/>
      <c r="D32" s="55"/>
      <c r="E32" s="55"/>
      <c r="F32" s="55"/>
      <c r="G32" s="55"/>
      <c r="H32" s="55"/>
      <c r="I32"/>
    </row>
    <row r="33" spans="2:17" s="26" customFormat="1" ht="42" customHeight="1" x14ac:dyDescent="0.35">
      <c r="B33" s="55" t="str">
        <f>"- Após 25 anos de investimentos, o patrimônio acumulado pode variar entre R$ "&amp;ROUND(L41/1000000,2)&amp;" milhões e R$ "&amp;ROUND(M41/1000000,2)&amp;" millhões, enquanto a renda mensal estimada em dividendos pode oscilar entre R$ "&amp;ROUND(O41/1000,2)&amp;" mil a R$ "&amp;ROUND(P41/1000,2)&amp;"mil."</f>
        <v>- Após 25 anos de investimentos, o patrimônio acumulado pode variar entre R$ 2,28 milhões e R$ 3,49 millhões, enquanto a renda mensal estimada em dividendos pode oscilar entre R$ 20,55 mil a R$ 38,44mil.</v>
      </c>
      <c r="C33" s="55"/>
      <c r="D33" s="55"/>
      <c r="E33" s="55"/>
      <c r="F33" s="55"/>
      <c r="G33" s="55"/>
      <c r="H33" s="55"/>
      <c r="I33"/>
    </row>
    <row r="34" spans="2:17" s="26" customFormat="1" ht="42" customHeight="1" x14ac:dyDescent="0.35">
      <c r="B34" s="57" t="str">
        <f>"- Após 30 anos de investimentos, o patrimônio acumulado pode variar entre R$ "&amp;ROUND(L42/1000000,2)&amp;" milhões e R$ "&amp;ROUND(M42/1000000,2)&amp;" millhões, enquanto a renda mensal estimada em dividendos pode oscilar entre R$ "&amp;ROUND(O42/1000,2)&amp;" mil a R$ "&amp;ROUND(P42/1000,2)&amp;"mil."</f>
        <v>- Após 30 anos de investimentos, o patrimônio acumulado pode variar entre R$ 4,03 milhões e R$ 6,86 millhões, enquanto a renda mensal estimada em dividendos pode oscilar entre R$ 36,25 mil a R$ 75,5mil.</v>
      </c>
      <c r="C34" s="57"/>
      <c r="D34" s="57"/>
      <c r="E34" s="57"/>
      <c r="F34" s="57"/>
      <c r="G34" s="57"/>
      <c r="H34" s="57"/>
      <c r="I34"/>
    </row>
    <row r="35" spans="2:17" s="26" customFormat="1" ht="12.5" customHeight="1" x14ac:dyDescent="0.35">
      <c r="E35" s="58"/>
      <c r="F35"/>
      <c r="G35"/>
      <c r="H35"/>
      <c r="I35"/>
      <c r="K35" s="30"/>
      <c r="L35" s="59">
        <f>RENDIMENTO_CARTEIRA-VARIACAO_RENDIMENTO</f>
        <v>9.0000000000000011E-3</v>
      </c>
      <c r="M35" s="59">
        <f>RENDIMENTO_CARTEIRA+VARIACAO_RENDIMENTO</f>
        <v>1.0999999999999999E-2</v>
      </c>
      <c r="N35" s="30"/>
      <c r="O35" s="59">
        <f>RENDIMENTO_CARTEIRA-VARIACAO_RENDIMENTO</f>
        <v>9.0000000000000011E-3</v>
      </c>
      <c r="P35" s="59">
        <f>RENDIMENTO_CARTEIRA+VARIACAO_RENDIMENTO</f>
        <v>1.0999999999999999E-2</v>
      </c>
      <c r="Q35" s="30"/>
    </row>
    <row r="36" spans="2:17" ht="12.5" customHeight="1" x14ac:dyDescent="0.25">
      <c r="K36" s="30" t="str">
        <f t="shared" ref="K36:K42" si="11">B19</f>
        <v xml:space="preserve">Em 1 ano </v>
      </c>
      <c r="L36" s="60">
        <f t="shared" ref="L36:L42" si="12">FV($L$35,$A19*12,-$F$7)</f>
        <v>18918.279159444661</v>
      </c>
      <c r="M36" s="60">
        <f t="shared" ref="M36:M42" si="13">FV($M$35,$A19*12,-$F$7)</f>
        <v>19129.935886343741</v>
      </c>
      <c r="N36" s="61">
        <f t="shared" ref="N36:N42" si="14">M36-L36</f>
        <v>211.65672689908024</v>
      </c>
      <c r="O36" s="61">
        <f t="shared" ref="O36:O42" si="15">L36*$O$35</f>
        <v>170.26451243500196</v>
      </c>
      <c r="P36" s="61">
        <f t="shared" ref="P36:P42" si="16">M36*$P$35</f>
        <v>210.42929474978115</v>
      </c>
      <c r="Q36" s="61">
        <f>P36-O36</f>
        <v>40.164782314779188</v>
      </c>
    </row>
    <row r="37" spans="2:17" ht="12.5" customHeight="1" x14ac:dyDescent="0.25">
      <c r="K37" s="30" t="str">
        <f t="shared" si="11"/>
        <v>Em 5 anos</v>
      </c>
      <c r="L37" s="60">
        <f t="shared" si="12"/>
        <v>118644.46990036724</v>
      </c>
      <c r="M37" s="60">
        <f t="shared" si="13"/>
        <v>126522.63663342818</v>
      </c>
      <c r="N37" s="61">
        <f t="shared" si="14"/>
        <v>7878.1667330609343</v>
      </c>
      <c r="O37" s="61">
        <f t="shared" si="15"/>
        <v>1067.8002291033054</v>
      </c>
      <c r="P37" s="61">
        <f t="shared" si="16"/>
        <v>1391.7490029677099</v>
      </c>
      <c r="Q37" s="61">
        <f t="shared" ref="Q37:Q42" si="17">P37-O37</f>
        <v>323.94877386440453</v>
      </c>
    </row>
    <row r="38" spans="2:17" ht="12.5" customHeight="1" x14ac:dyDescent="0.25">
      <c r="K38" s="30" t="str">
        <f t="shared" si="11"/>
        <v>Em 10 anos</v>
      </c>
      <c r="L38" s="60">
        <f t="shared" si="12"/>
        <v>321748.00122836936</v>
      </c>
      <c r="M38" s="60">
        <f t="shared" si="13"/>
        <v>370437.10885846918</v>
      </c>
      <c r="N38" s="61">
        <f t="shared" si="14"/>
        <v>48689.10763009981</v>
      </c>
      <c r="O38" s="61">
        <f t="shared" si="15"/>
        <v>2895.7320110553246</v>
      </c>
      <c r="P38" s="61">
        <f t="shared" si="16"/>
        <v>4074.8081974431607</v>
      </c>
      <c r="Q38" s="61">
        <f t="shared" si="17"/>
        <v>1179.0761863878361</v>
      </c>
    </row>
    <row r="39" spans="2:17" ht="12.5" customHeight="1" x14ac:dyDescent="0.25">
      <c r="K39" s="30" t="str">
        <f t="shared" si="11"/>
        <v>Em 15 anos</v>
      </c>
      <c r="L39" s="60">
        <f t="shared" si="12"/>
        <v>669434.19741219224</v>
      </c>
      <c r="M39" s="60">
        <f t="shared" si="13"/>
        <v>840663.39676924085</v>
      </c>
      <c r="N39" s="61">
        <f t="shared" si="14"/>
        <v>171229.19935704861</v>
      </c>
      <c r="O39" s="61">
        <f t="shared" si="15"/>
        <v>6024.9077767097306</v>
      </c>
      <c r="P39" s="61">
        <f t="shared" si="16"/>
        <v>9247.2973644616486</v>
      </c>
      <c r="Q39" s="61">
        <f t="shared" si="17"/>
        <v>3222.389587751918</v>
      </c>
    </row>
    <row r="40" spans="2:17" ht="12.5" customHeight="1" x14ac:dyDescent="0.25">
      <c r="K40" s="30" t="str">
        <f t="shared" si="11"/>
        <v>Em 20 anos</v>
      </c>
      <c r="L40" s="60">
        <f t="shared" si="12"/>
        <v>1264626.6602234431</v>
      </c>
      <c r="M40" s="60">
        <f t="shared" si="13"/>
        <v>1747180.9962593613</v>
      </c>
      <c r="N40" s="61">
        <f t="shared" si="14"/>
        <v>482554.33603591821</v>
      </c>
      <c r="O40" s="61">
        <f t="shared" si="15"/>
        <v>11381.639942010988</v>
      </c>
      <c r="P40" s="61">
        <f t="shared" si="16"/>
        <v>19218.990958852974</v>
      </c>
      <c r="Q40" s="61">
        <f t="shared" si="17"/>
        <v>7837.3510168419853</v>
      </c>
    </row>
    <row r="41" spans="2:17" ht="12.5" customHeight="1" x14ac:dyDescent="0.25">
      <c r="K41" s="30" t="str">
        <f t="shared" si="11"/>
        <v>Em 25 anos</v>
      </c>
      <c r="L41" s="60">
        <f t="shared" si="12"/>
        <v>2283516.8884683037</v>
      </c>
      <c r="M41" s="60">
        <f t="shared" si="13"/>
        <v>3494795.2392581874</v>
      </c>
      <c r="N41" s="61">
        <f t="shared" si="14"/>
        <v>1211278.3507898836</v>
      </c>
      <c r="O41" s="61">
        <f t="shared" si="15"/>
        <v>20551.651996214736</v>
      </c>
      <c r="P41" s="61">
        <f t="shared" si="16"/>
        <v>38442.747631840059</v>
      </c>
      <c r="Q41" s="61">
        <f t="shared" si="17"/>
        <v>17891.095635625323</v>
      </c>
    </row>
    <row r="42" spans="2:17" ht="12.5" customHeight="1" x14ac:dyDescent="0.25">
      <c r="K42" s="30" t="str">
        <f t="shared" si="11"/>
        <v>Em 30 anos</v>
      </c>
      <c r="L42" s="60">
        <f t="shared" si="12"/>
        <v>4027721.2628138182</v>
      </c>
      <c r="M42" s="60">
        <f t="shared" si="13"/>
        <v>6863903.0691008661</v>
      </c>
      <c r="N42" s="61">
        <f t="shared" si="14"/>
        <v>2836181.8062870479</v>
      </c>
      <c r="O42" s="61">
        <f t="shared" si="15"/>
        <v>36249.491365324371</v>
      </c>
      <c r="P42" s="61">
        <f t="shared" si="16"/>
        <v>75502.933760109518</v>
      </c>
      <c r="Q42" s="61">
        <f t="shared" si="17"/>
        <v>39253.442394785146</v>
      </c>
    </row>
    <row r="43" spans="2:17" ht="12.5" customHeight="1" x14ac:dyDescent="0.25"/>
    <row r="44" spans="2:17" ht="12.5" customHeight="1" x14ac:dyDescent="0.25"/>
  </sheetData>
  <mergeCells count="13">
    <mergeCell ref="B34:H34"/>
    <mergeCell ref="B28:H28"/>
    <mergeCell ref="B29:H29"/>
    <mergeCell ref="B30:H30"/>
    <mergeCell ref="B31:H31"/>
    <mergeCell ref="B32:H32"/>
    <mergeCell ref="B33:H33"/>
    <mergeCell ref="F2:H4"/>
    <mergeCell ref="B7:E7"/>
    <mergeCell ref="B8:E8"/>
    <mergeCell ref="B9:E9"/>
    <mergeCell ref="B10:E10"/>
    <mergeCell ref="B13:H15"/>
  </mergeCells>
  <dataValidations count="1">
    <dataValidation type="list" allowBlank="1" showInputMessage="1" showErrorMessage="1" sqref="D4" xr:uid="{EE8A84DD-2677-4A16-BDE2-DA71F7B8DBFA}">
      <formula1>"Conservador,Moderado,Agressivo"</formula1>
    </dataValidation>
  </dataValidations>
  <pageMargins left="0.7" right="0.7" top="0.75" bottom="0.75" header="0.3" footer="0.3"/>
  <headerFooter>
    <oddFooter>&amp;C_x000D_&amp;1#&amp;"Calibri"&amp;6&amp;K626469 Public</oddFooter>
  </headerFooter>
  <drawing r:id="rId1"/>
</worksheet>
</file>

<file path=docMetadata/LabelInfo.xml><?xml version="1.0" encoding="utf-8"?>
<clbl:labelList xmlns:clbl="http://schemas.microsoft.com/office/2020/mipLabelMetadata">
  <clbl:label id="{23507802-f8e4-4e38-829c-ac8ea9b241e4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PROJETO_1</vt:lpstr>
      <vt:lpstr>ALTO_RISCO</vt:lpstr>
      <vt:lpstr>BAIXO_RISCO</vt:lpstr>
      <vt:lpstr>PERFIL</vt:lpstr>
      <vt:lpstr>PERIODO_INVESTIMENTO</vt:lpstr>
      <vt:lpstr>RENDA</vt:lpstr>
      <vt:lpstr>RENDIMENTO_CARTEIRA</vt:lpstr>
      <vt:lpstr>VALOR_INVESTIDO</vt:lpstr>
      <vt:lpstr>VARIACAO_RENDIMENTO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BARRETO</dc:creator>
  <cp:lastModifiedBy>CINTIA BARRETO</cp:lastModifiedBy>
  <dcterms:created xsi:type="dcterms:W3CDTF">2025-05-30T18:01:33Z</dcterms:created>
  <dcterms:modified xsi:type="dcterms:W3CDTF">2025-05-30T18:03:09Z</dcterms:modified>
</cp:coreProperties>
</file>