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Uni\Semestre 9\PROYECTO_ESTADISTICA_DESCRIPTIVA_ADI\excel\"/>
    </mc:Choice>
  </mc:AlternateContent>
  <xr:revisionPtr revIDLastSave="0" documentId="13_ncr:1_{EF542B78-391A-4DC4-902F-D1F1BFA6332D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heet1" sheetId="1" r:id="rId1"/>
    <sheet name="Punto 1" sheetId="2" r:id="rId2"/>
    <sheet name="Punto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N10" i="3" s="1"/>
  <c r="N11" i="3" s="1"/>
  <c r="N12" i="3" s="1"/>
  <c r="N13" i="3" s="1"/>
  <c r="N14" i="3" s="1"/>
  <c r="N9" i="3"/>
  <c r="M14" i="3"/>
  <c r="M13" i="3"/>
  <c r="M12" i="3"/>
  <c r="M11" i="3"/>
  <c r="M9" i="3"/>
  <c r="J9" i="3" l="1"/>
  <c r="L9" i="3"/>
  <c r="K9" i="3"/>
  <c r="I10" i="3"/>
  <c r="C48" i="3"/>
  <c r="C56" i="3"/>
  <c r="A69" i="3"/>
  <c r="A61" i="3"/>
  <c r="A55" i="3"/>
  <c r="A53" i="3"/>
  <c r="A51" i="3"/>
  <c r="A50" i="3"/>
  <c r="A46" i="3"/>
  <c r="A41" i="3"/>
  <c r="A40" i="3"/>
  <c r="A28" i="3"/>
  <c r="A27" i="3"/>
  <c r="A24" i="3"/>
  <c r="A22" i="3"/>
  <c r="A12" i="3"/>
  <c r="A11" i="3"/>
  <c r="A9" i="3"/>
  <c r="A6" i="3"/>
  <c r="E3" i="3"/>
  <c r="X43" i="2"/>
  <c r="X42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7" i="2"/>
  <c r="W7" i="2"/>
  <c r="W43" i="2"/>
  <c r="W42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1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U11" i="2"/>
  <c r="U10" i="2"/>
  <c r="U9" i="2"/>
  <c r="U8" i="2"/>
  <c r="U7" i="2"/>
  <c r="D6" i="2"/>
  <c r="C6" i="2"/>
  <c r="Q60" i="2"/>
  <c r="Q61" i="2"/>
  <c r="R77" i="2"/>
  <c r="Q77" i="2"/>
  <c r="Q67" i="2"/>
  <c r="Q72" i="2"/>
  <c r="Q66" i="2"/>
  <c r="Q64" i="2"/>
  <c r="R78" i="2"/>
  <c r="Q78" i="2"/>
  <c r="Q74" i="2"/>
  <c r="Q62" i="2"/>
  <c r="Q70" i="2"/>
  <c r="Q73" i="2"/>
  <c r="Q65" i="2"/>
  <c r="R76" i="2"/>
  <c r="Q76" i="2"/>
  <c r="R75" i="2"/>
  <c r="Q75" i="2"/>
  <c r="Q68" i="2"/>
  <c r="Q71" i="2"/>
  <c r="Q63" i="2"/>
  <c r="Q69" i="2"/>
  <c r="C20" i="2"/>
  <c r="D18" i="2"/>
  <c r="C18" i="2"/>
  <c r="C17" i="2"/>
  <c r="G71" i="2"/>
  <c r="H67" i="2"/>
  <c r="G63" i="2"/>
  <c r="H58" i="2"/>
  <c r="G58" i="2"/>
  <c r="G57" i="2"/>
  <c r="G55" i="2"/>
  <c r="G53" i="2"/>
  <c r="G52" i="2"/>
  <c r="H51" i="2"/>
  <c r="H50" i="2"/>
  <c r="G50" i="2"/>
  <c r="G48" i="2"/>
  <c r="G43" i="2"/>
  <c r="G42" i="2"/>
  <c r="H36" i="2"/>
  <c r="G30" i="2"/>
  <c r="G29" i="2"/>
  <c r="H26" i="2"/>
  <c r="G26" i="2"/>
  <c r="H24" i="2"/>
  <c r="G24" i="2"/>
  <c r="H23" i="2"/>
  <c r="G23" i="2"/>
  <c r="H20" i="2"/>
  <c r="H19" i="2"/>
  <c r="H18" i="2"/>
  <c r="G18" i="2"/>
  <c r="H16" i="2"/>
  <c r="G16" i="2"/>
  <c r="G14" i="2"/>
  <c r="G13" i="2"/>
  <c r="C21" i="2" s="1"/>
  <c r="G11" i="2"/>
  <c r="G8" i="2"/>
  <c r="D20" i="2"/>
  <c r="D19" i="2"/>
  <c r="C19" i="2"/>
  <c r="D17" i="2"/>
  <c r="D25" i="2"/>
  <c r="D10" i="2"/>
  <c r="C25" i="2"/>
  <c r="C10" i="2"/>
  <c r="D4" i="2"/>
  <c r="C4" i="2"/>
  <c r="I15" i="1"/>
  <c r="H67" i="1"/>
  <c r="I63" i="1"/>
  <c r="H59" i="1"/>
  <c r="H54" i="1"/>
  <c r="I54" i="1"/>
  <c r="H53" i="1"/>
  <c r="H51" i="1"/>
  <c r="H49" i="1"/>
  <c r="H48" i="1"/>
  <c r="I47" i="1"/>
  <c r="I46" i="1"/>
  <c r="H46" i="1"/>
  <c r="H44" i="1"/>
  <c r="H39" i="1"/>
  <c r="H38" i="1"/>
  <c r="I32" i="1"/>
  <c r="H26" i="1"/>
  <c r="H25" i="1"/>
  <c r="I22" i="1"/>
  <c r="H22" i="1"/>
  <c r="I20" i="1"/>
  <c r="H20" i="1"/>
  <c r="I19" i="1"/>
  <c r="H19" i="1"/>
  <c r="I16" i="1"/>
  <c r="I12" i="1"/>
  <c r="D5" i="2" s="1"/>
  <c r="I14" i="1"/>
  <c r="H14" i="1"/>
  <c r="H12" i="1"/>
  <c r="H10" i="1"/>
  <c r="H9" i="1"/>
  <c r="H7" i="1"/>
  <c r="C7" i="2" s="1"/>
  <c r="H4" i="1"/>
  <c r="E7" i="3" l="1"/>
  <c r="I9" i="3" s="1"/>
  <c r="E8" i="3"/>
  <c r="E4" i="3"/>
  <c r="E6" i="3" s="1"/>
  <c r="D21" i="2"/>
  <c r="D15" i="2"/>
  <c r="C12" i="2"/>
  <c r="C22" i="2"/>
  <c r="C15" i="2"/>
  <c r="C13" i="2"/>
  <c r="C11" i="2" s="1"/>
  <c r="D22" i="2"/>
  <c r="D12" i="2"/>
  <c r="D13" i="2"/>
  <c r="C5" i="2"/>
  <c r="D7" i="2"/>
  <c r="K10" i="3" l="1"/>
  <c r="K11" i="3" s="1"/>
  <c r="K12" i="3" s="1"/>
  <c r="K13" i="3" s="1"/>
  <c r="K14" i="3" s="1"/>
  <c r="I11" i="3"/>
  <c r="I12" i="3" s="1"/>
  <c r="I13" i="3" s="1"/>
  <c r="I14" i="3" s="1"/>
  <c r="D11" i="2"/>
  <c r="J10" i="3" l="1"/>
  <c r="J11" i="3" s="1"/>
  <c r="J12" i="3" s="1"/>
  <c r="J13" i="3" s="1"/>
  <c r="J14" i="3" s="1"/>
  <c r="L10" i="3"/>
  <c r="L11" i="3" s="1"/>
  <c r="L12" i="3" s="1"/>
  <c r="L13" i="3" s="1"/>
  <c r="L14" i="3" s="1"/>
</calcChain>
</file>

<file path=xl/sharedStrings.xml><?xml version="1.0" encoding="utf-8"?>
<sst xmlns="http://schemas.openxmlformats.org/spreadsheetml/2006/main" count="355" uniqueCount="209">
  <si>
    <t>ID</t>
  </si>
  <si>
    <t>Nombre</t>
  </si>
  <si>
    <t>Edad</t>
  </si>
  <si>
    <t>Identidad de Género </t>
  </si>
  <si>
    <t>Carrera Principal</t>
  </si>
  <si>
    <t>Segunda Carrera</t>
  </si>
  <si>
    <t>Subir la captura de pantalla de la categoría juegos en la aplicación de tiempo en pantalla de tu celular. </t>
  </si>
  <si>
    <t>Mariana Camila Gomez Salazar</t>
  </si>
  <si>
    <t>Mujer</t>
  </si>
  <si>
    <t>Diseño Gráfico</t>
  </si>
  <si>
    <t>https://uninorte-my.sharepoint.com/personal/olierc_uninorte_edu_co/Documents/Aplicaciones/Microsoft%20Forms/Proyecto%20An%C3%A1lisis%20de%20Datos%201/Question/IMG_4770_Mariana%20Camila%20Gomez.png</t>
  </si>
  <si>
    <t>Mariana Martinez Garcia</t>
  </si>
  <si>
    <t>https://uninorte-my.sharepoint.com/personal/olierc_uninorte_edu_co/Documents/Aplicaciones/Microsoft%20Forms/Proyecto%20An%C3%A1lisis%20de%20Datos%201/Question/Screenshot_20230817_130555_Digital%20Wellbeing_Mariana%20Martinez%20Gar.jpg</t>
  </si>
  <si>
    <t>Orlando Junior Rengifo Bravo</t>
  </si>
  <si>
    <t>Hombre</t>
  </si>
  <si>
    <t>Ingeniería de Sistemas y Computación</t>
  </si>
  <si>
    <t>https://uninorte-my.sharepoint.com/personal/olierc_uninorte_edu_co/Documents/Aplicaciones/Microsoft%20Forms/Proyecto%20An%C3%A1lisis%20de%20Datos%201/Question/C826903B-DC4E-4EA5-B3FD-89045E0F87E7_Orlando%20Junior%20Rengi.png</t>
  </si>
  <si>
    <t>Alejandra Sofia Padilla Gil</t>
  </si>
  <si>
    <t>Psicología</t>
  </si>
  <si>
    <t>https://uninorte-my.sharepoint.com/personal/olierc_uninorte_edu_co/Documents/Aplicaciones/Microsoft%20Forms/Proyecto%20An%C3%A1lisis%20de%20Datos%201/Question/IMG_1485%202_Alejandra%20Sofia%20Padi.png</t>
  </si>
  <si>
    <t>Jeisa Marcela Olier Posada</t>
  </si>
  <si>
    <t>Ingeniería Civil</t>
  </si>
  <si>
    <t>https://uninorte-my.sharepoint.com/personal/olierc_uninorte_edu_co/Documents/Aplicaciones/Microsoft%20Forms/Proyecto%20An%C3%A1lisis%20de%20Datos%201/Question/Screenshot_20230817-131543_Digital%20Wellbeing_Jeisa%20Marcela%20Olier.jpg</t>
  </si>
  <si>
    <t>Laura Valentina Iguaran Moran</t>
  </si>
  <si>
    <t>https://uninorte-my.sharepoint.com/personal/olierc_uninorte_edu_co/Documents/Aplicaciones/Microsoft%20Forms/Proyecto%20An%C3%A1lisis%20de%20Datos%201/Question/IMG_1579_Laura%20Valentina%20Igua.png</t>
  </si>
  <si>
    <t>Sheyla Alessandra Medina Cuentas</t>
  </si>
  <si>
    <t>Ciencia Política y Gobierno</t>
  </si>
  <si>
    <t>https://uninorte-my.sharepoint.com/personal/olierc_uninorte_edu_co/Documents/Aplicaciones/Microsoft%20Forms/Proyecto%20An%C3%A1lisis%20de%20Datos%201/Question/IMG_1125_Sheyla%20Alessandra%20Me.png</t>
  </si>
  <si>
    <t>Balmer Andres Molinares Ardila</t>
  </si>
  <si>
    <t>Ingeniería Mecánica</t>
  </si>
  <si>
    <t>https://uninorte-my.sharepoint.com/personal/olierc_uninorte_edu_co/Documents/Aplicaciones/Microsoft%20Forms/Proyecto%20An%C3%A1lisis%20de%20Datos%201/Question/Screenshot_20230817_132140_Digital%20Wellbeing_Balmer%20Andres%20Molina.jpg</t>
  </si>
  <si>
    <t>Alejandra Fuentes Acosta</t>
  </si>
  <si>
    <t>Geología</t>
  </si>
  <si>
    <t>https://uninorte-my.sharepoint.com/personal/olierc_uninorte_edu_co/Documents/Aplicaciones/Microsoft%20Forms/Proyecto%20An%C3%A1lisis%20de%20Datos%201/Question/IMG_2151_Alejandra%20Fuentes%20Ac.png</t>
  </si>
  <si>
    <t>Anghely Andrea Ramos Estevez</t>
  </si>
  <si>
    <t>https://uninorte-my.sharepoint.com/personal/olierc_uninorte_edu_co/Documents/Aplicaciones/Microsoft%20Forms/Proyecto%20An%C3%A1lisis%20de%20Datos%201/Question/IMG_0160_Anghely%20Andrea%20Ramos.png</t>
  </si>
  <si>
    <t>Juan Camilo Campo Fernandez</t>
  </si>
  <si>
    <t>https://uninorte-my.sharepoint.com/personal/olierc_uninorte_edu_co/Documents/Aplicaciones/Microsoft%20Forms/Proyecto%20An%C3%A1lisis%20de%20Datos%201/Question/IMG_3456_Juan%20Camilo%20Campo%20Fe.png</t>
  </si>
  <si>
    <t>Ingeniería Industrial</t>
  </si>
  <si>
    <t>https://uninorte-my.sharepoint.com/personal/olierc_uninorte_edu_co/Documents/Aplicaciones/Microsoft%20Forms/Proyecto%20An%C3%A1lisis%20de%20Datos%201/Question/IMG_1486_Alejandra%20Sofia%20Padi.png</t>
  </si>
  <si>
    <t>Daniela Julieth Salamanca Florez</t>
  </si>
  <si>
    <t>Arquitectura</t>
  </si>
  <si>
    <t>https://uninorte-my.sharepoint.com/personal/olierc_uninorte_edu_co/Documents/Aplicaciones/Microsoft%20Forms/Proyecto%20An%C3%A1lisis%20de%20Datos%201/Question/IMG_9712_Daniela%20Julieth%20Sala.png</t>
  </si>
  <si>
    <t>Laura Valentina Castro Benavides</t>
  </si>
  <si>
    <t>https://uninorte-my.sharepoint.com/personal/olierc_uninorte_edu_co/Documents/Aplicaciones/Microsoft%20Forms/Proyecto%20An%C3%A1lisis%20de%20Datos%201/Question/IMG_7324_Laura%20Valentina%20Cast.png</t>
  </si>
  <si>
    <t>Wendy Vanessa Melendez Dominguez</t>
  </si>
  <si>
    <t>Negocios Internacionales</t>
  </si>
  <si>
    <t>https://uninorte-my.sharepoint.com/personal/olierc_uninorte_edu_co/Documents/Aplicaciones/Microsoft%20Forms/Proyecto%20An%C3%A1lisis%20de%20Datos%201/Question/9DA59E96-67AD-44C2-A85A-F7FA60D56AB2_Wendy%20Vanessa%20Melend.png</t>
  </si>
  <si>
    <t>Ana Mercedes Palacio De La Rosa</t>
  </si>
  <si>
    <t>Medicina</t>
  </si>
  <si>
    <t>https://uninorte-my.sharepoint.com/personal/olierc_uninorte_edu_co/Documents/Aplicaciones/Microsoft%20Forms/Proyecto%20An%C3%A1lisis%20de%20Datos%201/Question/7BC72129-F50B-4DE9-AE1C-FDD3FFEDF164_Ana%20Mercedes%20Palacio.png</t>
  </si>
  <si>
    <t>Valentina Holguin Marin</t>
  </si>
  <si>
    <t>https://uninorte-my.sharepoint.com/personal/olierc_uninorte_edu_co/Documents/Aplicaciones/Microsoft%20Forms/Proyecto%20An%C3%A1lisis%20de%20Datos%201/Question/IMG_6800_Valentina%20Holguin%20Ma.png</t>
  </si>
  <si>
    <t>Nicolas Gabriel Morales Agudelo</t>
  </si>
  <si>
    <t>Lenguas Modernas y Cultura</t>
  </si>
  <si>
    <t>https://uninorte-my.sharepoint.com/personal/olierc_uninorte_edu_co/Documents/Aplicaciones/Microsoft%20Forms/Proyecto%20An%C3%A1lisis%20de%20Datos%201/Question/IMG_5941_Nicolas%20Gabriel%20Mora.png</t>
  </si>
  <si>
    <t>Walter Elias Cogollo Gonzalez</t>
  </si>
  <si>
    <t>https://uninorte-my.sharepoint.com/personal/olierc_uninorte_edu_co/Documents/Aplicaciones/Microsoft%20Forms/Proyecto%20An%C3%A1lisis%20de%20Datos%201/Question/IMG_4285_Walter%20Elias%20Cogollo.png</t>
  </si>
  <si>
    <t>Eliana Del Carmen Redondo Genes</t>
  </si>
  <si>
    <t>https://uninorte-my.sharepoint.com/personal/olierc_uninorte_edu_co/Documents/Aplicaciones/Microsoft%20Forms/Proyecto%20An%C3%A1lisis%20de%20Datos%201/Question/IMG_9678_Eliana%20Del%20Carmen%20Re.png</t>
  </si>
  <si>
    <t>Comunicación Social y Periodismo</t>
  </si>
  <si>
    <t>Juan David Velez Romero</t>
  </si>
  <si>
    <t>https://uninorte-my.sharepoint.com/personal/olierc_uninorte_edu_co/Documents/Aplicaciones/Microsoft%20Forms/Proyecto%20An%C3%A1lisis%20de%20Datos%201/Question/IMG_0074_Juan%20David%20Velez%20Rom.png</t>
  </si>
  <si>
    <t>Julieth De Jesus Meneses Gomez</t>
  </si>
  <si>
    <t>Licenciatura en Educación Infantil</t>
  </si>
  <si>
    <t>https://uninorte-my.sharepoint.com/personal/olierc_uninorte_edu_co/Documents/Aplicaciones/Microsoft%20Forms/Proyecto%20An%C3%A1lisis%20de%20Datos%201/Question/DACFCFE6-CF64-4AFB-AAEB-0086CBD8D726_Julieth%20De%20Jesus%20Men.png</t>
  </si>
  <si>
    <t>Oscar Yulian Ladino Becerra</t>
  </si>
  <si>
    <t xml:space="preserve">Relaciones Internacionales </t>
  </si>
  <si>
    <t>https://uninorte-my.sharepoint.com/personal/olierc_uninorte_edu_co/Documents/Aplicaciones/Microsoft%20Forms/Proyecto%20An%C3%A1lisis%20de%20Datos%201/Question/IMG_1272_Oscar%20Yulian%20Ladino.png</t>
  </si>
  <si>
    <t>Pedro Samuel Acosta Lopez</t>
  </si>
  <si>
    <t>Economía</t>
  </si>
  <si>
    <t>https://uninorte-my.sharepoint.com/personal/olierc_uninorte_edu_co/Documents/Aplicaciones/Microsoft%20Forms/Proyecto%20An%C3%A1lisis%20de%20Datos%201/Question/IMG_5797_Pedro%20Samuel%20Acosta.png</t>
  </si>
  <si>
    <t>Andres David Gazabon Triviño</t>
  </si>
  <si>
    <t>https://uninorte-my.sharepoint.com/personal/olierc_uninorte_edu_co/Documents/Aplicaciones/Microsoft%20Forms/Proyecto%20An%C3%A1lisis%20de%20Datos%201/Question/Screenshot_20230817_140946_Digital%20Wellbeing_Andres%20David%20Gazabon.jpg</t>
  </si>
  <si>
    <t>Ana Maria Ardila Pacheco</t>
  </si>
  <si>
    <t>https://uninorte-my.sharepoint.com/personal/olierc_uninorte_edu_co/Documents/Aplicaciones/Microsoft%20Forms/Proyecto%20An%C3%A1lisis%20de%20Datos%201/Question/Screenshot_2023-08-17-14-09-13-805_com.miui.n_Ana%20Maria%20Ardila%20Pac.jpg</t>
  </si>
  <si>
    <t>Cristian Fabian Berrio Beltran</t>
  </si>
  <si>
    <t>https://uninorte-my.sharepoint.com/personal/olierc_uninorte_edu_co/Documents/Aplicaciones/Microsoft%20Forms/Proyecto%20An%C3%A1lisis%20de%20Datos%201/Question/BAC4B3D3-810B-4171-938E-DD7EC795DAE6_Cristian%20Fabian%20Berr.png</t>
  </si>
  <si>
    <t>Emily Johanna Roldan Ripoll</t>
  </si>
  <si>
    <t>https://uninorte-my.sharepoint.com/personal/olierc_uninorte_edu_co/Documents/Aplicaciones/Microsoft%20Forms/Proyecto%20An%C3%A1lisis%20de%20Datos%201/Question/IMG_2325_Emily%20Johanna%20Roldan.png</t>
  </si>
  <si>
    <t>Darwin Daniel Charris Hernandez</t>
  </si>
  <si>
    <t>https://uninorte-my.sharepoint.com/personal/olierc_uninorte_edu_co/Documents/Aplicaciones/Microsoft%20Forms/Proyecto%20An%C3%A1lisis%20de%20Datos%201/Question/IMG_6040_Darwin%20Daniel%20Charri.png</t>
  </si>
  <si>
    <t>Maria Fernanda Quiroga De la Hoz</t>
  </si>
  <si>
    <t>https://uninorte-my.sharepoint.com/personal/olierc_uninorte_edu_co/Documents/Aplicaciones/Microsoft%20Forms/Proyecto%20An%C3%A1lisis%20de%20Datos%201/Question/IMG-20230817-WA0022_Maria%20Fernanda%20Quiro.jpg</t>
  </si>
  <si>
    <t>Jesus David Escobar Vasquez</t>
  </si>
  <si>
    <t>Ingeniería Electrónica</t>
  </si>
  <si>
    <t>https://uninorte-my.sharepoint.com/personal/olierc_uninorte_edu_co/Documents/Aplicaciones/Microsoft%20Forms/Proyecto%20An%C3%A1lisis%20de%20Datos%201/Question/IMG_1082_Jesus%20David%20Escobar.png</t>
  </si>
  <si>
    <t>Natalia Isabel Vega Sanchez</t>
  </si>
  <si>
    <t>https://uninorte-my.sharepoint.com/personal/olierc_uninorte_edu_co/Documents/Aplicaciones/Microsoft%20Forms/Proyecto%20An%C3%A1lisis%20de%20Datos%201/Question/062C56B7-A767-4430-86EF-80515011B996_Natalia%20Isabel%20Vega.png</t>
  </si>
  <si>
    <t>Laura Andrea Carcamo Guerrero</t>
  </si>
  <si>
    <t>https://uninorte-my.sharepoint.com/personal/olierc_uninorte_edu_co/Documents/Aplicaciones/Microsoft%20Forms/Proyecto%20An%C3%A1lisis%20de%20Datos%201/Question/16922999561941960113627285193396_Laura%20Andrea%20Carcamo.jpg</t>
  </si>
  <si>
    <t>Juan Esteban Davila Teran</t>
  </si>
  <si>
    <t>https://uninorte-my.sharepoint.com/personal/olierc_uninorte_edu_co/Documents/Aplicaciones/Microsoft%20Forms/Proyecto%20An%C3%A1lisis%20de%20Datos%201/Question/IMG_5625_Juan%20Esteban%20Davila.png</t>
  </si>
  <si>
    <t>Kelly Alejandra Piñeres Quintanilla</t>
  </si>
  <si>
    <t>https://uninorte-my.sharepoint.com/personal/olierc_uninorte_edu_co/Documents/Aplicaciones/Microsoft%20Forms/Proyecto%20An%C3%A1lisis%20de%20Datos%201/Question/IMG_1085_Kelly%20Alejandra%20Pi%C3%B1e.png</t>
  </si>
  <si>
    <t>Luna Michelle Carrillo Castañeda</t>
  </si>
  <si>
    <t>https://uninorte-my.sharepoint.com/personal/olierc_uninorte_edu_co/Documents/Aplicaciones/Microsoft%20Forms/Proyecto%20An%C3%A1lisis%20de%20Datos%201/Question/e8b57e03677e942ac70c65328d2a2792_Luna%20Michelle%20Carril.jpg</t>
  </si>
  <si>
    <t>Luis Fernando Vega Porto</t>
  </si>
  <si>
    <t>https://uninorte-my.sharepoint.com/personal/olierc_uninorte_edu_co/Documents/Aplicaciones/Microsoft%20Forms/Proyecto%20An%C3%A1lisis%20de%20Datos%201/Question/IMG_3224_Luis%20Fernando%20Vega%20P.png</t>
  </si>
  <si>
    <t>Laura Marcela Bernal Villarreal</t>
  </si>
  <si>
    <t>https://uninorte-my.sharepoint.com/personal/olierc_uninorte_edu_co/Documents/Aplicaciones/Microsoft%20Forms/Proyecto%20An%C3%A1lisis%20de%20Datos%201/Question/IMG_7048_Laura%20Marcela%20Bernal.png</t>
  </si>
  <si>
    <t>Carlos Andres Recio Muñoz</t>
  </si>
  <si>
    <t>https://uninorte-my.sharepoint.com/personal/olierc_uninorte_edu_co/Documents/Aplicaciones/Microsoft%20Forms/Proyecto%20An%C3%A1lisis%20de%20Datos%201/Question/IMG_3813_Carlos%20Andres%20Recio.png</t>
  </si>
  <si>
    <t>Paula Andrea Ochoa Polo</t>
  </si>
  <si>
    <t>https://uninorte-my.sharepoint.com/personal/olierc_uninorte_edu_co/Documents/Aplicaciones/Microsoft%20Forms/Proyecto%20An%C3%A1lisis%20de%20Datos%201/Question/IMG_1599_Paula%20Andrea%20Ochoa%20P.jpeg</t>
  </si>
  <si>
    <t>Valentina Ainoa Restrepo Alcina</t>
  </si>
  <si>
    <t>Enfermería</t>
  </si>
  <si>
    <t>https://uninorte-my.sharepoint.com/personal/olierc_uninorte_edu_co/Documents/Aplicaciones/Microsoft%20Forms/Proyecto%20An%C3%A1lisis%20de%20Datos%201/Question/IMG_0589_Valentina%20Ainoa%20Rest.png</t>
  </si>
  <si>
    <t>Luz Karina Almeida Torres</t>
  </si>
  <si>
    <t>https://uninorte-my.sharepoint.com/personal/olierc_uninorte_edu_co/Documents/Aplicaciones/Microsoft%20Forms/Proyecto%20An%C3%A1lisis%20de%20Datos%201/Question/Screenshot_20230817_142652_Digital%20Wellbeing_Luz%20Karina%20Almeida%20T.jpg</t>
  </si>
  <si>
    <t>Louna Parry</t>
  </si>
  <si>
    <t>https://uninorte-my.sharepoint.com/personal/olierc_uninorte_edu_co/Documents/Aplicaciones/Microsoft%20Forms/Proyecto%20An%C3%A1lisis%20de%20Datos%201/Question/96E2489C-14D2-4FB2-BF95-1B4612AEFFA8_Louna%20Parry.png</t>
  </si>
  <si>
    <t>Pedro Luis Ropero Tapia</t>
  </si>
  <si>
    <t>https://uninorte-my.sharepoint.com/personal/olierc_uninorte_edu_co/Documents/Aplicaciones/Microsoft%20Forms/Proyecto%20An%C3%A1lisis%20de%20Datos%201/Question/F8F95F79-4A1F-43B3-84D9-E19017CCD6E5_Pedro%20Luis%20Ropero%20Ta.png</t>
  </si>
  <si>
    <t>Chanel Naomi Olier Watson</t>
  </si>
  <si>
    <t>https://uninorte-my.sharepoint.com/personal/olierc_uninorte_edu_co/Documents/Aplicaciones/Microsoft%20Forms/Proyecto%20An%C3%A1lisis%20de%20Datos%201/Question/IMG_7196_Chanel%20Naomi%20Olier%20W.png</t>
  </si>
  <si>
    <t>Karla Patricia Alvarez Fajardo</t>
  </si>
  <si>
    <t>https://uninorte-my.sharepoint.com/personal/olierc_uninorte_edu_co/Documents/Aplicaciones/Microsoft%20Forms/Proyecto%20An%C3%A1lisis%20de%20Datos%201/Question/IMG_6832_Karla%20Patricia%20Alvar.png</t>
  </si>
  <si>
    <t>Daniela Margarita Olivero Meza</t>
  </si>
  <si>
    <t>https://uninorte-my.sharepoint.com/personal/olierc_uninorte_edu_co/Documents/Aplicaciones/Microsoft%20Forms/Proyecto%20An%C3%A1lisis%20de%20Datos%201/Question/IMG_1143_Daniela%20Margarita%20Ol.png</t>
  </si>
  <si>
    <t>Ivan Andres Oñate Vidal</t>
  </si>
  <si>
    <t>https://uninorte-my.sharepoint.com/personal/olierc_uninorte_edu_co/Documents/Aplicaciones/Microsoft%20Forms/Proyecto%20An%C3%A1lisis%20de%20Datos%201/Question/IMG_0411_Ivan%20Andres%20O%C3%B1ate%20Vi.png</t>
  </si>
  <si>
    <t>Luisa Maria Ortiz Aguirre</t>
  </si>
  <si>
    <t>https://uninorte-my.sharepoint.com/personal/olierc_uninorte_edu_co/Documents/Aplicaciones/Microsoft%20Forms/Proyecto%20An%C3%A1lisis%20de%20Datos%201/Question/F76393E4-F864-4729-8ED4-B05F98DFA372_Luisa%20Maria%20Ortiz%20Ag.png</t>
  </si>
  <si>
    <t>Isabella Boyano Valetk</t>
  </si>
  <si>
    <t>Ciencia de Datos</t>
  </si>
  <si>
    <t>https://uninorte-my.sharepoint.com/personal/olierc_uninorte_edu_co/Documents/Aplicaciones/Microsoft%20Forms/Proyecto%20An%C3%A1lisis%20de%20Datos%201/Question/Screenshot_20230817_214252_Digital%20Wellbeing_Isabella%20Boyano%20Vale.jpg</t>
  </si>
  <si>
    <t>Nicol Vanessa Navarro Alvarez</t>
  </si>
  <si>
    <t>https://uninorte-my.sharepoint.com/personal/olierc_uninorte_edu_co/Documents/Aplicaciones/Microsoft%20Forms/Proyecto%20An%C3%A1lisis%20de%20Datos%201/Question/IMG_2356_Nicol%20Vanessa%20Navarr.jpeg</t>
  </si>
  <si>
    <t>Marcela Sofia Diaz Monsalvo</t>
  </si>
  <si>
    <t>https://uninorte-my.sharepoint.com/personal/olierc_uninorte_edu_co/Documents/Aplicaciones/Microsoft%20Forms/Proyecto%20An%C3%A1lisis%20de%20Datos%201/Question/Screenshot_20230822-124229_Digital%20Wellbeing_Marcela%20Sofia%20Diaz%20M.jpg</t>
  </si>
  <si>
    <t>Samuel David Serrano Mendoza</t>
  </si>
  <si>
    <t>https://uninorte-my.sharepoint.com/personal/olierc_uninorte_edu_co/Documents/Aplicaciones/Microsoft%20Forms/Proyecto%20An%C3%A1lisis%20de%20Datos%201/Question/Screenshot_20230822_125007_Digital%20Wellbeing_Samuel%20David%20Serrano.jpg</t>
  </si>
  <si>
    <t>Salvador Jr Pignalosa Marceles</t>
  </si>
  <si>
    <t>https://uninorte-my.sharepoint.com/personal/olierc_uninorte_edu_co/Documents/Aplicaciones/Microsoft%20Forms/Proyecto%20An%C3%A1lisis%20de%20Datos%201/Question/Screenshot_20230822_125324_Salvador%20Jr%20Pignalos.jpg</t>
  </si>
  <si>
    <t>Diana Carolina Consuegra Ortega</t>
  </si>
  <si>
    <t>https://uninorte-my.sharepoint.com/personal/olierc_uninorte_edu_co/Documents/Aplicaciones/Microsoft%20Forms/Proyecto%20An%C3%A1lisis%20de%20Datos%201/Question/Screenshot_20230822-125433_One%20UI%20Home_Diana%20Carolina%20Consu.jpg</t>
  </si>
  <si>
    <t>Emely Dahiana Vargas Montoya</t>
  </si>
  <si>
    <t>https://uninorte-my.sharepoint.com/personal/olierc_uninorte_edu_co/Documents/Aplicaciones/Microsoft%20Forms/Proyecto%20An%C3%A1lisis%20de%20Datos%201/Question/097DEE9C-11BE-49BD-B6DA-2063EF97F6F3_Emely%20Dahiana%20Vargas.png</t>
  </si>
  <si>
    <t>Alejandro Rafael Narvaez Charris</t>
  </si>
  <si>
    <t>https://uninorte-my.sharepoint.com/personal/olierc_uninorte_edu_co/Documents/Aplicaciones/Microsoft%20Forms/Proyecto%20An%C3%A1lisis%20de%20Datos%201/Question/IMG_2197_Alejandro%20Rafael%20Nar.png</t>
  </si>
  <si>
    <t>Emmanuel Enrique Rendon Difilippo</t>
  </si>
  <si>
    <t>https://uninorte-my.sharepoint.com/personal/olierc_uninorte_edu_co/Documents/Aplicaciones/Microsoft%20Forms/Proyecto%20An%C3%A1lisis%20de%20Datos%201/Question/IMG_7002_Emmanuel%20Enrique%20Ren.png</t>
  </si>
  <si>
    <t>Melissa Andrea Vargas Lastre</t>
  </si>
  <si>
    <t>https://uninorte-my.sharepoint.com/personal/olierc_uninorte_edu_co/Documents/Aplicaciones/Microsoft%20Forms/Proyecto%20An%C3%A1lisis%20de%20Datos%201/Question/Screenshot_20230822_130543_Digital%20Wellbeing_Melissa%20Andrea%20Varga.jpg</t>
  </si>
  <si>
    <t>Natalia Osorio Rico</t>
  </si>
  <si>
    <t>https://uninorte-my.sharepoint.com/personal/olierc_uninorte_edu_co/Documents/Aplicaciones/Microsoft%20Forms/Proyecto%20An%C3%A1lisis%20de%20Datos%201/Question/Screenshot_20230822-130640_Digital%20Wellbeing_Natalia%20Osorio%20Rico.jpg</t>
  </si>
  <si>
    <t>Samuel David Martinez Silva</t>
  </si>
  <si>
    <t>https://uninorte-my.sharepoint.com/personal/olierc_uninorte_edu_co/Documents/Aplicaciones/Microsoft%20Forms/Proyecto%20An%C3%A1lisis%20de%20Datos%201/Question/Screenshot_20230822-130607_Digital%20Wellbeing_Samuel%20David%20Martine.jpg</t>
  </si>
  <si>
    <t>Natalia Miranda Mendoza</t>
  </si>
  <si>
    <t>https://uninorte-my.sharepoint.com/personal/olierc_uninorte_edu_co/Documents/Aplicaciones/Microsoft%20Forms/Proyecto%20An%C3%A1lisis%20de%20Datos%201/Question/IMG_4234_Natalia%20Miranda%20Mend.png</t>
  </si>
  <si>
    <t>Jose Daniel Almenarez Velez</t>
  </si>
  <si>
    <t>https://uninorte-my.sharepoint.com/personal/olierc_uninorte_edu_co/Documents/Aplicaciones/Microsoft%20Forms/Proyecto%20An%C3%A1lisis%20de%20Datos%201/Question/Screenshot_20230822_132054_Digital%20Wellbeing_Jose%20Daniel%20Almenare.jpg</t>
  </si>
  <si>
    <t>Octavio Enrique Morales Pereira</t>
  </si>
  <si>
    <t>https://uninorte-my.sharepoint.com/personal/olierc_uninorte_edu_co/Documents/Aplicaciones/Microsoft%20Forms/Proyecto%20An%C3%A1lisis%20de%20Datos%201/Question/IMG_0781_Octavio%20Enrique%20Mora.png</t>
  </si>
  <si>
    <t>Natalia Tolosa Galindo</t>
  </si>
  <si>
    <t>https://uninorte-my.sharepoint.com/personal/olierc_uninorte_edu_co/Documents/Aplicaciones/Microsoft%20Forms/Proyecto%20An%C3%A1lisis%20de%20Datos%201/Question/IMG_6068_Natalia%20Tolosa%20Galin.png</t>
  </si>
  <si>
    <t>Amira Isabel Housni Celis</t>
  </si>
  <si>
    <t>https://uninorte-my.sharepoint.com/personal/olierc_uninorte_edu_co/Documents/Aplicaciones/Microsoft%20Forms/Proyecto%20An%C3%A1lisis%20de%20Datos%201/Question/B682AA0E-7508-4BB3-9675-9863C7C88E9B_Amira%20Isabel%20Housni.png</t>
  </si>
  <si>
    <t>Mariana Romero Camelo</t>
  </si>
  <si>
    <t>https://uninorte-my.sharepoint.com/personal/olierc_uninorte_edu_co/Documents/Aplicaciones/Microsoft%20Forms/Proyecto%20An%C3%A1lisis%20de%20Datos%201/Question/IMG_6587_Mariana%20Romero%20Camel.png</t>
  </si>
  <si>
    <t>Adriana Maria Ramirez Pizarro</t>
  </si>
  <si>
    <t>https://uninorte-my.sharepoint.com/personal/olierc_uninorte_edu_co/Documents/Aplicaciones/Microsoft%20Forms/Proyecto%20An%C3%A1lisis%20de%20Datos%201/Question/IMG_4449_Adriana%20Maria%20Ramire.jpeg</t>
  </si>
  <si>
    <t>Vanessa Carolina Serrano Otero</t>
  </si>
  <si>
    <t>https://uninorte-my.sharepoint.com/personal/olierc_uninorte_edu_co/Documents/Aplicaciones/Microsoft%20Forms/Proyecto%20An%C3%A1lisis%20de%20Datos%201/Question/8C57FE68-B316-4205-A53F-B4B8406FB631_Vanessa%20Carolina%20Ser.png</t>
  </si>
  <si>
    <t>https://uninorte-my.sharepoint.com/personal/olierc_uninorte_edu_co/Documents/Aplicaciones/Microsoft%20Forms/Proyecto%20An%C3%A1lisis%20de%20Datos%201/Question/IMG_0004_Daniela%20Julieth%20Sala.png</t>
  </si>
  <si>
    <t>Marianella Echeverria Polo</t>
  </si>
  <si>
    <t>https://uninorte-my.sharepoint.com/personal/olierc_uninorte_edu_co/Documents/Aplicaciones/Microsoft%20Forms/Proyecto%20An%C3%A1lisis%20de%20Datos%201/Question/8C458C49-6C56-4466-903C-6948F507E87F_Marianella%20Echeverri.png</t>
  </si>
  <si>
    <t>Iraldo Andres Pareja Oñate</t>
  </si>
  <si>
    <t>https://uninorte-my.sharepoint.com/personal/olierc_uninorte_edu_co/Documents/Aplicaciones/Microsoft%20Forms/Proyecto%20An%C3%A1lisis%20de%20Datos%201/Question/9628E0AD-E568-4427-8601-4A33625CB7EC_Iraldo%20Andres%20Pareja.png</t>
  </si>
  <si>
    <t>Tiempo de juego semana (min)</t>
  </si>
  <si>
    <t>Media</t>
  </si>
  <si>
    <t>Mediana</t>
  </si>
  <si>
    <t>Moda</t>
  </si>
  <si>
    <t>Medidas de centralización</t>
  </si>
  <si>
    <t>Rango</t>
  </si>
  <si>
    <t>Rango intercuartilico</t>
  </si>
  <si>
    <t>Desviación Estandar</t>
  </si>
  <si>
    <t>Varianza y Coeficiente de variación</t>
  </si>
  <si>
    <t>Medidas de Forma</t>
  </si>
  <si>
    <t>Coeficientes de Asimetria</t>
  </si>
  <si>
    <t>Coeficientes de Apuntamiento</t>
  </si>
  <si>
    <t>Tiempo de juego promedio diario (min)</t>
  </si>
  <si>
    <t>Datos para hallar la mediana</t>
  </si>
  <si>
    <t>Persona</t>
  </si>
  <si>
    <t>Medidas de disperción o Variabilidad</t>
  </si>
  <si>
    <t>MIN</t>
  </si>
  <si>
    <t>MAX</t>
  </si>
  <si>
    <t>PosQ1</t>
  </si>
  <si>
    <t>Q1</t>
  </si>
  <si>
    <t>PosQ3</t>
  </si>
  <si>
    <t>Q3</t>
  </si>
  <si>
    <t>f</t>
  </si>
  <si>
    <t>dato</t>
  </si>
  <si>
    <t>CA_s</t>
  </si>
  <si>
    <t>CA_p</t>
  </si>
  <si>
    <t>Leptocurtica</t>
  </si>
  <si>
    <t>Asimetrica hacia la derecha (+)</t>
  </si>
  <si>
    <t>clases</t>
  </si>
  <si>
    <t>R</t>
  </si>
  <si>
    <t>P</t>
  </si>
  <si>
    <t>A</t>
  </si>
  <si>
    <t>Li</t>
  </si>
  <si>
    <t>Ls</t>
  </si>
  <si>
    <t>dato MIN</t>
  </si>
  <si>
    <t>dato MAX</t>
  </si>
  <si>
    <t>son muy grandes y alteran los datos de mi tabla agrupada</t>
  </si>
  <si>
    <t>Fi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</si>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</sst>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horizontal="center" vertical="top"/>
    </xf>
    <xf numFmtId="1" fontId="0" fillId="0" borderId="1" xfId="0" applyNumberFormat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6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2" fillId="0" borderId="2" xfId="0" applyFont="1" applyBorder="1"/>
    <xf numFmtId="0" fontId="0" fillId="2" borderId="0" xfId="0" applyFill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zoomScale="73" zoomScaleNormal="73" workbookViewId="0">
      <selection activeCell="K53" sqref="K53"/>
    </sheetView>
  </sheetViews>
  <sheetFormatPr baseColWidth="10" defaultColWidth="9.140625" defaultRowHeight="15" x14ac:dyDescent="0.25"/>
  <cols>
    <col min="2" max="2" width="35.28515625" bestFit="1" customWidth="1"/>
    <col min="4" max="4" width="20" bestFit="1" customWidth="1"/>
    <col min="5" max="6" width="35" bestFit="1" customWidth="1"/>
    <col min="7" max="7" width="255.7109375" hidden="1" customWidth="1"/>
    <col min="8" max="8" width="24.85546875" bestFit="1" customWidth="1"/>
    <col min="9" max="9" width="3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170</v>
      </c>
      <c r="I1" s="5" t="s">
        <v>182</v>
      </c>
    </row>
    <row r="2" spans="1:9" x14ac:dyDescent="0.25">
      <c r="A2" s="2">
        <v>1</v>
      </c>
      <c r="B2" s="2" t="s">
        <v>7</v>
      </c>
      <c r="C2" s="2">
        <v>20</v>
      </c>
      <c r="D2" s="2" t="s">
        <v>8</v>
      </c>
      <c r="E2" s="2" t="s">
        <v>9</v>
      </c>
      <c r="F2" s="2"/>
      <c r="G2" s="2" t="s">
        <v>10</v>
      </c>
      <c r="H2" s="2">
        <v>34</v>
      </c>
      <c r="I2" s="2">
        <v>4</v>
      </c>
    </row>
    <row r="3" spans="1:9" x14ac:dyDescent="0.25">
      <c r="A3" s="2">
        <v>2</v>
      </c>
      <c r="B3" s="2" t="s">
        <v>11</v>
      </c>
      <c r="C3" s="2">
        <v>19</v>
      </c>
      <c r="D3" s="2" t="s">
        <v>8</v>
      </c>
      <c r="E3" s="2" t="s">
        <v>9</v>
      </c>
      <c r="F3" s="2"/>
      <c r="G3" s="2" t="s">
        <v>12</v>
      </c>
      <c r="H3" s="2">
        <v>0</v>
      </c>
      <c r="I3" s="2">
        <v>0</v>
      </c>
    </row>
    <row r="4" spans="1:9" x14ac:dyDescent="0.25">
      <c r="A4" s="2">
        <v>3</v>
      </c>
      <c r="B4" s="2" t="s">
        <v>13</v>
      </c>
      <c r="C4" s="2">
        <v>18</v>
      </c>
      <c r="D4" s="2" t="s">
        <v>14</v>
      </c>
      <c r="E4" s="2" t="s">
        <v>15</v>
      </c>
      <c r="F4" s="2"/>
      <c r="G4" s="2" t="s">
        <v>16</v>
      </c>
      <c r="H4" s="2">
        <f>(4*60)+33</f>
        <v>273</v>
      </c>
      <c r="I4" s="2">
        <v>39</v>
      </c>
    </row>
    <row r="5" spans="1:9" x14ac:dyDescent="0.25">
      <c r="A5" s="2">
        <v>4</v>
      </c>
      <c r="B5" s="2" t="s">
        <v>17</v>
      </c>
      <c r="C5" s="2">
        <v>19</v>
      </c>
      <c r="D5" s="2" t="s">
        <v>8</v>
      </c>
      <c r="E5" s="2" t="s">
        <v>18</v>
      </c>
      <c r="F5" s="2" t="s">
        <v>18</v>
      </c>
      <c r="G5" s="2" t="s">
        <v>19</v>
      </c>
      <c r="H5" s="2">
        <v>13</v>
      </c>
      <c r="I5" s="2">
        <v>6</v>
      </c>
    </row>
    <row r="6" spans="1:9" x14ac:dyDescent="0.25">
      <c r="A6" s="2">
        <v>5</v>
      </c>
      <c r="B6" s="2" t="s">
        <v>20</v>
      </c>
      <c r="C6" s="2">
        <v>20</v>
      </c>
      <c r="D6" s="2" t="s">
        <v>8</v>
      </c>
      <c r="E6" s="2" t="s">
        <v>21</v>
      </c>
      <c r="F6" s="2"/>
      <c r="G6" s="2" t="s">
        <v>22</v>
      </c>
      <c r="H6" s="2">
        <v>0</v>
      </c>
      <c r="I6" s="2">
        <v>0</v>
      </c>
    </row>
    <row r="7" spans="1:9" x14ac:dyDescent="0.25">
      <c r="A7" s="2">
        <v>6</v>
      </c>
      <c r="B7" s="2" t="s">
        <v>23</v>
      </c>
      <c r="C7" s="2">
        <v>20</v>
      </c>
      <c r="D7" s="2" t="s">
        <v>8</v>
      </c>
      <c r="E7" s="2" t="s">
        <v>21</v>
      </c>
      <c r="F7" s="2"/>
      <c r="G7" s="2" t="s">
        <v>24</v>
      </c>
      <c r="H7" s="2">
        <f>(2*60)+29</f>
        <v>149</v>
      </c>
      <c r="I7" s="2">
        <v>21</v>
      </c>
    </row>
    <row r="8" spans="1:9" x14ac:dyDescent="0.25">
      <c r="A8" s="2">
        <v>7</v>
      </c>
      <c r="B8" s="2" t="s">
        <v>25</v>
      </c>
      <c r="C8" s="2">
        <v>19</v>
      </c>
      <c r="D8" s="2" t="s">
        <v>8</v>
      </c>
      <c r="E8" s="2" t="s">
        <v>26</v>
      </c>
      <c r="F8" s="2"/>
      <c r="G8" s="2" t="s">
        <v>27</v>
      </c>
      <c r="H8" s="2">
        <v>0</v>
      </c>
      <c r="I8" s="2">
        <v>0</v>
      </c>
    </row>
    <row r="9" spans="1:9" x14ac:dyDescent="0.25">
      <c r="A9" s="2">
        <v>8</v>
      </c>
      <c r="B9" s="2" t="s">
        <v>28</v>
      </c>
      <c r="C9" s="2">
        <v>19</v>
      </c>
      <c r="D9" s="2" t="s">
        <v>14</v>
      </c>
      <c r="E9" s="2" t="s">
        <v>29</v>
      </c>
      <c r="F9" s="2"/>
      <c r="G9" s="2" t="s">
        <v>30</v>
      </c>
      <c r="H9" s="2">
        <f>(5*60)+53</f>
        <v>353</v>
      </c>
      <c r="I9" s="2">
        <v>50</v>
      </c>
    </row>
    <row r="10" spans="1:9" x14ac:dyDescent="0.25">
      <c r="A10" s="2">
        <v>9</v>
      </c>
      <c r="B10" s="2" t="s">
        <v>31</v>
      </c>
      <c r="C10" s="2">
        <v>18</v>
      </c>
      <c r="D10" s="2" t="s">
        <v>8</v>
      </c>
      <c r="E10" s="2" t="s">
        <v>32</v>
      </c>
      <c r="F10" s="2"/>
      <c r="G10" s="2" t="s">
        <v>33</v>
      </c>
      <c r="H10" s="2">
        <f>(3*60)+49</f>
        <v>229</v>
      </c>
      <c r="I10" s="2">
        <v>32</v>
      </c>
    </row>
    <row r="11" spans="1:9" x14ac:dyDescent="0.25">
      <c r="A11" s="2">
        <v>10</v>
      </c>
      <c r="B11" s="2" t="s">
        <v>34</v>
      </c>
      <c r="C11" s="2">
        <v>19</v>
      </c>
      <c r="D11" s="2" t="s">
        <v>8</v>
      </c>
      <c r="E11" s="2" t="s">
        <v>15</v>
      </c>
      <c r="F11" s="2"/>
      <c r="G11" s="2" t="s">
        <v>35</v>
      </c>
      <c r="H11" s="2">
        <v>0</v>
      </c>
      <c r="I11" s="2">
        <v>0</v>
      </c>
    </row>
    <row r="12" spans="1:9" x14ac:dyDescent="0.25">
      <c r="A12" s="2">
        <v>11</v>
      </c>
      <c r="B12" s="2" t="s">
        <v>36</v>
      </c>
      <c r="C12" s="2">
        <v>21</v>
      </c>
      <c r="D12" s="2" t="s">
        <v>14</v>
      </c>
      <c r="E12" s="2" t="s">
        <v>15</v>
      </c>
      <c r="F12" s="2"/>
      <c r="G12" s="2" t="s">
        <v>37</v>
      </c>
      <c r="H12" s="3">
        <f>11/60</f>
        <v>0.18333333333333332</v>
      </c>
      <c r="I12" s="3">
        <f>1/60</f>
        <v>1.6666666666666666E-2</v>
      </c>
    </row>
    <row r="13" spans="1:9" x14ac:dyDescent="0.25">
      <c r="A13" s="2">
        <v>12</v>
      </c>
      <c r="B13" s="2" t="s">
        <v>17</v>
      </c>
      <c r="C13" s="2">
        <v>19</v>
      </c>
      <c r="D13" s="2" t="s">
        <v>8</v>
      </c>
      <c r="E13" s="2" t="s">
        <v>18</v>
      </c>
      <c r="F13" s="2"/>
      <c r="G13" s="2" t="s">
        <v>39</v>
      </c>
      <c r="H13" s="2">
        <v>0</v>
      </c>
      <c r="I13" s="2">
        <v>0</v>
      </c>
    </row>
    <row r="14" spans="1:9" x14ac:dyDescent="0.25">
      <c r="A14" s="2">
        <v>13</v>
      </c>
      <c r="B14" s="2" t="s">
        <v>40</v>
      </c>
      <c r="C14" s="2">
        <v>18</v>
      </c>
      <c r="D14" s="2" t="s">
        <v>8</v>
      </c>
      <c r="E14" s="2" t="s">
        <v>41</v>
      </c>
      <c r="F14" s="2"/>
      <c r="G14" s="2" t="s">
        <v>42</v>
      </c>
      <c r="H14" s="3">
        <f>10/60</f>
        <v>0.16666666666666666</v>
      </c>
      <c r="I14" s="3">
        <f>1/60</f>
        <v>1.6666666666666666E-2</v>
      </c>
    </row>
    <row r="15" spans="1:9" x14ac:dyDescent="0.25">
      <c r="A15" s="2">
        <v>14</v>
      </c>
      <c r="B15" s="2" t="s">
        <v>43</v>
      </c>
      <c r="C15" s="2">
        <v>22</v>
      </c>
      <c r="D15" s="2" t="s">
        <v>8</v>
      </c>
      <c r="E15" s="2" t="s">
        <v>18</v>
      </c>
      <c r="F15" s="2"/>
      <c r="G15" s="2" t="s">
        <v>44</v>
      </c>
      <c r="H15" s="2">
        <v>3</v>
      </c>
      <c r="I15" s="2">
        <f>33/60</f>
        <v>0.55000000000000004</v>
      </c>
    </row>
    <row r="16" spans="1:9" x14ac:dyDescent="0.25">
      <c r="A16" s="2">
        <v>15</v>
      </c>
      <c r="B16" s="2" t="s">
        <v>45</v>
      </c>
      <c r="C16" s="2">
        <v>20</v>
      </c>
      <c r="D16" s="2" t="s">
        <v>8</v>
      </c>
      <c r="E16" s="2" t="s">
        <v>46</v>
      </c>
      <c r="F16" s="2"/>
      <c r="G16" s="2" t="s">
        <v>47</v>
      </c>
      <c r="H16" s="2">
        <v>1</v>
      </c>
      <c r="I16" s="3">
        <f>10/60</f>
        <v>0.16666666666666666</v>
      </c>
    </row>
    <row r="17" spans="1:9" x14ac:dyDescent="0.25">
      <c r="A17" s="2">
        <v>16</v>
      </c>
      <c r="B17" s="2" t="s">
        <v>48</v>
      </c>
      <c r="C17" s="2">
        <v>20</v>
      </c>
      <c r="D17" s="2" t="s">
        <v>8</v>
      </c>
      <c r="E17" s="2" t="s">
        <v>49</v>
      </c>
      <c r="F17" s="2"/>
      <c r="G17" s="2" t="s">
        <v>50</v>
      </c>
      <c r="H17" s="2">
        <v>11</v>
      </c>
      <c r="I17" s="2">
        <v>1</v>
      </c>
    </row>
    <row r="18" spans="1:9" x14ac:dyDescent="0.25">
      <c r="A18" s="2">
        <v>17</v>
      </c>
      <c r="B18" s="2" t="s">
        <v>51</v>
      </c>
      <c r="C18" s="2">
        <v>20</v>
      </c>
      <c r="D18" s="2" t="s">
        <v>8</v>
      </c>
      <c r="E18" s="2" t="s">
        <v>49</v>
      </c>
      <c r="F18" s="2"/>
      <c r="G18" s="2" t="s">
        <v>52</v>
      </c>
      <c r="H18" s="2">
        <v>0</v>
      </c>
      <c r="I18" s="2">
        <v>0</v>
      </c>
    </row>
    <row r="19" spans="1:9" x14ac:dyDescent="0.25">
      <c r="A19" s="2">
        <v>18</v>
      </c>
      <c r="B19" s="2" t="s">
        <v>53</v>
      </c>
      <c r="C19" s="2">
        <v>19</v>
      </c>
      <c r="D19" s="2" t="s">
        <v>14</v>
      </c>
      <c r="E19" s="2" t="s">
        <v>54</v>
      </c>
      <c r="F19" s="2"/>
      <c r="G19" s="2" t="s">
        <v>55</v>
      </c>
      <c r="H19" s="3">
        <f>20/60</f>
        <v>0.33333333333333331</v>
      </c>
      <c r="I19" s="3">
        <f>2/60</f>
        <v>3.3333333333333333E-2</v>
      </c>
    </row>
    <row r="20" spans="1:9" x14ac:dyDescent="0.25">
      <c r="A20" s="2">
        <v>19</v>
      </c>
      <c r="B20" s="2" t="s">
        <v>56</v>
      </c>
      <c r="C20" s="2">
        <v>21</v>
      </c>
      <c r="D20" s="2" t="s">
        <v>14</v>
      </c>
      <c r="E20" s="2" t="s">
        <v>18</v>
      </c>
      <c r="F20" s="2"/>
      <c r="G20" s="2" t="s">
        <v>57</v>
      </c>
      <c r="H20" s="2">
        <f>(9*60)+19</f>
        <v>559</v>
      </c>
      <c r="I20" s="2">
        <f>(1*60)+19</f>
        <v>79</v>
      </c>
    </row>
    <row r="21" spans="1:9" x14ac:dyDescent="0.25">
      <c r="A21" s="2">
        <v>20</v>
      </c>
      <c r="B21" s="2" t="s">
        <v>58</v>
      </c>
      <c r="C21" s="2">
        <v>18</v>
      </c>
      <c r="D21" s="2" t="s">
        <v>8</v>
      </c>
      <c r="E21" s="2" t="s">
        <v>18</v>
      </c>
      <c r="F21" s="2"/>
      <c r="G21" s="2" t="s">
        <v>59</v>
      </c>
      <c r="H21" s="2">
        <v>0</v>
      </c>
      <c r="I21" s="2">
        <v>0</v>
      </c>
    </row>
    <row r="22" spans="1:9" x14ac:dyDescent="0.25">
      <c r="A22" s="2">
        <v>21</v>
      </c>
      <c r="B22" s="2" t="s">
        <v>61</v>
      </c>
      <c r="C22" s="2">
        <v>18</v>
      </c>
      <c r="D22" s="2" t="s">
        <v>14</v>
      </c>
      <c r="E22" s="2" t="s">
        <v>32</v>
      </c>
      <c r="F22" s="2"/>
      <c r="G22" s="2" t="s">
        <v>62</v>
      </c>
      <c r="H22" s="2">
        <f>(9*60)+32</f>
        <v>572</v>
      </c>
      <c r="I22" s="2">
        <f>60+21</f>
        <v>81</v>
      </c>
    </row>
    <row r="23" spans="1:9" x14ac:dyDescent="0.25">
      <c r="A23" s="2">
        <v>22</v>
      </c>
      <c r="B23" s="2" t="s">
        <v>63</v>
      </c>
      <c r="C23" s="2">
        <v>22</v>
      </c>
      <c r="D23" s="2" t="s">
        <v>8</v>
      </c>
      <c r="E23" s="2" t="s">
        <v>64</v>
      </c>
      <c r="F23" s="2" t="s">
        <v>18</v>
      </c>
      <c r="G23" s="2" t="s">
        <v>65</v>
      </c>
      <c r="H23" s="2">
        <v>0</v>
      </c>
      <c r="I23" s="2">
        <v>0</v>
      </c>
    </row>
    <row r="24" spans="1:9" x14ac:dyDescent="0.25">
      <c r="A24" s="2">
        <v>23</v>
      </c>
      <c r="B24" s="2" t="s">
        <v>66</v>
      </c>
      <c r="C24" s="2">
        <v>20</v>
      </c>
      <c r="D24" s="2" t="s">
        <v>14</v>
      </c>
      <c r="E24" s="2" t="s">
        <v>67</v>
      </c>
      <c r="F24" s="2" t="s">
        <v>67</v>
      </c>
      <c r="G24" s="2" t="s">
        <v>68</v>
      </c>
      <c r="H24" s="2">
        <v>0</v>
      </c>
      <c r="I24" s="2">
        <v>0</v>
      </c>
    </row>
    <row r="25" spans="1:9" x14ac:dyDescent="0.25">
      <c r="A25" s="2">
        <v>24</v>
      </c>
      <c r="B25" s="2" t="s">
        <v>69</v>
      </c>
      <c r="C25" s="2">
        <v>21</v>
      </c>
      <c r="D25" s="2" t="s">
        <v>14</v>
      </c>
      <c r="E25" s="2" t="s">
        <v>70</v>
      </c>
      <c r="F25" s="2"/>
      <c r="G25" s="2" t="s">
        <v>71</v>
      </c>
      <c r="H25" s="2">
        <f>(3*60)+7</f>
        <v>187</v>
      </c>
      <c r="I25" s="2">
        <v>26</v>
      </c>
    </row>
    <row r="26" spans="1:9" x14ac:dyDescent="0.25">
      <c r="A26" s="2">
        <v>25</v>
      </c>
      <c r="B26" s="2" t="s">
        <v>72</v>
      </c>
      <c r="C26" s="2">
        <v>19</v>
      </c>
      <c r="D26" s="2" t="s">
        <v>14</v>
      </c>
      <c r="E26" s="2" t="s">
        <v>38</v>
      </c>
      <c r="F26" s="2"/>
      <c r="G26" s="2" t="s">
        <v>73</v>
      </c>
      <c r="H26" s="2">
        <f>(6*60)+3</f>
        <v>363</v>
      </c>
      <c r="I26" s="2">
        <v>51</v>
      </c>
    </row>
    <row r="27" spans="1:9" x14ac:dyDescent="0.25">
      <c r="A27" s="2">
        <v>26</v>
      </c>
      <c r="B27" s="2" t="s">
        <v>74</v>
      </c>
      <c r="C27" s="2">
        <v>19</v>
      </c>
      <c r="D27" s="2" t="s">
        <v>8</v>
      </c>
      <c r="E27" s="2" t="s">
        <v>15</v>
      </c>
      <c r="F27" s="2"/>
      <c r="G27" s="2" t="s">
        <v>75</v>
      </c>
      <c r="H27" s="2">
        <v>0</v>
      </c>
      <c r="I27" s="2">
        <v>0</v>
      </c>
    </row>
    <row r="28" spans="1:9" x14ac:dyDescent="0.25">
      <c r="A28" s="2">
        <v>27</v>
      </c>
      <c r="B28" s="2" t="s">
        <v>76</v>
      </c>
      <c r="C28" s="2">
        <v>19</v>
      </c>
      <c r="D28" s="2" t="s">
        <v>14</v>
      </c>
      <c r="E28" s="2" t="s">
        <v>15</v>
      </c>
      <c r="F28" s="2"/>
      <c r="G28" s="2" t="s">
        <v>77</v>
      </c>
      <c r="H28" s="2">
        <v>51</v>
      </c>
      <c r="I28" s="2">
        <v>7</v>
      </c>
    </row>
    <row r="29" spans="1:9" x14ac:dyDescent="0.25">
      <c r="A29" s="2">
        <v>28</v>
      </c>
      <c r="B29" s="2" t="s">
        <v>78</v>
      </c>
      <c r="C29" s="2">
        <v>18</v>
      </c>
      <c r="D29" s="2" t="s">
        <v>8</v>
      </c>
      <c r="E29" s="2" t="s">
        <v>15</v>
      </c>
      <c r="F29" s="2"/>
      <c r="G29" s="2" t="s">
        <v>79</v>
      </c>
      <c r="H29" s="2">
        <v>0</v>
      </c>
      <c r="I29" s="2">
        <v>0</v>
      </c>
    </row>
    <row r="30" spans="1:9" x14ac:dyDescent="0.25">
      <c r="A30" s="2">
        <v>29</v>
      </c>
      <c r="B30" s="2" t="s">
        <v>80</v>
      </c>
      <c r="C30" s="2">
        <v>19</v>
      </c>
      <c r="D30" s="2" t="s">
        <v>14</v>
      </c>
      <c r="E30" s="2" t="s">
        <v>15</v>
      </c>
      <c r="F30" s="2"/>
      <c r="G30" s="2" t="s">
        <v>81</v>
      </c>
      <c r="H30" s="2">
        <v>29</v>
      </c>
      <c r="I30" s="2">
        <v>4</v>
      </c>
    </row>
    <row r="31" spans="1:9" x14ac:dyDescent="0.25">
      <c r="A31" s="2">
        <v>30</v>
      </c>
      <c r="B31" s="2" t="s">
        <v>82</v>
      </c>
      <c r="C31" s="2">
        <v>17</v>
      </c>
      <c r="D31" s="2" t="s">
        <v>8</v>
      </c>
      <c r="E31" s="2" t="s">
        <v>54</v>
      </c>
      <c r="F31" s="2"/>
      <c r="G31" s="2" t="s">
        <v>83</v>
      </c>
      <c r="H31" s="2">
        <v>0</v>
      </c>
      <c r="I31" s="2">
        <v>0</v>
      </c>
    </row>
    <row r="32" spans="1:9" x14ac:dyDescent="0.25">
      <c r="A32" s="2">
        <v>31</v>
      </c>
      <c r="B32" s="2" t="s">
        <v>84</v>
      </c>
      <c r="C32" s="2">
        <v>18</v>
      </c>
      <c r="D32" s="2" t="s">
        <v>14</v>
      </c>
      <c r="E32" s="2" t="s">
        <v>85</v>
      </c>
      <c r="F32" s="2"/>
      <c r="G32" s="2" t="s">
        <v>86</v>
      </c>
      <c r="H32" s="2">
        <v>5</v>
      </c>
      <c r="I32" s="4">
        <f>49/60</f>
        <v>0.81666666666666665</v>
      </c>
    </row>
    <row r="33" spans="1:9" x14ac:dyDescent="0.25">
      <c r="A33" s="2">
        <v>32</v>
      </c>
      <c r="B33" s="2" t="s">
        <v>87</v>
      </c>
      <c r="C33" s="2">
        <v>18</v>
      </c>
      <c r="D33" s="2" t="s">
        <v>8</v>
      </c>
      <c r="E33" s="2" t="s">
        <v>49</v>
      </c>
      <c r="F33" s="2"/>
      <c r="G33" s="2" t="s">
        <v>88</v>
      </c>
      <c r="H33" s="2">
        <v>0</v>
      </c>
      <c r="I33" s="2">
        <v>0</v>
      </c>
    </row>
    <row r="34" spans="1:9" x14ac:dyDescent="0.25">
      <c r="A34" s="2">
        <v>33</v>
      </c>
      <c r="B34" s="2" t="s">
        <v>89</v>
      </c>
      <c r="C34" s="2">
        <v>18</v>
      </c>
      <c r="D34" s="2" t="s">
        <v>8</v>
      </c>
      <c r="E34" s="2" t="s">
        <v>49</v>
      </c>
      <c r="F34" s="2"/>
      <c r="G34" s="2" t="s">
        <v>90</v>
      </c>
      <c r="H34" s="2">
        <v>0</v>
      </c>
      <c r="I34" s="2">
        <v>0</v>
      </c>
    </row>
    <row r="35" spans="1:9" x14ac:dyDescent="0.25">
      <c r="A35" s="2">
        <v>34</v>
      </c>
      <c r="B35" s="2" t="s">
        <v>91</v>
      </c>
      <c r="C35" s="2">
        <v>19</v>
      </c>
      <c r="D35" s="2" t="s">
        <v>14</v>
      </c>
      <c r="E35" s="2" t="s">
        <v>49</v>
      </c>
      <c r="F35" s="2" t="s">
        <v>9</v>
      </c>
      <c r="G35" s="2" t="s">
        <v>92</v>
      </c>
      <c r="H35" s="2">
        <v>0</v>
      </c>
      <c r="I35" s="2">
        <v>0</v>
      </c>
    </row>
    <row r="36" spans="1:9" x14ac:dyDescent="0.25">
      <c r="A36" s="2">
        <v>35</v>
      </c>
      <c r="B36" s="2" t="s">
        <v>93</v>
      </c>
      <c r="C36" s="2">
        <v>19</v>
      </c>
      <c r="D36" s="2" t="s">
        <v>8</v>
      </c>
      <c r="E36" s="2" t="s">
        <v>49</v>
      </c>
      <c r="F36" s="2"/>
      <c r="G36" s="2" t="s">
        <v>94</v>
      </c>
      <c r="H36" s="2">
        <v>0</v>
      </c>
      <c r="I36" s="2">
        <v>0</v>
      </c>
    </row>
    <row r="37" spans="1:9" x14ac:dyDescent="0.25">
      <c r="A37" s="2">
        <v>36</v>
      </c>
      <c r="B37" s="2" t="s">
        <v>95</v>
      </c>
      <c r="C37" s="2">
        <v>19</v>
      </c>
      <c r="D37" s="2" t="s">
        <v>8</v>
      </c>
      <c r="E37" s="2" t="s">
        <v>49</v>
      </c>
      <c r="F37" s="2"/>
      <c r="G37" s="2" t="s">
        <v>96</v>
      </c>
      <c r="H37" s="2">
        <v>0</v>
      </c>
      <c r="I37" s="2">
        <v>0</v>
      </c>
    </row>
    <row r="38" spans="1:9" x14ac:dyDescent="0.25">
      <c r="A38" s="2">
        <v>37</v>
      </c>
      <c r="B38" s="2" t="s">
        <v>97</v>
      </c>
      <c r="C38" s="2">
        <v>18</v>
      </c>
      <c r="D38" s="2" t="s">
        <v>14</v>
      </c>
      <c r="E38" s="2" t="s">
        <v>49</v>
      </c>
      <c r="F38" s="2"/>
      <c r="G38" s="2" t="s">
        <v>98</v>
      </c>
      <c r="H38" s="2">
        <f>(4*60)+48</f>
        <v>288</v>
      </c>
      <c r="I38" s="2">
        <v>57</v>
      </c>
    </row>
    <row r="39" spans="1:9" x14ac:dyDescent="0.25">
      <c r="A39" s="2">
        <v>38</v>
      </c>
      <c r="B39" s="2" t="s">
        <v>99</v>
      </c>
      <c r="C39" s="2">
        <v>17</v>
      </c>
      <c r="D39" s="2" t="s">
        <v>8</v>
      </c>
      <c r="E39" s="2" t="s">
        <v>54</v>
      </c>
      <c r="F39" s="2"/>
      <c r="G39" s="2" t="s">
        <v>100</v>
      </c>
      <c r="H39" s="2">
        <f>60+43</f>
        <v>103</v>
      </c>
      <c r="I39" s="2">
        <v>14</v>
      </c>
    </row>
    <row r="40" spans="1:9" x14ac:dyDescent="0.25">
      <c r="A40" s="2">
        <v>39</v>
      </c>
      <c r="B40" s="2" t="s">
        <v>101</v>
      </c>
      <c r="C40" s="2">
        <v>19</v>
      </c>
      <c r="D40" s="2" t="s">
        <v>14</v>
      </c>
      <c r="E40" s="2" t="s">
        <v>29</v>
      </c>
      <c r="F40" s="2" t="s">
        <v>70</v>
      </c>
      <c r="G40" s="2" t="s">
        <v>102</v>
      </c>
      <c r="H40" s="2">
        <v>0</v>
      </c>
      <c r="I40" s="2">
        <v>0</v>
      </c>
    </row>
    <row r="41" spans="1:9" x14ac:dyDescent="0.25">
      <c r="A41" s="2">
        <v>40</v>
      </c>
      <c r="B41" s="2" t="s">
        <v>103</v>
      </c>
      <c r="C41" s="2">
        <v>18</v>
      </c>
      <c r="D41" s="2" t="s">
        <v>8</v>
      </c>
      <c r="E41" s="2" t="s">
        <v>54</v>
      </c>
      <c r="F41" s="2"/>
      <c r="G41" s="2" t="s">
        <v>104</v>
      </c>
      <c r="H41" s="2">
        <v>0</v>
      </c>
      <c r="I41" s="2">
        <v>0</v>
      </c>
    </row>
    <row r="42" spans="1:9" x14ac:dyDescent="0.25">
      <c r="A42" s="2">
        <v>41</v>
      </c>
      <c r="B42" s="2" t="s">
        <v>105</v>
      </c>
      <c r="C42" s="2">
        <v>18</v>
      </c>
      <c r="D42" s="2" t="s">
        <v>8</v>
      </c>
      <c r="E42" s="2" t="s">
        <v>106</v>
      </c>
      <c r="F42" s="2"/>
      <c r="G42" s="2" t="s">
        <v>107</v>
      </c>
      <c r="H42" s="2">
        <v>0</v>
      </c>
      <c r="I42" s="2">
        <v>0</v>
      </c>
    </row>
    <row r="43" spans="1:9" x14ac:dyDescent="0.25">
      <c r="A43" s="2">
        <v>42</v>
      </c>
      <c r="B43" s="2" t="s">
        <v>108</v>
      </c>
      <c r="C43" s="2">
        <v>17</v>
      </c>
      <c r="D43" s="2" t="s">
        <v>8</v>
      </c>
      <c r="E43" s="2" t="s">
        <v>106</v>
      </c>
      <c r="F43" s="2"/>
      <c r="G43" s="2" t="s">
        <v>109</v>
      </c>
      <c r="H43" s="2">
        <v>37</v>
      </c>
      <c r="I43" s="2">
        <v>5</v>
      </c>
    </row>
    <row r="44" spans="1:9" x14ac:dyDescent="0.25">
      <c r="A44" s="2">
        <v>43</v>
      </c>
      <c r="B44" s="2" t="s">
        <v>110</v>
      </c>
      <c r="C44" s="2">
        <v>23</v>
      </c>
      <c r="D44" s="2" t="s">
        <v>8</v>
      </c>
      <c r="E44" s="2" t="s">
        <v>29</v>
      </c>
      <c r="F44" s="2"/>
      <c r="G44" s="2" t="s">
        <v>111</v>
      </c>
      <c r="H44" s="2">
        <f>(6*60)+31</f>
        <v>391</v>
      </c>
      <c r="I44" s="2">
        <v>55</v>
      </c>
    </row>
    <row r="45" spans="1:9" x14ac:dyDescent="0.25">
      <c r="A45" s="2">
        <v>44</v>
      </c>
      <c r="B45" s="2" t="s">
        <v>112</v>
      </c>
      <c r="C45" s="2">
        <v>21</v>
      </c>
      <c r="D45" s="2" t="s">
        <v>14</v>
      </c>
      <c r="E45" s="2" t="s">
        <v>21</v>
      </c>
      <c r="F45" s="2"/>
      <c r="G45" s="2" t="s">
        <v>113</v>
      </c>
      <c r="H45" s="2">
        <v>0</v>
      </c>
      <c r="I45" s="2">
        <v>0</v>
      </c>
    </row>
    <row r="46" spans="1:9" x14ac:dyDescent="0.25">
      <c r="A46" s="2">
        <v>45</v>
      </c>
      <c r="B46" s="2" t="s">
        <v>114</v>
      </c>
      <c r="C46" s="2">
        <v>23</v>
      </c>
      <c r="D46" s="2" t="s">
        <v>8</v>
      </c>
      <c r="E46" s="2" t="s">
        <v>29</v>
      </c>
      <c r="F46" s="2" t="s">
        <v>15</v>
      </c>
      <c r="G46" s="2" t="s">
        <v>115</v>
      </c>
      <c r="H46" s="2">
        <f>(38*60)+45</f>
        <v>2325</v>
      </c>
      <c r="I46" s="2">
        <f>(5*60)+32</f>
        <v>332</v>
      </c>
    </row>
    <row r="47" spans="1:9" x14ac:dyDescent="0.25">
      <c r="A47" s="2">
        <v>46</v>
      </c>
      <c r="B47" s="2" t="s">
        <v>116</v>
      </c>
      <c r="C47" s="2">
        <v>19</v>
      </c>
      <c r="D47" s="2" t="s">
        <v>8</v>
      </c>
      <c r="E47" s="2" t="s">
        <v>21</v>
      </c>
      <c r="F47" s="2"/>
      <c r="G47" s="2" t="s">
        <v>117</v>
      </c>
      <c r="H47" s="2">
        <v>1</v>
      </c>
      <c r="I47" s="3">
        <f>14/60</f>
        <v>0.23333333333333334</v>
      </c>
    </row>
    <row r="48" spans="1:9" x14ac:dyDescent="0.25">
      <c r="A48" s="2">
        <v>47</v>
      </c>
      <c r="B48" s="2" t="s">
        <v>118</v>
      </c>
      <c r="C48" s="2">
        <v>18</v>
      </c>
      <c r="D48" s="2" t="s">
        <v>8</v>
      </c>
      <c r="E48" s="2" t="s">
        <v>21</v>
      </c>
      <c r="F48" s="2"/>
      <c r="G48" s="2" t="s">
        <v>119</v>
      </c>
      <c r="H48" s="2">
        <f>(2*60)+51</f>
        <v>171</v>
      </c>
      <c r="I48" s="2">
        <v>24</v>
      </c>
    </row>
    <row r="49" spans="1:9" x14ac:dyDescent="0.25">
      <c r="A49" s="2">
        <v>48</v>
      </c>
      <c r="B49" s="2" t="s">
        <v>120</v>
      </c>
      <c r="C49" s="2">
        <v>20</v>
      </c>
      <c r="D49" s="2" t="s">
        <v>14</v>
      </c>
      <c r="E49" s="2" t="s">
        <v>21</v>
      </c>
      <c r="F49" s="2"/>
      <c r="G49" s="2" t="s">
        <v>121</v>
      </c>
      <c r="H49" s="2">
        <f>(3*60)+30</f>
        <v>210</v>
      </c>
      <c r="I49" s="2">
        <v>30</v>
      </c>
    </row>
    <row r="50" spans="1:9" x14ac:dyDescent="0.25">
      <c r="A50" s="2">
        <v>49</v>
      </c>
      <c r="B50" s="2" t="s">
        <v>122</v>
      </c>
      <c r="C50" s="2">
        <v>19</v>
      </c>
      <c r="D50" s="2" t="s">
        <v>8</v>
      </c>
      <c r="E50" s="2" t="s">
        <v>46</v>
      </c>
      <c r="F50" s="2"/>
      <c r="G50" s="2" t="s">
        <v>123</v>
      </c>
      <c r="H50" s="2">
        <v>0</v>
      </c>
      <c r="I50" s="2">
        <v>0</v>
      </c>
    </row>
    <row r="51" spans="1:9" x14ac:dyDescent="0.25">
      <c r="A51" s="2">
        <v>50</v>
      </c>
      <c r="B51" s="2" t="s">
        <v>124</v>
      </c>
      <c r="C51" s="2">
        <v>22</v>
      </c>
      <c r="D51" s="2" t="s">
        <v>8</v>
      </c>
      <c r="E51" s="2" t="s">
        <v>67</v>
      </c>
      <c r="F51" s="2" t="s">
        <v>125</v>
      </c>
      <c r="G51" s="2" t="s">
        <v>126</v>
      </c>
      <c r="H51" s="2">
        <f>(5*60)+55</f>
        <v>355</v>
      </c>
      <c r="I51" s="2">
        <v>50</v>
      </c>
    </row>
    <row r="52" spans="1:9" x14ac:dyDescent="0.25">
      <c r="A52" s="2">
        <v>51</v>
      </c>
      <c r="B52" s="2" t="s">
        <v>127</v>
      </c>
      <c r="C52" s="2">
        <v>19</v>
      </c>
      <c r="D52" s="2" t="s">
        <v>8</v>
      </c>
      <c r="E52" s="2" t="s">
        <v>32</v>
      </c>
      <c r="F52" s="2"/>
      <c r="G52" s="2" t="s">
        <v>128</v>
      </c>
      <c r="H52" s="2">
        <v>49</v>
      </c>
      <c r="I52" s="2">
        <v>7</v>
      </c>
    </row>
    <row r="53" spans="1:9" x14ac:dyDescent="0.25">
      <c r="A53" s="2">
        <v>52</v>
      </c>
      <c r="B53" s="2" t="s">
        <v>129</v>
      </c>
      <c r="C53" s="2">
        <v>18</v>
      </c>
      <c r="D53" s="2" t="s">
        <v>8</v>
      </c>
      <c r="E53" s="2" t="s">
        <v>32</v>
      </c>
      <c r="F53" s="2"/>
      <c r="G53" s="2" t="s">
        <v>130</v>
      </c>
      <c r="H53" s="2">
        <f>(3*60)+33</f>
        <v>213</v>
      </c>
      <c r="I53" s="2">
        <v>30</v>
      </c>
    </row>
    <row r="54" spans="1:9" x14ac:dyDescent="0.25">
      <c r="A54" s="2">
        <v>53</v>
      </c>
      <c r="B54" s="2" t="s">
        <v>131</v>
      </c>
      <c r="C54" s="2">
        <v>18</v>
      </c>
      <c r="D54" s="2" t="s">
        <v>14</v>
      </c>
      <c r="E54" s="2" t="s">
        <v>38</v>
      </c>
      <c r="F54" s="2"/>
      <c r="G54" s="2" t="s">
        <v>132</v>
      </c>
      <c r="H54" s="2">
        <f>(17*60)+20</f>
        <v>1040</v>
      </c>
      <c r="I54" s="2">
        <f>(2*60)+28</f>
        <v>148</v>
      </c>
    </row>
    <row r="55" spans="1:9" x14ac:dyDescent="0.25">
      <c r="A55" s="2">
        <v>54</v>
      </c>
      <c r="B55" s="2" t="s">
        <v>133</v>
      </c>
      <c r="C55" s="2">
        <v>19</v>
      </c>
      <c r="D55" s="2" t="s">
        <v>14</v>
      </c>
      <c r="E55" s="2" t="s">
        <v>38</v>
      </c>
      <c r="F55" s="2"/>
      <c r="G55" s="2" t="s">
        <v>134</v>
      </c>
      <c r="H55" s="2">
        <v>0</v>
      </c>
      <c r="I55" s="2">
        <v>0</v>
      </c>
    </row>
    <row r="56" spans="1:9" x14ac:dyDescent="0.25">
      <c r="A56" s="2">
        <v>55</v>
      </c>
      <c r="B56" s="2" t="s">
        <v>135</v>
      </c>
      <c r="C56" s="2">
        <v>22</v>
      </c>
      <c r="D56" s="2" t="s">
        <v>8</v>
      </c>
      <c r="E56" s="2" t="s">
        <v>54</v>
      </c>
      <c r="F56" s="2"/>
      <c r="G56" s="2" t="s">
        <v>136</v>
      </c>
      <c r="H56" s="2">
        <v>0</v>
      </c>
      <c r="I56" s="2">
        <v>0</v>
      </c>
    </row>
    <row r="57" spans="1:9" x14ac:dyDescent="0.25">
      <c r="A57" s="2">
        <v>56</v>
      </c>
      <c r="B57" s="2" t="s">
        <v>137</v>
      </c>
      <c r="C57" s="2">
        <v>19</v>
      </c>
      <c r="D57" s="2" t="s">
        <v>8</v>
      </c>
      <c r="E57" s="2" t="s">
        <v>41</v>
      </c>
      <c r="F57" s="2"/>
      <c r="G57" s="2" t="s">
        <v>138</v>
      </c>
      <c r="H57" s="2">
        <v>21</v>
      </c>
      <c r="I57" s="2">
        <v>3</v>
      </c>
    </row>
    <row r="58" spans="1:9" x14ac:dyDescent="0.25">
      <c r="A58" s="2">
        <v>57</v>
      </c>
      <c r="B58" s="2" t="s">
        <v>139</v>
      </c>
      <c r="C58" s="2">
        <v>21</v>
      </c>
      <c r="D58" s="2" t="s">
        <v>14</v>
      </c>
      <c r="E58" s="2" t="s">
        <v>29</v>
      </c>
      <c r="F58" s="2" t="s">
        <v>29</v>
      </c>
      <c r="G58" s="2" t="s">
        <v>140</v>
      </c>
      <c r="H58" s="2">
        <v>0</v>
      </c>
      <c r="I58" s="2">
        <v>0</v>
      </c>
    </row>
    <row r="59" spans="1:9" x14ac:dyDescent="0.25">
      <c r="A59" s="2">
        <v>58</v>
      </c>
      <c r="B59" s="2" t="s">
        <v>141</v>
      </c>
      <c r="C59" s="2">
        <v>21</v>
      </c>
      <c r="D59" s="2" t="s">
        <v>14</v>
      </c>
      <c r="E59" s="2" t="s">
        <v>29</v>
      </c>
      <c r="F59" s="2" t="s">
        <v>29</v>
      </c>
      <c r="G59" s="2" t="s">
        <v>142</v>
      </c>
      <c r="H59" s="2">
        <f>60+26</f>
        <v>86</v>
      </c>
      <c r="I59" s="2">
        <v>12</v>
      </c>
    </row>
    <row r="60" spans="1:9" x14ac:dyDescent="0.25">
      <c r="A60" s="2">
        <v>59</v>
      </c>
      <c r="B60" s="2" t="s">
        <v>143</v>
      </c>
      <c r="C60" s="2">
        <v>20</v>
      </c>
      <c r="D60" s="2" t="s">
        <v>8</v>
      </c>
      <c r="E60" s="2" t="s">
        <v>9</v>
      </c>
      <c r="F60" s="2"/>
      <c r="G60" s="2" t="s">
        <v>144</v>
      </c>
      <c r="H60" s="2">
        <v>0</v>
      </c>
      <c r="I60" s="2">
        <v>0</v>
      </c>
    </row>
    <row r="61" spans="1:9" x14ac:dyDescent="0.25">
      <c r="A61" s="2">
        <v>60</v>
      </c>
      <c r="B61" s="2" t="s">
        <v>145</v>
      </c>
      <c r="C61" s="2">
        <v>21</v>
      </c>
      <c r="D61" s="2" t="s">
        <v>8</v>
      </c>
      <c r="E61" s="2" t="s">
        <v>9</v>
      </c>
      <c r="F61" s="2"/>
      <c r="G61" s="2" t="s">
        <v>146</v>
      </c>
      <c r="H61" s="2">
        <v>0</v>
      </c>
      <c r="I61" s="2">
        <v>0</v>
      </c>
    </row>
    <row r="62" spans="1:9" x14ac:dyDescent="0.25">
      <c r="A62" s="2">
        <v>61</v>
      </c>
      <c r="B62" s="2" t="s">
        <v>147</v>
      </c>
      <c r="C62" s="2">
        <v>21</v>
      </c>
      <c r="D62" s="2" t="s">
        <v>14</v>
      </c>
      <c r="E62" s="2" t="s">
        <v>9</v>
      </c>
      <c r="F62" s="2"/>
      <c r="G62" s="2" t="s">
        <v>148</v>
      </c>
      <c r="H62" s="2">
        <v>0</v>
      </c>
      <c r="I62" s="2">
        <v>0</v>
      </c>
    </row>
    <row r="63" spans="1:9" x14ac:dyDescent="0.25">
      <c r="A63" s="2">
        <v>62</v>
      </c>
      <c r="B63" s="2" t="s">
        <v>149</v>
      </c>
      <c r="C63" s="2">
        <v>18</v>
      </c>
      <c r="D63" s="2" t="s">
        <v>8</v>
      </c>
      <c r="E63" s="2" t="s">
        <v>49</v>
      </c>
      <c r="F63" s="2"/>
      <c r="G63" s="2" t="s">
        <v>150</v>
      </c>
      <c r="H63" s="2">
        <v>3</v>
      </c>
      <c r="I63" s="3">
        <f>31/60</f>
        <v>0.51666666666666672</v>
      </c>
    </row>
    <row r="64" spans="1:9" x14ac:dyDescent="0.25">
      <c r="A64" s="2">
        <v>63</v>
      </c>
      <c r="B64" s="2" t="s">
        <v>151</v>
      </c>
      <c r="C64" s="2">
        <v>20</v>
      </c>
      <c r="D64" s="2" t="s">
        <v>14</v>
      </c>
      <c r="E64" s="2" t="s">
        <v>15</v>
      </c>
      <c r="F64" s="2"/>
      <c r="G64" s="2" t="s">
        <v>152</v>
      </c>
      <c r="H64" s="2">
        <v>5</v>
      </c>
      <c r="I64" s="2">
        <v>0</v>
      </c>
    </row>
    <row r="65" spans="1:9" x14ac:dyDescent="0.25">
      <c r="A65" s="2">
        <v>64</v>
      </c>
      <c r="B65" s="2" t="s">
        <v>153</v>
      </c>
      <c r="C65" s="2">
        <v>21</v>
      </c>
      <c r="D65" s="2" t="s">
        <v>14</v>
      </c>
      <c r="E65" s="2" t="s">
        <v>85</v>
      </c>
      <c r="F65" s="2" t="s">
        <v>85</v>
      </c>
      <c r="G65" s="2" t="s">
        <v>154</v>
      </c>
      <c r="H65" s="2">
        <v>0</v>
      </c>
      <c r="I65" s="2">
        <v>0</v>
      </c>
    </row>
    <row r="66" spans="1:9" x14ac:dyDescent="0.25">
      <c r="A66" s="2">
        <v>65</v>
      </c>
      <c r="B66" s="2" t="s">
        <v>155</v>
      </c>
      <c r="C66" s="2">
        <v>19</v>
      </c>
      <c r="D66" s="2" t="s">
        <v>8</v>
      </c>
      <c r="E66" s="2" t="s">
        <v>18</v>
      </c>
      <c r="F66" s="2"/>
      <c r="G66" s="2" t="s">
        <v>156</v>
      </c>
      <c r="H66" s="2">
        <v>0</v>
      </c>
      <c r="I66" s="2">
        <v>0</v>
      </c>
    </row>
    <row r="67" spans="1:9" x14ac:dyDescent="0.25">
      <c r="A67" s="2">
        <v>66</v>
      </c>
      <c r="B67" s="2" t="s">
        <v>157</v>
      </c>
      <c r="C67" s="2">
        <v>20</v>
      </c>
      <c r="D67" s="2" t="s">
        <v>8</v>
      </c>
      <c r="E67" s="2" t="s">
        <v>18</v>
      </c>
      <c r="F67" s="2"/>
      <c r="G67" s="2" t="s">
        <v>158</v>
      </c>
      <c r="H67" s="2">
        <f>60+9</f>
        <v>69</v>
      </c>
      <c r="I67" s="2">
        <v>9</v>
      </c>
    </row>
    <row r="68" spans="1:9" x14ac:dyDescent="0.25">
      <c r="A68" s="2">
        <v>67</v>
      </c>
      <c r="B68" s="2" t="s">
        <v>159</v>
      </c>
      <c r="C68" s="2">
        <v>18</v>
      </c>
      <c r="D68" s="2" t="s">
        <v>8</v>
      </c>
      <c r="E68" s="2" t="s">
        <v>9</v>
      </c>
      <c r="F68" s="2"/>
      <c r="G68" s="2" t="s">
        <v>160</v>
      </c>
      <c r="H68" s="2">
        <v>35</v>
      </c>
      <c r="I68" s="2">
        <v>5</v>
      </c>
    </row>
    <row r="69" spans="1:9" x14ac:dyDescent="0.25">
      <c r="A69" s="2">
        <v>68</v>
      </c>
      <c r="B69" s="2" t="s">
        <v>161</v>
      </c>
      <c r="C69" s="2">
        <v>20</v>
      </c>
      <c r="D69" s="2" t="s">
        <v>8</v>
      </c>
      <c r="E69" s="2" t="s">
        <v>9</v>
      </c>
      <c r="F69" s="2"/>
      <c r="G69" s="2" t="s">
        <v>162</v>
      </c>
      <c r="H69" s="2">
        <v>8</v>
      </c>
      <c r="I69" s="2">
        <v>1</v>
      </c>
    </row>
    <row r="70" spans="1:9" x14ac:dyDescent="0.25">
      <c r="A70" s="2">
        <v>69</v>
      </c>
      <c r="B70" s="2" t="s">
        <v>163</v>
      </c>
      <c r="C70" s="2">
        <v>19</v>
      </c>
      <c r="D70" s="2" t="s">
        <v>8</v>
      </c>
      <c r="E70" s="2" t="s">
        <v>9</v>
      </c>
      <c r="F70" s="2"/>
      <c r="G70" s="2" t="s">
        <v>164</v>
      </c>
      <c r="H70" s="2">
        <v>0</v>
      </c>
      <c r="I70" s="2">
        <v>0</v>
      </c>
    </row>
    <row r="71" spans="1:9" x14ac:dyDescent="0.25">
      <c r="A71" s="2">
        <v>70</v>
      </c>
      <c r="B71" s="2" t="s">
        <v>40</v>
      </c>
      <c r="C71" s="2">
        <v>18</v>
      </c>
      <c r="D71" s="2" t="s">
        <v>8</v>
      </c>
      <c r="E71" s="2" t="s">
        <v>41</v>
      </c>
      <c r="F71" s="2"/>
      <c r="G71" s="2" t="s">
        <v>165</v>
      </c>
      <c r="H71" s="2">
        <v>26</v>
      </c>
      <c r="I71" s="2">
        <v>3</v>
      </c>
    </row>
    <row r="72" spans="1:9" x14ac:dyDescent="0.25">
      <c r="A72" s="2">
        <v>71</v>
      </c>
      <c r="B72" s="2" t="s">
        <v>166</v>
      </c>
      <c r="C72" s="2">
        <v>23</v>
      </c>
      <c r="D72" s="2" t="s">
        <v>8</v>
      </c>
      <c r="E72" s="2" t="s">
        <v>38</v>
      </c>
      <c r="F72" s="2"/>
      <c r="G72" s="2" t="s">
        <v>167</v>
      </c>
      <c r="H72" s="2">
        <v>0</v>
      </c>
      <c r="I72" s="2">
        <v>0</v>
      </c>
    </row>
    <row r="73" spans="1:9" x14ac:dyDescent="0.25">
      <c r="A73" s="2">
        <v>72</v>
      </c>
      <c r="B73" s="2" t="s">
        <v>168</v>
      </c>
      <c r="C73" s="2">
        <v>23</v>
      </c>
      <c r="D73" s="2" t="s">
        <v>14</v>
      </c>
      <c r="E73" s="2" t="s">
        <v>60</v>
      </c>
      <c r="F73" s="2" t="s">
        <v>41</v>
      </c>
      <c r="G73" s="2" t="s">
        <v>169</v>
      </c>
      <c r="H73" s="2">
        <v>17</v>
      </c>
      <c r="I73" s="2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0078-9EB8-4250-9292-26284B836C60}">
  <dimension ref="B2:X78"/>
  <sheetViews>
    <sheetView topLeftCell="D44" zoomScale="77" zoomScaleNormal="77" workbookViewId="0">
      <selection activeCell="Q7" sqref="Q7:Q69"/>
    </sheetView>
  </sheetViews>
  <sheetFormatPr baseColWidth="10" defaultRowHeight="15" x14ac:dyDescent="0.25"/>
  <cols>
    <col min="2" max="2" width="32.42578125" bestFit="1" customWidth="1"/>
    <col min="3" max="3" width="28.85546875" bestFit="1" customWidth="1"/>
    <col min="4" max="4" width="41" bestFit="1" customWidth="1"/>
    <col min="6" max="6" width="8.140625" bestFit="1" customWidth="1"/>
    <col min="17" max="18" width="15.5703125" bestFit="1" customWidth="1"/>
    <col min="20" max="20" width="13.140625" bestFit="1" customWidth="1"/>
    <col min="21" max="21" width="13.5703125" bestFit="1" customWidth="1"/>
    <col min="23" max="23" width="13.5703125" bestFit="1" customWidth="1"/>
    <col min="24" max="24" width="13.140625" bestFit="1" customWidth="1"/>
  </cols>
  <sheetData>
    <row r="2" spans="2:24" ht="15.75" thickBot="1" x14ac:dyDescent="0.3"/>
    <row r="3" spans="2:24" ht="15.75" thickBot="1" x14ac:dyDescent="0.3">
      <c r="B3" s="24" t="s">
        <v>174</v>
      </c>
      <c r="C3" s="25"/>
      <c r="D3" s="26"/>
    </row>
    <row r="4" spans="2:24" ht="15.75" thickBot="1" x14ac:dyDescent="0.3">
      <c r="B4" s="16"/>
      <c r="C4" s="21" t="str">
        <f>Sheet1!H1</f>
        <v>Tiempo de juego semana (min)</v>
      </c>
      <c r="D4" s="21" t="str">
        <f>Sheet1!I1</f>
        <v>Tiempo de juego promedio diario (min)</v>
      </c>
    </row>
    <row r="5" spans="2:24" ht="15.75" thickBot="1" x14ac:dyDescent="0.3">
      <c r="B5" s="17" t="s">
        <v>171</v>
      </c>
      <c r="C5" s="18">
        <f>SUM(Sheet1!H2:H73)/Sheet1!A73</f>
        <v>115.0789351851852</v>
      </c>
      <c r="D5" s="19">
        <f>SUM(Sheet1!I2:I73)/Sheet1!A73</f>
        <v>16.53263888888889</v>
      </c>
      <c r="F5" t="s">
        <v>184</v>
      </c>
      <c r="G5" s="1" t="s">
        <v>170</v>
      </c>
      <c r="H5" s="5" t="s">
        <v>182</v>
      </c>
      <c r="Q5" t="s">
        <v>183</v>
      </c>
    </row>
    <row r="6" spans="2:24" ht="15.75" thickBot="1" x14ac:dyDescent="0.3">
      <c r="B6" s="17" t="s">
        <v>172</v>
      </c>
      <c r="C6" s="18">
        <f>MEDIAN(Q7:Q78)</f>
        <v>1</v>
      </c>
      <c r="D6" s="19">
        <f>MEDIAN(R7:R78)</f>
        <v>0</v>
      </c>
      <c r="F6" s="2">
        <v>1</v>
      </c>
      <c r="G6" s="2">
        <v>34</v>
      </c>
      <c r="H6" s="2">
        <v>4</v>
      </c>
      <c r="P6" t="s">
        <v>184</v>
      </c>
      <c r="Q6" s="1" t="s">
        <v>170</v>
      </c>
      <c r="R6" s="5" t="s">
        <v>182</v>
      </c>
      <c r="T6" t="s">
        <v>193</v>
      </c>
      <c r="U6" t="s">
        <v>192</v>
      </c>
      <c r="W6" t="s">
        <v>194</v>
      </c>
      <c r="X6" t="s">
        <v>195</v>
      </c>
    </row>
    <row r="7" spans="2:24" ht="15.75" thickBot="1" x14ac:dyDescent="0.3">
      <c r="B7" s="17" t="s">
        <v>173</v>
      </c>
      <c r="C7" s="18">
        <f>_xlfn.MODE.SNGL(Sheet1!H2:H73)</f>
        <v>0</v>
      </c>
      <c r="D7" s="19">
        <f>_xlfn.MODE.SNGL(Sheet1!I2:I73)</f>
        <v>0</v>
      </c>
      <c r="F7" s="2">
        <v>2</v>
      </c>
      <c r="G7" s="2">
        <v>0</v>
      </c>
      <c r="H7" s="2">
        <v>0</v>
      </c>
      <c r="P7" s="2">
        <v>1</v>
      </c>
      <c r="Q7" s="2">
        <v>0</v>
      </c>
      <c r="R7" s="2">
        <v>0</v>
      </c>
      <c r="T7">
        <v>0</v>
      </c>
      <c r="U7">
        <f>COUNTIF(Q7:Q78,Q7)</f>
        <v>35</v>
      </c>
      <c r="W7">
        <f>U7*(T7-$C$5)^3</f>
        <v>-53340311.625210509</v>
      </c>
      <c r="X7">
        <f>U7*(T7-$C$5)^4</f>
        <v>6138346264.2751808</v>
      </c>
    </row>
    <row r="8" spans="2:24" ht="15.75" thickBot="1" x14ac:dyDescent="0.3">
      <c r="F8" s="2">
        <v>3</v>
      </c>
      <c r="G8" s="2">
        <f>(4*60)+33</f>
        <v>273</v>
      </c>
      <c r="H8" s="2">
        <v>39</v>
      </c>
      <c r="P8" s="2">
        <v>2</v>
      </c>
      <c r="Q8" s="2">
        <v>0</v>
      </c>
      <c r="R8" s="2">
        <v>0</v>
      </c>
      <c r="T8">
        <v>1</v>
      </c>
      <c r="U8">
        <f>COUNTIF(Q7:Q78,Q42)</f>
        <v>2</v>
      </c>
      <c r="W8">
        <f t="shared" ref="W8:W41" si="0">U8*(T8-$C$5)^3</f>
        <v>-2969247.3128258609</v>
      </c>
      <c r="X8">
        <f t="shared" ref="X8:X41" si="1">U8*(T8-$C$5)^4</f>
        <v>338728571.74864668</v>
      </c>
    </row>
    <row r="9" spans="2:24" ht="15.75" thickBot="1" x14ac:dyDescent="0.3">
      <c r="B9" s="24" t="s">
        <v>185</v>
      </c>
      <c r="C9" s="25"/>
      <c r="D9" s="26"/>
      <c r="F9" s="2">
        <v>4</v>
      </c>
      <c r="G9" s="2">
        <v>13</v>
      </c>
      <c r="H9" s="2">
        <v>6</v>
      </c>
      <c r="P9" s="2">
        <v>3</v>
      </c>
      <c r="Q9" s="2">
        <v>0</v>
      </c>
      <c r="R9" s="2">
        <v>0</v>
      </c>
      <c r="T9">
        <v>3</v>
      </c>
      <c r="U9">
        <f>COUNTIF(Q7:Q78,Q44)</f>
        <v>2</v>
      </c>
      <c r="W9">
        <f t="shared" si="0"/>
        <v>-2815801.1658344772</v>
      </c>
      <c r="X9">
        <f t="shared" si="1"/>
        <v>315591996.35993135</v>
      </c>
    </row>
    <row r="10" spans="2:24" ht="15.75" thickBot="1" x14ac:dyDescent="0.3">
      <c r="B10" s="22"/>
      <c r="C10" s="20" t="str">
        <f>Sheet1!H1</f>
        <v>Tiempo de juego semana (min)</v>
      </c>
      <c r="D10" s="20" t="str">
        <f>Sheet1!I1</f>
        <v>Tiempo de juego promedio diario (min)</v>
      </c>
      <c r="F10" s="2">
        <v>5</v>
      </c>
      <c r="G10" s="2">
        <v>0</v>
      </c>
      <c r="H10" s="2">
        <v>0</v>
      </c>
      <c r="P10" s="2">
        <v>4</v>
      </c>
      <c r="Q10" s="2">
        <v>0</v>
      </c>
      <c r="R10" s="2">
        <v>0</v>
      </c>
      <c r="T10">
        <v>5</v>
      </c>
      <c r="U10">
        <f>COUNTIF(Q7:Q78,Q46)</f>
        <v>2</v>
      </c>
      <c r="W10">
        <f t="shared" si="0"/>
        <v>-2667734.8077319823</v>
      </c>
      <c r="X10">
        <f t="shared" si="1"/>
        <v>293661406.99159139</v>
      </c>
    </row>
    <row r="11" spans="2:24" ht="15.75" thickBot="1" x14ac:dyDescent="0.3">
      <c r="B11" s="8" t="s">
        <v>175</v>
      </c>
      <c r="C11">
        <f>C13-C12</f>
        <v>2325</v>
      </c>
      <c r="D11" s="12">
        <f>D13-D12</f>
        <v>332</v>
      </c>
      <c r="F11" s="2">
        <v>6</v>
      </c>
      <c r="G11" s="2">
        <f>(2*60)+29</f>
        <v>149</v>
      </c>
      <c r="H11" s="2">
        <v>21</v>
      </c>
      <c r="P11" s="2">
        <v>5</v>
      </c>
      <c r="Q11" s="2">
        <v>0</v>
      </c>
      <c r="R11" s="2">
        <v>0</v>
      </c>
      <c r="T11">
        <v>8</v>
      </c>
      <c r="U11">
        <f>COUNTIF(Q7:Q78,Q48)</f>
        <v>1</v>
      </c>
      <c r="W11">
        <f t="shared" si="0"/>
        <v>-1227756.1873724533</v>
      </c>
      <c r="X11">
        <f t="shared" si="1"/>
        <v>131466825.21086504</v>
      </c>
    </row>
    <row r="12" spans="2:24" x14ac:dyDescent="0.25">
      <c r="B12" s="8" t="s">
        <v>186</v>
      </c>
      <c r="C12" s="9">
        <f>MIN(G6:G77)</f>
        <v>0</v>
      </c>
      <c r="D12" s="10">
        <f>MIN(H6:H77)</f>
        <v>0</v>
      </c>
      <c r="F12" s="2">
        <v>7</v>
      </c>
      <c r="G12" s="2">
        <v>0</v>
      </c>
      <c r="H12" s="2">
        <v>0</v>
      </c>
      <c r="P12" s="2">
        <v>6</v>
      </c>
      <c r="Q12" s="2">
        <v>0</v>
      </c>
      <c r="R12" s="2">
        <v>0</v>
      </c>
      <c r="T12" s="2">
        <v>11</v>
      </c>
      <c r="U12">
        <f>COUNTIF(Q7:Q78,T12)</f>
        <v>1</v>
      </c>
      <c r="W12">
        <f t="shared" si="0"/>
        <v>-1127427.2333789153</v>
      </c>
      <c r="X12">
        <f t="shared" si="1"/>
        <v>117341425.9488568</v>
      </c>
    </row>
    <row r="13" spans="2:24" x14ac:dyDescent="0.25">
      <c r="B13" s="11" t="s">
        <v>187</v>
      </c>
      <c r="C13">
        <f>MAX(G6:G77)</f>
        <v>2325</v>
      </c>
      <c r="D13" s="12">
        <f>MAX(H6:H77)</f>
        <v>332</v>
      </c>
      <c r="F13" s="2">
        <v>8</v>
      </c>
      <c r="G13" s="2">
        <f>(5*60)+53</f>
        <v>353</v>
      </c>
      <c r="H13" s="2">
        <v>50</v>
      </c>
      <c r="P13" s="2">
        <v>7</v>
      </c>
      <c r="Q13" s="2">
        <v>0</v>
      </c>
      <c r="R13" s="2">
        <v>0</v>
      </c>
      <c r="T13" s="2">
        <v>13</v>
      </c>
      <c r="U13">
        <f t="shared" ref="U13:U41" si="2">COUNTIF(Q8:Q79,T13)</f>
        <v>1</v>
      </c>
      <c r="W13">
        <f t="shared" si="0"/>
        <v>-1063673.6321054457</v>
      </c>
      <c r="X13">
        <f t="shared" si="1"/>
        <v>108578671.74988234</v>
      </c>
    </row>
    <row r="14" spans="2:24" x14ac:dyDescent="0.25">
      <c r="B14" s="11"/>
      <c r="D14" s="12"/>
      <c r="F14" s="2">
        <v>9</v>
      </c>
      <c r="G14" s="2">
        <f>(3*60)+49</f>
        <v>229</v>
      </c>
      <c r="H14" s="2">
        <v>32</v>
      </c>
      <c r="P14" s="2">
        <v>8</v>
      </c>
      <c r="Q14" s="2">
        <v>0</v>
      </c>
      <c r="R14" s="2">
        <v>0</v>
      </c>
      <c r="T14" s="2">
        <v>17</v>
      </c>
      <c r="U14">
        <f t="shared" si="2"/>
        <v>1</v>
      </c>
      <c r="W14">
        <f t="shared" si="0"/>
        <v>-943468.11289183982</v>
      </c>
      <c r="X14">
        <f t="shared" si="1"/>
        <v>92534347.893607765</v>
      </c>
    </row>
    <row r="15" spans="2:24" x14ac:dyDescent="0.25">
      <c r="B15" s="11" t="s">
        <v>176</v>
      </c>
      <c r="C15">
        <f>C20-C18</f>
        <v>-140</v>
      </c>
      <c r="D15" s="12">
        <f>D20-D18</f>
        <v>-19.775000000000002</v>
      </c>
      <c r="F15" s="2">
        <v>10</v>
      </c>
      <c r="G15" s="2">
        <v>0</v>
      </c>
      <c r="H15" s="2">
        <v>0</v>
      </c>
      <c r="P15" s="2">
        <v>9</v>
      </c>
      <c r="Q15" s="2">
        <v>0</v>
      </c>
      <c r="R15" s="2">
        <v>0</v>
      </c>
      <c r="T15" s="2">
        <v>21</v>
      </c>
      <c r="U15">
        <f t="shared" si="2"/>
        <v>1</v>
      </c>
      <c r="W15">
        <f t="shared" si="0"/>
        <v>-832678.17145601159</v>
      </c>
      <c r="X15">
        <f t="shared" si="1"/>
        <v>78337475.722528651</v>
      </c>
    </row>
    <row r="16" spans="2:24" x14ac:dyDescent="0.25">
      <c r="B16" s="11"/>
      <c r="D16" s="12"/>
      <c r="F16" s="2">
        <v>11</v>
      </c>
      <c r="G16" s="3">
        <f>11/60</f>
        <v>0.18333333333333332</v>
      </c>
      <c r="H16" s="3">
        <f>1/60</f>
        <v>1.6666666666666666E-2</v>
      </c>
      <c r="P16" s="2">
        <v>10</v>
      </c>
      <c r="Q16" s="2">
        <v>0</v>
      </c>
      <c r="R16" s="2">
        <v>0</v>
      </c>
      <c r="T16" s="2">
        <v>26</v>
      </c>
      <c r="U16">
        <f t="shared" si="2"/>
        <v>1</v>
      </c>
      <c r="W16">
        <f t="shared" si="0"/>
        <v>-706846.40091122629</v>
      </c>
      <c r="X16">
        <f t="shared" si="1"/>
        <v>62965124.732652552</v>
      </c>
    </row>
    <row r="17" spans="2:24" x14ac:dyDescent="0.25">
      <c r="B17" s="11" t="s">
        <v>188</v>
      </c>
      <c r="C17">
        <f>1*((72+1)/4)</f>
        <v>18.25</v>
      </c>
      <c r="D17" s="12">
        <f>1*((72+1)/4)</f>
        <v>18.25</v>
      </c>
      <c r="F17" s="2">
        <v>12</v>
      </c>
      <c r="G17" s="2">
        <v>0</v>
      </c>
      <c r="H17" s="2">
        <v>0</v>
      </c>
      <c r="P17" s="2">
        <v>11</v>
      </c>
      <c r="Q17" s="2">
        <v>0</v>
      </c>
      <c r="R17" s="2">
        <v>0</v>
      </c>
      <c r="T17" s="2">
        <v>29</v>
      </c>
      <c r="U17">
        <f t="shared" si="2"/>
        <v>1</v>
      </c>
      <c r="W17">
        <f t="shared" si="0"/>
        <v>-637809.02191768843</v>
      </c>
      <c r="X17">
        <f t="shared" si="1"/>
        <v>54901921.458179079</v>
      </c>
    </row>
    <row r="18" spans="2:24" x14ac:dyDescent="0.25">
      <c r="B18" s="11" t="s">
        <v>189</v>
      </c>
      <c r="C18">
        <f>G23+(C17-$F$23)*(G24-G23)</f>
        <v>140</v>
      </c>
      <c r="D18" s="12">
        <f>H23+(D17-$F$23)*(H24-H23)</f>
        <v>19.775000000000002</v>
      </c>
      <c r="F18" s="2">
        <v>13</v>
      </c>
      <c r="G18" s="3">
        <f>10/60</f>
        <v>0.16666666666666666</v>
      </c>
      <c r="H18" s="3">
        <f>1/60</f>
        <v>1.6666666666666666E-2</v>
      </c>
      <c r="P18" s="2">
        <v>12</v>
      </c>
      <c r="Q18" s="2">
        <v>0</v>
      </c>
      <c r="R18" s="2">
        <v>0</v>
      </c>
      <c r="T18" s="2">
        <v>34</v>
      </c>
      <c r="U18">
        <f t="shared" si="2"/>
        <v>1</v>
      </c>
      <c r="W18">
        <f t="shared" si="0"/>
        <v>-532996.19581734762</v>
      </c>
      <c r="X18">
        <f t="shared" si="1"/>
        <v>43214764.014625005</v>
      </c>
    </row>
    <row r="19" spans="2:24" x14ac:dyDescent="0.25">
      <c r="B19" s="11" t="s">
        <v>190</v>
      </c>
      <c r="C19">
        <f>3*((72+1)/4)</f>
        <v>54.75</v>
      </c>
      <c r="D19" s="12">
        <f>3*((72+1)/4)</f>
        <v>54.75</v>
      </c>
      <c r="F19" s="2">
        <v>14</v>
      </c>
      <c r="G19" s="2">
        <v>3</v>
      </c>
      <c r="H19" s="2">
        <f>33/60</f>
        <v>0.55000000000000004</v>
      </c>
      <c r="P19" s="2">
        <v>13</v>
      </c>
      <c r="Q19" s="2">
        <v>0</v>
      </c>
      <c r="R19" s="2">
        <v>0</v>
      </c>
      <c r="T19" s="2">
        <v>35</v>
      </c>
      <c r="U19">
        <f t="shared" si="2"/>
        <v>1</v>
      </c>
      <c r="W19">
        <f t="shared" si="0"/>
        <v>-513517.05143061274</v>
      </c>
      <c r="X19">
        <f t="shared" si="1"/>
        <v>41121898.677999452</v>
      </c>
    </row>
    <row r="20" spans="2:24" ht="15.75" thickBot="1" x14ac:dyDescent="0.3">
      <c r="B20" s="13" t="s">
        <v>191</v>
      </c>
      <c r="C20" s="14">
        <f>G59+(C19-$F$59)*(G60-G59)</f>
        <v>0</v>
      </c>
      <c r="D20" s="15">
        <f>H59+(D19-$F$59)*(H60-H59)</f>
        <v>0</v>
      </c>
      <c r="F20" s="2">
        <v>15</v>
      </c>
      <c r="G20" s="2">
        <v>1</v>
      </c>
      <c r="H20" s="3">
        <f>10/60</f>
        <v>0.16666666666666666</v>
      </c>
      <c r="P20" s="2">
        <v>14</v>
      </c>
      <c r="Q20" s="2">
        <v>0</v>
      </c>
      <c r="R20" s="2">
        <v>0</v>
      </c>
      <c r="T20" s="2">
        <v>37</v>
      </c>
      <c r="U20">
        <f t="shared" si="2"/>
        <v>1</v>
      </c>
      <c r="W20">
        <f t="shared" si="0"/>
        <v>-475994.18349047645</v>
      </c>
      <c r="X20">
        <f t="shared" si="1"/>
        <v>37165119.001278058</v>
      </c>
    </row>
    <row r="21" spans="2:24" ht="15.75" thickBot="1" x14ac:dyDescent="0.3">
      <c r="B21" s="17" t="s">
        <v>177</v>
      </c>
      <c r="C21" s="18">
        <f>_xlfn.STDEV.S(G6:G77)</f>
        <v>316.86513675442347</v>
      </c>
      <c r="D21" s="19">
        <f>_xlfn.STDEV.S(H6:H77)</f>
        <v>45.319786055520538</v>
      </c>
      <c r="F21" s="2">
        <v>16</v>
      </c>
      <c r="G21" s="2">
        <v>11</v>
      </c>
      <c r="H21" s="2">
        <v>1</v>
      </c>
      <c r="P21" s="2">
        <v>15</v>
      </c>
      <c r="Q21" s="2">
        <v>0</v>
      </c>
      <c r="R21" s="2">
        <v>0</v>
      </c>
      <c r="T21" s="2">
        <v>49</v>
      </c>
      <c r="U21">
        <f t="shared" si="2"/>
        <v>1</v>
      </c>
      <c r="W21">
        <f t="shared" si="0"/>
        <v>-288528.75918299181</v>
      </c>
      <c r="X21">
        <f t="shared" si="1"/>
        <v>19065673.177114829</v>
      </c>
    </row>
    <row r="22" spans="2:24" ht="15.75" thickBot="1" x14ac:dyDescent="0.3">
      <c r="B22" s="17" t="s">
        <v>178</v>
      </c>
      <c r="C22" s="18">
        <f>_xlfn.VAR.S(G6:G77)</f>
        <v>100403.51489039949</v>
      </c>
      <c r="D22" s="19">
        <f>_xlfn.VAR.S(H6:H77)</f>
        <v>2053.8830081181536</v>
      </c>
      <c r="F22" s="2">
        <v>17</v>
      </c>
      <c r="G22" s="2">
        <v>0</v>
      </c>
      <c r="H22" s="2">
        <v>0</v>
      </c>
      <c r="P22" s="2">
        <v>16</v>
      </c>
      <c r="Q22" s="2">
        <v>0</v>
      </c>
      <c r="R22" s="2">
        <v>0</v>
      </c>
      <c r="T22" s="2">
        <v>51</v>
      </c>
      <c r="U22">
        <f t="shared" si="2"/>
        <v>1</v>
      </c>
      <c r="W22">
        <f t="shared" si="0"/>
        <v>-263115.15235396655</v>
      </c>
      <c r="X22">
        <f t="shared" si="1"/>
        <v>16860138.793929953</v>
      </c>
    </row>
    <row r="23" spans="2:24" x14ac:dyDescent="0.25">
      <c r="F23" s="7">
        <v>18</v>
      </c>
      <c r="G23" s="3">
        <f>20/60</f>
        <v>0.33333333333333331</v>
      </c>
      <c r="H23" s="3">
        <f>2/60</f>
        <v>3.3333333333333333E-2</v>
      </c>
      <c r="P23" s="2">
        <v>17</v>
      </c>
      <c r="Q23" s="2">
        <v>0</v>
      </c>
      <c r="R23" s="2">
        <v>0</v>
      </c>
      <c r="T23" s="2">
        <f>60+9</f>
        <v>69</v>
      </c>
      <c r="U23">
        <f t="shared" si="2"/>
        <v>1</v>
      </c>
      <c r="W23">
        <f t="shared" si="0"/>
        <v>-97837.940892739643</v>
      </c>
      <c r="X23">
        <f t="shared" si="1"/>
        <v>4508268.1370485313</v>
      </c>
    </row>
    <row r="24" spans="2:24" x14ac:dyDescent="0.25">
      <c r="B24" s="27" t="s">
        <v>179</v>
      </c>
      <c r="C24" s="27"/>
      <c r="D24" s="27"/>
      <c r="F24" s="2">
        <v>19</v>
      </c>
      <c r="G24" s="2">
        <f>(9*60)+19</f>
        <v>559</v>
      </c>
      <c r="H24" s="2">
        <f>(1*60)+19</f>
        <v>79</v>
      </c>
      <c r="P24" s="7">
        <v>18</v>
      </c>
      <c r="Q24" s="2">
        <v>0</v>
      </c>
      <c r="R24" s="2">
        <v>0</v>
      </c>
      <c r="T24" s="2">
        <f>60+26</f>
        <v>86</v>
      </c>
      <c r="U24">
        <f t="shared" si="2"/>
        <v>1</v>
      </c>
      <c r="W24">
        <f t="shared" si="0"/>
        <v>-24588.696040469771</v>
      </c>
      <c r="X24">
        <f t="shared" si="1"/>
        <v>715013.09844904044</v>
      </c>
    </row>
    <row r="25" spans="2:24" x14ac:dyDescent="0.25">
      <c r="C25" t="str">
        <f>Sheet1!H1</f>
        <v>Tiempo de juego semana (min)</v>
      </c>
      <c r="D25" t="str">
        <f>Sheet1!I1</f>
        <v>Tiempo de juego promedio diario (min)</v>
      </c>
      <c r="F25" s="2">
        <v>20</v>
      </c>
      <c r="G25" s="2">
        <v>0</v>
      </c>
      <c r="H25" s="2">
        <v>0</v>
      </c>
      <c r="P25" s="2">
        <v>19</v>
      </c>
      <c r="Q25" s="2">
        <v>0</v>
      </c>
      <c r="R25" s="2">
        <v>0</v>
      </c>
      <c r="T25" s="2">
        <f>60+43</f>
        <v>103</v>
      </c>
      <c r="U25">
        <f t="shared" si="2"/>
        <v>1</v>
      </c>
      <c r="W25">
        <f t="shared" si="0"/>
        <v>-1762.3247993110429</v>
      </c>
      <c r="X25">
        <f t="shared" si="1"/>
        <v>21287.007026122603</v>
      </c>
    </row>
    <row r="26" spans="2:24" x14ac:dyDescent="0.25">
      <c r="B26" t="s">
        <v>180</v>
      </c>
      <c r="C26" t="s">
        <v>197</v>
      </c>
      <c r="F26" s="2">
        <v>21</v>
      </c>
      <c r="G26" s="2">
        <f>(9*60)+32</f>
        <v>572</v>
      </c>
      <c r="H26" s="2">
        <f>60+21</f>
        <v>81</v>
      </c>
      <c r="P26" s="2">
        <v>20</v>
      </c>
      <c r="Q26" s="2">
        <v>0</v>
      </c>
      <c r="R26" s="2">
        <v>0</v>
      </c>
      <c r="T26" s="2">
        <f>(2*60)+29</f>
        <v>149</v>
      </c>
      <c r="U26">
        <f t="shared" si="2"/>
        <v>1</v>
      </c>
      <c r="W26">
        <f t="shared" si="0"/>
        <v>39030.887823824196</v>
      </c>
      <c r="X26">
        <f t="shared" si="1"/>
        <v>1323969.2756517061</v>
      </c>
    </row>
    <row r="27" spans="2:24" x14ac:dyDescent="0.25">
      <c r="B27" t="s">
        <v>181</v>
      </c>
      <c r="C27" t="s">
        <v>196</v>
      </c>
      <c r="F27" s="2">
        <v>22</v>
      </c>
      <c r="G27" s="2">
        <v>0</v>
      </c>
      <c r="H27" s="2">
        <v>0</v>
      </c>
      <c r="P27" s="2">
        <v>21</v>
      </c>
      <c r="Q27" s="2">
        <v>0</v>
      </c>
      <c r="R27" s="2">
        <v>0</v>
      </c>
      <c r="T27" s="2">
        <f>(2*60)+51</f>
        <v>171</v>
      </c>
      <c r="U27">
        <f t="shared" si="2"/>
        <v>1</v>
      </c>
      <c r="W27">
        <f t="shared" si="0"/>
        <v>174874.42405421246</v>
      </c>
      <c r="X27">
        <f t="shared" si="1"/>
        <v>9779164.0019890238</v>
      </c>
    </row>
    <row r="28" spans="2:24" x14ac:dyDescent="0.25">
      <c r="F28" s="2">
        <v>23</v>
      </c>
      <c r="G28" s="2">
        <v>0</v>
      </c>
      <c r="H28" s="2">
        <v>0</v>
      </c>
      <c r="P28" s="2">
        <v>22</v>
      </c>
      <c r="Q28" s="2">
        <v>0</v>
      </c>
      <c r="R28" s="2">
        <v>0</v>
      </c>
      <c r="T28" s="2">
        <f>(3*60)+7</f>
        <v>187</v>
      </c>
      <c r="U28">
        <f t="shared" si="2"/>
        <v>1</v>
      </c>
      <c r="W28">
        <f t="shared" si="0"/>
        <v>372021.74535308068</v>
      </c>
      <c r="X28">
        <f t="shared" si="1"/>
        <v>26756200.060059443</v>
      </c>
    </row>
    <row r="29" spans="2:24" x14ac:dyDescent="0.25">
      <c r="F29" s="2">
        <v>24</v>
      </c>
      <c r="G29" s="2">
        <f>(3*60)+7</f>
        <v>187</v>
      </c>
      <c r="H29" s="2">
        <v>26</v>
      </c>
      <c r="P29" s="2">
        <v>23</v>
      </c>
      <c r="Q29" s="2">
        <v>0</v>
      </c>
      <c r="R29" s="2">
        <v>0</v>
      </c>
      <c r="T29" s="2">
        <f>(3*60)+30</f>
        <v>210</v>
      </c>
      <c r="U29">
        <f t="shared" si="2"/>
        <v>1</v>
      </c>
      <c r="W29">
        <f t="shared" si="0"/>
        <v>855239.60513687041</v>
      </c>
      <c r="X29">
        <f t="shared" si="1"/>
        <v>81180253.991393492</v>
      </c>
    </row>
    <row r="30" spans="2:24" x14ac:dyDescent="0.25">
      <c r="F30" s="2">
        <v>25</v>
      </c>
      <c r="G30" s="2">
        <f>(6*60)+3</f>
        <v>363</v>
      </c>
      <c r="H30" s="2">
        <v>51</v>
      </c>
      <c r="P30" s="2">
        <v>24</v>
      </c>
      <c r="Q30" s="2">
        <v>0</v>
      </c>
      <c r="R30" s="2">
        <v>0</v>
      </c>
      <c r="T30" s="2">
        <f>(3*60)+33</f>
        <v>213</v>
      </c>
      <c r="U30">
        <f t="shared" si="2"/>
        <v>1</v>
      </c>
      <c r="W30">
        <f t="shared" si="0"/>
        <v>938919.55079707492</v>
      </c>
      <c r="X30">
        <f t="shared" si="1"/>
        <v>91940002.189497173</v>
      </c>
    </row>
    <row r="31" spans="2:24" x14ac:dyDescent="0.25">
      <c r="F31" s="2">
        <v>26</v>
      </c>
      <c r="G31" s="2">
        <v>0</v>
      </c>
      <c r="H31" s="2">
        <v>0</v>
      </c>
      <c r="P31" s="2">
        <v>25</v>
      </c>
      <c r="Q31" s="2">
        <v>0</v>
      </c>
      <c r="R31" s="2">
        <v>0</v>
      </c>
      <c r="T31" s="2">
        <f>(3*60)+49</f>
        <v>229</v>
      </c>
      <c r="U31">
        <f t="shared" si="2"/>
        <v>1</v>
      </c>
      <c r="W31">
        <f t="shared" si="0"/>
        <v>1478468.6054292764</v>
      </c>
      <c r="X31">
        <f t="shared" si="1"/>
        <v>168428717.82577741</v>
      </c>
    </row>
    <row r="32" spans="2:24" x14ac:dyDescent="0.25">
      <c r="F32" s="2">
        <v>27</v>
      </c>
      <c r="G32" s="2">
        <v>51</v>
      </c>
      <c r="H32" s="2">
        <v>7</v>
      </c>
      <c r="P32" s="2">
        <v>26</v>
      </c>
      <c r="Q32" s="2">
        <v>0</v>
      </c>
      <c r="R32" s="2">
        <v>0</v>
      </c>
      <c r="T32" s="2">
        <f>(4*60)+33</f>
        <v>273</v>
      </c>
      <c r="U32">
        <f t="shared" si="2"/>
        <v>1</v>
      </c>
      <c r="W32">
        <f t="shared" si="0"/>
        <v>3938403.3390011634</v>
      </c>
      <c r="X32">
        <f t="shared" si="1"/>
        <v>621956848.96528578</v>
      </c>
    </row>
    <row r="33" spans="6:24" x14ac:dyDescent="0.25">
      <c r="F33" s="2">
        <v>28</v>
      </c>
      <c r="G33" s="2">
        <v>0</v>
      </c>
      <c r="H33" s="2">
        <v>0</v>
      </c>
      <c r="P33" s="2">
        <v>27</v>
      </c>
      <c r="Q33" s="2">
        <v>0</v>
      </c>
      <c r="R33" s="2">
        <v>0</v>
      </c>
      <c r="T33" s="2">
        <f>(4*60)+48</f>
        <v>288</v>
      </c>
      <c r="U33">
        <f t="shared" si="2"/>
        <v>1</v>
      </c>
      <c r="W33">
        <f t="shared" si="0"/>
        <v>5170632.879802186</v>
      </c>
      <c r="X33">
        <f t="shared" si="1"/>
        <v>894111343.3418864</v>
      </c>
    </row>
    <row r="34" spans="6:24" x14ac:dyDescent="0.25">
      <c r="F34" s="2">
        <v>29</v>
      </c>
      <c r="G34" s="2">
        <v>29</v>
      </c>
      <c r="H34" s="2">
        <v>4</v>
      </c>
      <c r="P34" s="2">
        <v>28</v>
      </c>
      <c r="Q34" s="2">
        <v>0</v>
      </c>
      <c r="R34" s="2">
        <v>0</v>
      </c>
      <c r="T34" s="2">
        <f>(5*60)+53</f>
        <v>353</v>
      </c>
      <c r="U34">
        <f t="shared" si="2"/>
        <v>1</v>
      </c>
      <c r="W34">
        <f t="shared" si="0"/>
        <v>13467862.834384391</v>
      </c>
      <c r="X34">
        <f t="shared" si="1"/>
        <v>3204288266.3366041</v>
      </c>
    </row>
    <row r="35" spans="6:24" x14ac:dyDescent="0.25">
      <c r="F35" s="2">
        <v>30</v>
      </c>
      <c r="G35" s="2">
        <v>0</v>
      </c>
      <c r="H35" s="2">
        <v>0</v>
      </c>
      <c r="P35" s="2">
        <v>29</v>
      </c>
      <c r="Q35" s="2">
        <v>0</v>
      </c>
      <c r="R35" s="2">
        <v>0</v>
      </c>
      <c r="T35" s="2">
        <f>(5*60)+55</f>
        <v>355</v>
      </c>
      <c r="U35">
        <f t="shared" si="2"/>
        <v>1</v>
      </c>
      <c r="W35">
        <f t="shared" si="0"/>
        <v>13810364.485657861</v>
      </c>
      <c r="X35">
        <f t="shared" si="1"/>
        <v>3313397352.8797359</v>
      </c>
    </row>
    <row r="36" spans="6:24" x14ac:dyDescent="0.25">
      <c r="F36" s="2">
        <v>31</v>
      </c>
      <c r="G36" s="2">
        <v>5</v>
      </c>
      <c r="H36" s="4">
        <f>49/60</f>
        <v>0.81666666666666665</v>
      </c>
      <c r="P36" s="2">
        <v>30</v>
      </c>
      <c r="Q36" s="2">
        <v>0</v>
      </c>
      <c r="R36" s="2">
        <v>0</v>
      </c>
      <c r="T36" s="2">
        <f>(6*60)+3</f>
        <v>363</v>
      </c>
      <c r="U36">
        <f t="shared" si="2"/>
        <v>1</v>
      </c>
      <c r="W36">
        <f t="shared" si="0"/>
        <v>15238432.146307297</v>
      </c>
      <c r="X36">
        <f t="shared" si="1"/>
        <v>3777928323.8208084</v>
      </c>
    </row>
    <row r="37" spans="6:24" x14ac:dyDescent="0.25">
      <c r="F37" s="2">
        <v>32</v>
      </c>
      <c r="G37" s="2">
        <v>0</v>
      </c>
      <c r="H37" s="2">
        <v>0</v>
      </c>
      <c r="P37" s="2">
        <v>31</v>
      </c>
      <c r="Q37" s="2">
        <v>0</v>
      </c>
      <c r="R37" s="2">
        <v>0</v>
      </c>
      <c r="T37" s="2">
        <f>(6*60)+31</f>
        <v>391</v>
      </c>
      <c r="U37">
        <f t="shared" si="2"/>
        <v>1</v>
      </c>
      <c r="W37">
        <f t="shared" si="0"/>
        <v>21006542.25858032</v>
      </c>
      <c r="X37">
        <f t="shared" si="1"/>
        <v>5796147508.064887</v>
      </c>
    </row>
    <row r="38" spans="6:24" x14ac:dyDescent="0.25">
      <c r="F38" s="2">
        <v>33</v>
      </c>
      <c r="G38" s="2">
        <v>0</v>
      </c>
      <c r="H38" s="2">
        <v>0</v>
      </c>
      <c r="P38" s="2">
        <v>32</v>
      </c>
      <c r="Q38" s="2">
        <v>0</v>
      </c>
      <c r="R38" s="2">
        <v>0</v>
      </c>
      <c r="T38" s="2">
        <f>(9*60)+19</f>
        <v>559</v>
      </c>
      <c r="U38">
        <f t="shared" si="2"/>
        <v>1</v>
      </c>
      <c r="W38">
        <f t="shared" si="0"/>
        <v>87481709.398885101</v>
      </c>
      <c r="X38">
        <f t="shared" si="1"/>
        <v>38834973588.173271</v>
      </c>
    </row>
    <row r="39" spans="6:24" x14ac:dyDescent="0.25">
      <c r="F39" s="2">
        <v>34</v>
      </c>
      <c r="G39" s="2">
        <v>0</v>
      </c>
      <c r="H39" s="2">
        <v>0</v>
      </c>
      <c r="P39" s="2">
        <v>33</v>
      </c>
      <c r="Q39" s="6">
        <v>0</v>
      </c>
      <c r="R39" s="6">
        <v>0</v>
      </c>
      <c r="T39" s="2">
        <f>(9*60)+32</f>
        <v>572</v>
      </c>
      <c r="U39">
        <f t="shared" si="2"/>
        <v>1</v>
      </c>
      <c r="W39">
        <f t="shared" si="0"/>
        <v>95394544.938412651</v>
      </c>
      <c r="X39">
        <f t="shared" si="1"/>
        <v>43587777050.78421</v>
      </c>
    </row>
    <row r="40" spans="6:24" x14ac:dyDescent="0.25">
      <c r="F40" s="2">
        <v>35</v>
      </c>
      <c r="G40" s="2">
        <v>0</v>
      </c>
      <c r="H40" s="2">
        <v>0</v>
      </c>
      <c r="P40" s="2">
        <v>34</v>
      </c>
      <c r="Q40" s="6">
        <v>0</v>
      </c>
      <c r="R40" s="6">
        <v>0</v>
      </c>
      <c r="T40" s="2">
        <f>(17*60)+20</f>
        <v>1040</v>
      </c>
      <c r="U40">
        <f t="shared" si="2"/>
        <v>1</v>
      </c>
      <c r="W40">
        <f t="shared" si="0"/>
        <v>791250525.53640461</v>
      </c>
      <c r="X40">
        <f t="shared" si="1"/>
        <v>731844278614.41321</v>
      </c>
    </row>
    <row r="41" spans="6:24" x14ac:dyDescent="0.25">
      <c r="F41" s="2">
        <v>36</v>
      </c>
      <c r="G41" s="2">
        <v>0</v>
      </c>
      <c r="H41" s="2">
        <v>0</v>
      </c>
      <c r="P41" s="2">
        <v>35</v>
      </c>
      <c r="Q41" s="6">
        <v>0</v>
      </c>
      <c r="R41" s="6">
        <v>0</v>
      </c>
      <c r="T41" s="2">
        <f>(38*60)+45</f>
        <v>2325</v>
      </c>
      <c r="U41">
        <f t="shared" si="2"/>
        <v>1</v>
      </c>
      <c r="W41">
        <f t="shared" si="0"/>
        <v>10792704459.295576</v>
      </c>
      <c r="X41">
        <f t="shared" si="1"/>
        <v>23851024930918.078</v>
      </c>
    </row>
    <row r="42" spans="6:24" x14ac:dyDescent="0.25">
      <c r="F42" s="2">
        <v>37</v>
      </c>
      <c r="G42" s="2">
        <f>(4*60)+48</f>
        <v>288</v>
      </c>
      <c r="H42" s="2">
        <v>57</v>
      </c>
      <c r="P42" s="2">
        <v>36</v>
      </c>
      <c r="Q42" s="2">
        <v>1</v>
      </c>
      <c r="R42" s="6">
        <v>0</v>
      </c>
      <c r="W42">
        <f>SUM(W7:W41)</f>
        <v>11772790937.955961</v>
      </c>
      <c r="X42">
        <f>SUM(X7:X41)</f>
        <v>24691174324316.203</v>
      </c>
    </row>
    <row r="43" spans="6:24" x14ac:dyDescent="0.25">
      <c r="F43" s="2">
        <v>38</v>
      </c>
      <c r="G43" s="2">
        <f>60+43</f>
        <v>103</v>
      </c>
      <c r="H43" s="2">
        <v>14</v>
      </c>
      <c r="P43" s="2">
        <v>37</v>
      </c>
      <c r="Q43" s="2">
        <v>1</v>
      </c>
      <c r="R43" s="6">
        <v>0</v>
      </c>
      <c r="W43" s="23">
        <f>72*(C21)^3</f>
        <v>2290634890.298728</v>
      </c>
      <c r="X43" s="23">
        <f>72*(C21)^4</f>
        <v>725822337768.96045</v>
      </c>
    </row>
    <row r="44" spans="6:24" x14ac:dyDescent="0.25">
      <c r="F44" s="2">
        <v>39</v>
      </c>
      <c r="G44" s="2">
        <v>0</v>
      </c>
      <c r="H44" s="2">
        <v>0</v>
      </c>
      <c r="P44" s="2">
        <v>38</v>
      </c>
      <c r="Q44" s="2">
        <v>3</v>
      </c>
      <c r="R44" s="2">
        <v>0</v>
      </c>
    </row>
    <row r="45" spans="6:24" x14ac:dyDescent="0.25">
      <c r="F45" s="2">
        <v>40</v>
      </c>
      <c r="G45" s="2">
        <v>0</v>
      </c>
      <c r="H45" s="2">
        <v>0</v>
      </c>
      <c r="P45" s="2">
        <v>39</v>
      </c>
      <c r="Q45" s="2">
        <v>3</v>
      </c>
      <c r="R45" s="6">
        <v>0</v>
      </c>
    </row>
    <row r="46" spans="6:24" x14ac:dyDescent="0.25">
      <c r="F46" s="2">
        <v>41</v>
      </c>
      <c r="G46" s="2">
        <v>0</v>
      </c>
      <c r="H46" s="2">
        <v>0</v>
      </c>
      <c r="P46" s="2">
        <v>40</v>
      </c>
      <c r="Q46" s="2">
        <v>5</v>
      </c>
      <c r="R46" s="6">
        <v>1</v>
      </c>
    </row>
    <row r="47" spans="6:24" x14ac:dyDescent="0.25">
      <c r="F47" s="2">
        <v>42</v>
      </c>
      <c r="G47" s="2">
        <v>37</v>
      </c>
      <c r="H47" s="2">
        <v>5</v>
      </c>
      <c r="P47" s="2">
        <v>41</v>
      </c>
      <c r="Q47" s="2">
        <v>5</v>
      </c>
      <c r="R47" s="2">
        <v>0</v>
      </c>
    </row>
    <row r="48" spans="6:24" x14ac:dyDescent="0.25">
      <c r="F48" s="2">
        <v>43</v>
      </c>
      <c r="G48" s="2">
        <f>(6*60)+31</f>
        <v>391</v>
      </c>
      <c r="H48" s="2">
        <v>55</v>
      </c>
      <c r="P48" s="2">
        <v>42</v>
      </c>
      <c r="Q48" s="2">
        <v>8</v>
      </c>
      <c r="R48" s="2">
        <v>1</v>
      </c>
    </row>
    <row r="49" spans="6:18" x14ac:dyDescent="0.25">
      <c r="F49" s="2">
        <v>44</v>
      </c>
      <c r="G49" s="2">
        <v>0</v>
      </c>
      <c r="H49" s="2">
        <v>0</v>
      </c>
      <c r="P49" s="2">
        <v>43</v>
      </c>
      <c r="Q49" s="2">
        <v>11</v>
      </c>
      <c r="R49" s="2">
        <v>1</v>
      </c>
    </row>
    <row r="50" spans="6:18" x14ac:dyDescent="0.25">
      <c r="F50" s="2">
        <v>45</v>
      </c>
      <c r="G50" s="2">
        <f>(38*60)+45</f>
        <v>2325</v>
      </c>
      <c r="H50" s="2">
        <f>(5*60)+32</f>
        <v>332</v>
      </c>
      <c r="P50" s="2">
        <v>44</v>
      </c>
      <c r="Q50" s="2">
        <v>13</v>
      </c>
      <c r="R50" s="2">
        <v>6</v>
      </c>
    </row>
    <row r="51" spans="6:18" x14ac:dyDescent="0.25">
      <c r="F51" s="2">
        <v>46</v>
      </c>
      <c r="G51" s="2">
        <v>1</v>
      </c>
      <c r="H51" s="3">
        <f>14/60</f>
        <v>0.23333333333333334</v>
      </c>
      <c r="P51" s="2">
        <v>45</v>
      </c>
      <c r="Q51" s="2">
        <v>17</v>
      </c>
      <c r="R51" s="2">
        <v>2</v>
      </c>
    </row>
    <row r="52" spans="6:18" x14ac:dyDescent="0.25">
      <c r="F52" s="2">
        <v>47</v>
      </c>
      <c r="G52" s="2">
        <f>(2*60)+51</f>
        <v>171</v>
      </c>
      <c r="H52" s="2">
        <v>24</v>
      </c>
      <c r="P52" s="2">
        <v>46</v>
      </c>
      <c r="Q52" s="2">
        <v>21</v>
      </c>
      <c r="R52" s="2">
        <v>3</v>
      </c>
    </row>
    <row r="53" spans="6:18" x14ac:dyDescent="0.25">
      <c r="F53" s="2">
        <v>48</v>
      </c>
      <c r="G53" s="2">
        <f>(3*60)+30</f>
        <v>210</v>
      </c>
      <c r="H53" s="2">
        <v>30</v>
      </c>
      <c r="P53" s="2">
        <v>47</v>
      </c>
      <c r="Q53" s="2">
        <v>26</v>
      </c>
      <c r="R53" s="2">
        <v>3</v>
      </c>
    </row>
    <row r="54" spans="6:18" x14ac:dyDescent="0.25">
      <c r="F54" s="2">
        <v>49</v>
      </c>
      <c r="G54" s="2">
        <v>0</v>
      </c>
      <c r="H54" s="2">
        <v>0</v>
      </c>
      <c r="P54" s="2">
        <v>48</v>
      </c>
      <c r="Q54" s="2">
        <v>29</v>
      </c>
      <c r="R54" s="2">
        <v>4</v>
      </c>
    </row>
    <row r="55" spans="6:18" x14ac:dyDescent="0.25">
      <c r="F55" s="2">
        <v>50</v>
      </c>
      <c r="G55" s="2">
        <f>(5*60)+55</f>
        <v>355</v>
      </c>
      <c r="H55" s="2">
        <v>50</v>
      </c>
      <c r="P55" s="2">
        <v>49</v>
      </c>
      <c r="Q55" s="2">
        <v>34</v>
      </c>
      <c r="R55" s="2">
        <v>4</v>
      </c>
    </row>
    <row r="56" spans="6:18" x14ac:dyDescent="0.25">
      <c r="F56" s="2">
        <v>51</v>
      </c>
      <c r="G56" s="2">
        <v>49</v>
      </c>
      <c r="H56" s="2">
        <v>7</v>
      </c>
      <c r="P56" s="2">
        <v>50</v>
      </c>
      <c r="Q56" s="2">
        <v>35</v>
      </c>
      <c r="R56" s="2">
        <v>5</v>
      </c>
    </row>
    <row r="57" spans="6:18" x14ac:dyDescent="0.25">
      <c r="F57" s="2">
        <v>52</v>
      </c>
      <c r="G57" s="2">
        <f>(3*60)+33</f>
        <v>213</v>
      </c>
      <c r="H57" s="2">
        <v>30</v>
      </c>
      <c r="P57" s="2">
        <v>51</v>
      </c>
      <c r="Q57" s="2">
        <v>37</v>
      </c>
      <c r="R57" s="2">
        <v>5</v>
      </c>
    </row>
    <row r="58" spans="6:18" x14ac:dyDescent="0.25">
      <c r="F58" s="2">
        <v>53</v>
      </c>
      <c r="G58" s="2">
        <f>(17*60)+20</f>
        <v>1040</v>
      </c>
      <c r="H58" s="2">
        <f>(2*60)+28</f>
        <v>148</v>
      </c>
      <c r="P58" s="2">
        <v>52</v>
      </c>
      <c r="Q58" s="2">
        <v>49</v>
      </c>
      <c r="R58" s="6">
        <v>7</v>
      </c>
    </row>
    <row r="59" spans="6:18" x14ac:dyDescent="0.25">
      <c r="F59" s="7">
        <v>54</v>
      </c>
      <c r="G59" s="2">
        <v>0</v>
      </c>
      <c r="H59" s="2">
        <v>0</v>
      </c>
      <c r="P59" s="2">
        <v>53</v>
      </c>
      <c r="Q59" s="2">
        <v>51</v>
      </c>
      <c r="R59" s="2">
        <v>7</v>
      </c>
    </row>
    <row r="60" spans="6:18" x14ac:dyDescent="0.25">
      <c r="F60" s="2">
        <v>55</v>
      </c>
      <c r="G60" s="2">
        <v>0</v>
      </c>
      <c r="H60" s="2">
        <v>0</v>
      </c>
      <c r="P60" s="7">
        <v>54</v>
      </c>
      <c r="Q60" s="2">
        <f>60+9</f>
        <v>69</v>
      </c>
      <c r="R60" s="2">
        <v>9</v>
      </c>
    </row>
    <row r="61" spans="6:18" x14ac:dyDescent="0.25">
      <c r="F61" s="2">
        <v>56</v>
      </c>
      <c r="G61" s="2">
        <v>21</v>
      </c>
      <c r="H61" s="2">
        <v>3</v>
      </c>
      <c r="P61" s="2">
        <v>55</v>
      </c>
      <c r="Q61" s="2">
        <f>60+26</f>
        <v>86</v>
      </c>
      <c r="R61" s="2">
        <v>12</v>
      </c>
    </row>
    <row r="62" spans="6:18" x14ac:dyDescent="0.25">
      <c r="F62" s="2">
        <v>57</v>
      </c>
      <c r="G62" s="2">
        <v>0</v>
      </c>
      <c r="H62" s="2">
        <v>0</v>
      </c>
      <c r="P62" s="2">
        <v>56</v>
      </c>
      <c r="Q62" s="2">
        <f>60+43</f>
        <v>103</v>
      </c>
      <c r="R62" s="2">
        <v>14</v>
      </c>
    </row>
    <row r="63" spans="6:18" x14ac:dyDescent="0.25">
      <c r="F63" s="2">
        <v>58</v>
      </c>
      <c r="G63" s="2">
        <f>60+26</f>
        <v>86</v>
      </c>
      <c r="H63" s="2">
        <v>12</v>
      </c>
      <c r="P63" s="2">
        <v>57</v>
      </c>
      <c r="Q63" s="2">
        <f>(2*60)+29</f>
        <v>149</v>
      </c>
      <c r="R63" s="2">
        <v>21</v>
      </c>
    </row>
    <row r="64" spans="6:18" x14ac:dyDescent="0.25">
      <c r="F64" s="2">
        <v>59</v>
      </c>
      <c r="G64" s="2">
        <v>0</v>
      </c>
      <c r="H64" s="2">
        <v>0</v>
      </c>
      <c r="P64" s="2">
        <v>58</v>
      </c>
      <c r="Q64" s="2">
        <f>(2*60)+51</f>
        <v>171</v>
      </c>
      <c r="R64" s="2">
        <v>24</v>
      </c>
    </row>
    <row r="65" spans="6:18" x14ac:dyDescent="0.25">
      <c r="F65" s="2">
        <v>60</v>
      </c>
      <c r="G65" s="2">
        <v>0</v>
      </c>
      <c r="H65" s="2">
        <v>0</v>
      </c>
      <c r="P65" s="2">
        <v>59</v>
      </c>
      <c r="Q65" s="2">
        <f>(3*60)+7</f>
        <v>187</v>
      </c>
      <c r="R65" s="2">
        <v>26</v>
      </c>
    </row>
    <row r="66" spans="6:18" x14ac:dyDescent="0.25">
      <c r="F66" s="2">
        <v>61</v>
      </c>
      <c r="G66" s="2">
        <v>0</v>
      </c>
      <c r="H66" s="2">
        <v>0</v>
      </c>
      <c r="P66" s="2">
        <v>60</v>
      </c>
      <c r="Q66" s="2">
        <f>(3*60)+30</f>
        <v>210</v>
      </c>
      <c r="R66" s="2">
        <v>30</v>
      </c>
    </row>
    <row r="67" spans="6:18" x14ac:dyDescent="0.25">
      <c r="F67" s="2">
        <v>62</v>
      </c>
      <c r="G67" s="2">
        <v>3</v>
      </c>
      <c r="H67" s="3">
        <f>31/60</f>
        <v>0.51666666666666672</v>
      </c>
      <c r="P67" s="2">
        <v>61</v>
      </c>
      <c r="Q67" s="2">
        <f>(3*60)+33</f>
        <v>213</v>
      </c>
      <c r="R67" s="2">
        <v>30</v>
      </c>
    </row>
    <row r="68" spans="6:18" x14ac:dyDescent="0.25">
      <c r="F68" s="2">
        <v>63</v>
      </c>
      <c r="G68" s="2">
        <v>5</v>
      </c>
      <c r="H68" s="2">
        <v>0</v>
      </c>
      <c r="P68" s="2">
        <v>62</v>
      </c>
      <c r="Q68" s="2">
        <f>(3*60)+49</f>
        <v>229</v>
      </c>
      <c r="R68" s="2">
        <v>32</v>
      </c>
    </row>
    <row r="69" spans="6:18" x14ac:dyDescent="0.25">
      <c r="F69" s="2">
        <v>64</v>
      </c>
      <c r="G69" s="2">
        <v>0</v>
      </c>
      <c r="H69" s="2">
        <v>0</v>
      </c>
      <c r="P69" s="2">
        <v>63</v>
      </c>
      <c r="Q69" s="2">
        <f>(4*60)+33</f>
        <v>273</v>
      </c>
      <c r="R69" s="2">
        <v>39</v>
      </c>
    </row>
    <row r="70" spans="6:18" x14ac:dyDescent="0.25">
      <c r="F70" s="2">
        <v>65</v>
      </c>
      <c r="G70" s="2">
        <v>0</v>
      </c>
      <c r="H70" s="2">
        <v>0</v>
      </c>
      <c r="P70" s="2">
        <v>64</v>
      </c>
      <c r="Q70" s="2">
        <f>(4*60)+48</f>
        <v>288</v>
      </c>
      <c r="R70" s="2">
        <v>57</v>
      </c>
    </row>
    <row r="71" spans="6:18" x14ac:dyDescent="0.25">
      <c r="F71" s="2">
        <v>66</v>
      </c>
      <c r="G71" s="2">
        <f>60+9</f>
        <v>69</v>
      </c>
      <c r="H71" s="2">
        <v>9</v>
      </c>
      <c r="P71" s="2">
        <v>65</v>
      </c>
      <c r="Q71" s="2">
        <f>(5*60)+53</f>
        <v>353</v>
      </c>
      <c r="R71" s="2">
        <v>50</v>
      </c>
    </row>
    <row r="72" spans="6:18" x14ac:dyDescent="0.25">
      <c r="F72" s="2">
        <v>67</v>
      </c>
      <c r="G72" s="2">
        <v>35</v>
      </c>
      <c r="H72" s="2">
        <v>5</v>
      </c>
      <c r="P72" s="2">
        <v>66</v>
      </c>
      <c r="Q72" s="2">
        <f>(5*60)+55</f>
        <v>355</v>
      </c>
      <c r="R72" s="2">
        <v>50</v>
      </c>
    </row>
    <row r="73" spans="6:18" x14ac:dyDescent="0.25">
      <c r="F73" s="2">
        <v>68</v>
      </c>
      <c r="G73" s="2">
        <v>8</v>
      </c>
      <c r="H73" s="2">
        <v>1</v>
      </c>
      <c r="P73" s="2">
        <v>67</v>
      </c>
      <c r="Q73" s="2">
        <f>(6*60)+3</f>
        <v>363</v>
      </c>
      <c r="R73" s="2">
        <v>51</v>
      </c>
    </row>
    <row r="74" spans="6:18" x14ac:dyDescent="0.25">
      <c r="F74" s="2">
        <v>69</v>
      </c>
      <c r="G74" s="2">
        <v>0</v>
      </c>
      <c r="H74" s="2">
        <v>0</v>
      </c>
      <c r="P74" s="2">
        <v>68</v>
      </c>
      <c r="Q74" s="2">
        <f>(6*60)+31</f>
        <v>391</v>
      </c>
      <c r="R74" s="2">
        <v>55</v>
      </c>
    </row>
    <row r="75" spans="6:18" x14ac:dyDescent="0.25">
      <c r="F75" s="2">
        <v>70</v>
      </c>
      <c r="G75" s="2">
        <v>26</v>
      </c>
      <c r="H75" s="2">
        <v>3</v>
      </c>
      <c r="P75" s="2">
        <v>69</v>
      </c>
      <c r="Q75" s="2">
        <f>(9*60)+19</f>
        <v>559</v>
      </c>
      <c r="R75" s="2">
        <f>(1*60)+19</f>
        <v>79</v>
      </c>
    </row>
    <row r="76" spans="6:18" x14ac:dyDescent="0.25">
      <c r="F76" s="2">
        <v>71</v>
      </c>
      <c r="G76" s="2">
        <v>0</v>
      </c>
      <c r="H76" s="2">
        <v>0</v>
      </c>
      <c r="P76" s="2">
        <v>70</v>
      </c>
      <c r="Q76" s="2">
        <f>(9*60)+32</f>
        <v>572</v>
      </c>
      <c r="R76" s="2">
        <f>60+21</f>
        <v>81</v>
      </c>
    </row>
    <row r="77" spans="6:18" x14ac:dyDescent="0.25">
      <c r="F77" s="2">
        <v>72</v>
      </c>
      <c r="G77" s="2">
        <v>17</v>
      </c>
      <c r="H77" s="2">
        <v>2</v>
      </c>
      <c r="P77" s="2">
        <v>71</v>
      </c>
      <c r="Q77" s="2">
        <f>(17*60)+20</f>
        <v>1040</v>
      </c>
      <c r="R77" s="2">
        <f>(2*60)+28</f>
        <v>148</v>
      </c>
    </row>
    <row r="78" spans="6:18" x14ac:dyDescent="0.25">
      <c r="P78" s="2">
        <v>72</v>
      </c>
      <c r="Q78" s="2">
        <f>(38*60)+45</f>
        <v>2325</v>
      </c>
      <c r="R78" s="2">
        <f>(5*60)+32</f>
        <v>332</v>
      </c>
    </row>
  </sheetData>
  <sortState xmlns:xlrd2="http://schemas.microsoft.com/office/spreadsheetml/2017/richdata2" ref="Q7:R78">
    <sortCondition ref="Q7:Q78"/>
  </sortState>
  <mergeCells count="3">
    <mergeCell ref="B3:D3"/>
    <mergeCell ref="B9:D9"/>
    <mergeCell ref="B24:D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DD4D-CA9F-48F4-86B1-6284E0277612}">
  <dimension ref="A3:N75"/>
  <sheetViews>
    <sheetView tabSelected="1" zoomScale="85" zoomScaleNormal="85" workbookViewId="0">
      <selection activeCell="M10" sqref="M10"/>
    </sheetView>
  </sheetViews>
  <sheetFormatPr baseColWidth="10" defaultRowHeight="15" x14ac:dyDescent="0.25"/>
  <cols>
    <col min="13" max="13" width="11.85546875" bestFit="1" customWidth="1"/>
  </cols>
  <sheetData>
    <row r="3" spans="1:14" x14ac:dyDescent="0.25">
      <c r="A3" s="1" t="s">
        <v>170</v>
      </c>
      <c r="B3" s="5" t="s">
        <v>0</v>
      </c>
      <c r="D3" t="s">
        <v>198</v>
      </c>
      <c r="E3">
        <f>3.3*LOG(72+1)</f>
        <v>6.1489654383975045</v>
      </c>
      <c r="F3">
        <v>6</v>
      </c>
    </row>
    <row r="4" spans="1:14" x14ac:dyDescent="0.25">
      <c r="A4" s="2">
        <v>34</v>
      </c>
      <c r="B4" s="2">
        <v>1</v>
      </c>
      <c r="D4" t="s">
        <v>199</v>
      </c>
      <c r="E4">
        <f>(MAX(A4:A75))-(MIN(A4:A75))</f>
        <v>572</v>
      </c>
    </row>
    <row r="5" spans="1:14" x14ac:dyDescent="0.25">
      <c r="A5" s="2">
        <v>0</v>
      </c>
      <c r="B5" s="2">
        <v>2</v>
      </c>
      <c r="D5" t="s">
        <v>200</v>
      </c>
      <c r="E5">
        <v>1</v>
      </c>
    </row>
    <row r="6" spans="1:14" x14ac:dyDescent="0.25">
      <c r="A6" s="2">
        <f>(4*60)+33</f>
        <v>273</v>
      </c>
      <c r="B6" s="2">
        <v>3</v>
      </c>
      <c r="D6" t="s">
        <v>201</v>
      </c>
      <c r="E6" s="30">
        <f>E4/F3</f>
        <v>95.333333333333329</v>
      </c>
    </row>
    <row r="7" spans="1:14" x14ac:dyDescent="0.25">
      <c r="A7" s="2">
        <v>13</v>
      </c>
      <c r="B7" s="2">
        <v>4</v>
      </c>
      <c r="D7" t="s">
        <v>204</v>
      </c>
      <c r="E7">
        <f>MIN(A4:A75)</f>
        <v>0</v>
      </c>
    </row>
    <row r="8" spans="1:14" x14ac:dyDescent="0.25">
      <c r="A8" s="2">
        <v>0</v>
      </c>
      <c r="B8" s="2">
        <v>5</v>
      </c>
      <c r="D8" t="s">
        <v>205</v>
      </c>
      <c r="E8">
        <f>MAX(A4:A75)</f>
        <v>572</v>
      </c>
      <c r="H8" t="s">
        <v>198</v>
      </c>
      <c r="I8" t="s">
        <v>202</v>
      </c>
      <c r="J8" t="s">
        <v>203</v>
      </c>
      <c r="K8" t="s">
        <v>207</v>
      </c>
      <c r="L8" t="s">
        <v>208</v>
      </c>
      <c r="M8" t="s">
        <v>192</v>
      </c>
    </row>
    <row r="9" spans="1:14" x14ac:dyDescent="0.25">
      <c r="A9" s="2">
        <f>(2*60)+29</f>
        <v>149</v>
      </c>
      <c r="B9" s="2">
        <v>6</v>
      </c>
      <c r="H9">
        <v>1</v>
      </c>
      <c r="I9" s="30">
        <f>E7</f>
        <v>0</v>
      </c>
      <c r="J9" s="30">
        <f>I9+E6-E5</f>
        <v>94.333333333333329</v>
      </c>
      <c r="K9" s="29">
        <f>I9-(E5/2)</f>
        <v>-0.5</v>
      </c>
      <c r="L9" s="29">
        <f>J9+(E5/2)</f>
        <v>94.833333333333329</v>
      </c>
      <c r="M9" s="30">
        <f>COUNTIFS(A4:A75,"&gt;=0",A4:A75,"&gt;=94")</f>
        <v>15</v>
      </c>
      <c r="N9" s="30">
        <f>M9</f>
        <v>15</v>
      </c>
    </row>
    <row r="10" spans="1:14" x14ac:dyDescent="0.25">
      <c r="A10" s="2">
        <v>0</v>
      </c>
      <c r="B10" s="2">
        <v>7</v>
      </c>
      <c r="H10">
        <v>2</v>
      </c>
      <c r="I10" s="30">
        <f>I9+$E$6</f>
        <v>95.333333333333329</v>
      </c>
      <c r="J10" s="30">
        <f>J9+$E$6</f>
        <v>189.66666666666666</v>
      </c>
      <c r="K10" s="29">
        <f>K9+$E$6</f>
        <v>94.833333333333329</v>
      </c>
      <c r="L10" s="29">
        <f>L9+$E$6</f>
        <v>190.16666666666666</v>
      </c>
      <c r="M10" s="30">
        <f>COUNTIFS(A4:A75,"&gt;=95",A4:A75,"&gt;=190")</f>
        <v>11</v>
      </c>
      <c r="N10" s="30">
        <f>M10+N9</f>
        <v>26</v>
      </c>
    </row>
    <row r="11" spans="1:14" x14ac:dyDescent="0.25">
      <c r="A11" s="2">
        <f>(5*60)+53</f>
        <v>353</v>
      </c>
      <c r="B11" s="2">
        <v>8</v>
      </c>
      <c r="H11">
        <v>3</v>
      </c>
      <c r="I11" s="30">
        <f t="shared" ref="I11:I14" si="0">I10+$E$6</f>
        <v>190.66666666666666</v>
      </c>
      <c r="J11" s="30">
        <f t="shared" ref="J11:J14" si="1">J10+$E$6</f>
        <v>285</v>
      </c>
      <c r="K11" s="29">
        <f t="shared" ref="K11:K14" si="2">K10+$E$6</f>
        <v>190.16666666666666</v>
      </c>
      <c r="L11" s="29">
        <f t="shared" ref="L11:L14" si="3">L10+$E$6</f>
        <v>285.5</v>
      </c>
      <c r="M11" s="30">
        <f>COUNTIFS(A4:A75,"&gt;=191",A4:A75,"&gt;=285")</f>
        <v>7</v>
      </c>
      <c r="N11" s="30">
        <f t="shared" ref="N11:N14" si="4">M11+N10</f>
        <v>33</v>
      </c>
    </row>
    <row r="12" spans="1:14" x14ac:dyDescent="0.25">
      <c r="A12" s="2">
        <f>(3*60)+49</f>
        <v>229</v>
      </c>
      <c r="B12" s="2">
        <v>9</v>
      </c>
      <c r="H12">
        <v>4</v>
      </c>
      <c r="I12" s="30">
        <f t="shared" si="0"/>
        <v>286</v>
      </c>
      <c r="J12" s="30">
        <f t="shared" si="1"/>
        <v>380.33333333333331</v>
      </c>
      <c r="K12" s="29">
        <f t="shared" si="2"/>
        <v>285.5</v>
      </c>
      <c r="L12" s="29">
        <f t="shared" si="3"/>
        <v>380.83333333333331</v>
      </c>
      <c r="M12" s="30">
        <f>COUNTIFS(A4:A75,"&gt;=28",A4:A75,"&gt;=380")</f>
        <v>3</v>
      </c>
      <c r="N12" s="30">
        <f t="shared" si="4"/>
        <v>36</v>
      </c>
    </row>
    <row r="13" spans="1:14" x14ac:dyDescent="0.25">
      <c r="A13" s="2">
        <v>0</v>
      </c>
      <c r="B13" s="2">
        <v>10</v>
      </c>
      <c r="H13">
        <v>5</v>
      </c>
      <c r="I13" s="30">
        <f t="shared" si="0"/>
        <v>381.33333333333331</v>
      </c>
      <c r="J13" s="30">
        <f t="shared" si="1"/>
        <v>475.66666666666663</v>
      </c>
      <c r="K13" s="29">
        <f t="shared" si="2"/>
        <v>380.83333333333331</v>
      </c>
      <c r="L13" s="29">
        <f t="shared" si="3"/>
        <v>476.16666666666663</v>
      </c>
      <c r="M13" s="30">
        <f>COUNTIFS(A4:A75,"&gt;=381",A4:A75,"&gt;=476")</f>
        <v>2</v>
      </c>
      <c r="N13" s="30">
        <f t="shared" si="4"/>
        <v>38</v>
      </c>
    </row>
    <row r="14" spans="1:14" x14ac:dyDescent="0.25">
      <c r="A14" s="3">
        <v>0</v>
      </c>
      <c r="B14" s="2">
        <v>11</v>
      </c>
      <c r="H14">
        <v>6</v>
      </c>
      <c r="I14" s="30">
        <f t="shared" si="0"/>
        <v>476.66666666666663</v>
      </c>
      <c r="J14" s="30">
        <f t="shared" si="1"/>
        <v>571</v>
      </c>
      <c r="K14" s="29">
        <f t="shared" si="2"/>
        <v>476.16666666666663</v>
      </c>
      <c r="L14" s="29">
        <f t="shared" si="3"/>
        <v>571.5</v>
      </c>
      <c r="M14" s="30">
        <f>COUNTIFS(A4:A75,"&gt;=477",A4:A75,"&gt;=571")</f>
        <v>1</v>
      </c>
      <c r="N14" s="30">
        <f t="shared" si="4"/>
        <v>39</v>
      </c>
    </row>
    <row r="15" spans="1:14" x14ac:dyDescent="0.25">
      <c r="A15" s="2">
        <v>0</v>
      </c>
      <c r="B15" s="2">
        <v>12</v>
      </c>
      <c r="M15" s="30"/>
    </row>
    <row r="16" spans="1:14" x14ac:dyDescent="0.25">
      <c r="A16" s="3">
        <v>0</v>
      </c>
      <c r="B16" s="2">
        <v>13</v>
      </c>
    </row>
    <row r="17" spans="1:2" x14ac:dyDescent="0.25">
      <c r="A17" s="2">
        <v>3</v>
      </c>
      <c r="B17" s="2">
        <v>14</v>
      </c>
    </row>
    <row r="18" spans="1:2" x14ac:dyDescent="0.25">
      <c r="A18" s="2">
        <v>1</v>
      </c>
      <c r="B18" s="2">
        <v>15</v>
      </c>
    </row>
    <row r="19" spans="1:2" x14ac:dyDescent="0.25">
      <c r="A19" s="2">
        <v>11</v>
      </c>
      <c r="B19" s="2">
        <v>16</v>
      </c>
    </row>
    <row r="20" spans="1:2" x14ac:dyDescent="0.25">
      <c r="A20" s="2">
        <v>0</v>
      </c>
      <c r="B20" s="2">
        <v>17</v>
      </c>
    </row>
    <row r="21" spans="1:2" x14ac:dyDescent="0.25">
      <c r="A21" s="6">
        <v>0</v>
      </c>
      <c r="B21" s="2">
        <v>18</v>
      </c>
    </row>
    <row r="22" spans="1:2" x14ac:dyDescent="0.25">
      <c r="A22" s="2">
        <f>(9*60)+19</f>
        <v>559</v>
      </c>
      <c r="B22" s="2">
        <v>19</v>
      </c>
    </row>
    <row r="23" spans="1:2" x14ac:dyDescent="0.25">
      <c r="A23" s="2">
        <v>0</v>
      </c>
      <c r="B23" s="2">
        <v>20</v>
      </c>
    </row>
    <row r="24" spans="1:2" x14ac:dyDescent="0.25">
      <c r="A24" s="2">
        <f>(9*60)+32</f>
        <v>572</v>
      </c>
      <c r="B24" s="2">
        <v>21</v>
      </c>
    </row>
    <row r="25" spans="1:2" x14ac:dyDescent="0.25">
      <c r="A25" s="2">
        <v>0</v>
      </c>
      <c r="B25" s="2">
        <v>22</v>
      </c>
    </row>
    <row r="26" spans="1:2" x14ac:dyDescent="0.25">
      <c r="A26" s="2">
        <v>0</v>
      </c>
      <c r="B26" s="2">
        <v>23</v>
      </c>
    </row>
    <row r="27" spans="1:2" x14ac:dyDescent="0.25">
      <c r="A27" s="2">
        <f>(3*60)+7</f>
        <v>187</v>
      </c>
      <c r="B27" s="2">
        <v>24</v>
      </c>
    </row>
    <row r="28" spans="1:2" x14ac:dyDescent="0.25">
      <c r="A28" s="2">
        <f>(6*60)+3</f>
        <v>363</v>
      </c>
      <c r="B28" s="2">
        <v>25</v>
      </c>
    </row>
    <row r="29" spans="1:2" x14ac:dyDescent="0.25">
      <c r="A29" s="2">
        <v>0</v>
      </c>
      <c r="B29" s="2">
        <v>26</v>
      </c>
    </row>
    <row r="30" spans="1:2" x14ac:dyDescent="0.25">
      <c r="A30" s="2">
        <v>51</v>
      </c>
      <c r="B30" s="2">
        <v>27</v>
      </c>
    </row>
    <row r="31" spans="1:2" x14ac:dyDescent="0.25">
      <c r="A31" s="2">
        <v>0</v>
      </c>
      <c r="B31" s="2">
        <v>28</v>
      </c>
    </row>
    <row r="32" spans="1:2" x14ac:dyDescent="0.25">
      <c r="A32" s="2">
        <v>29</v>
      </c>
      <c r="B32" s="2">
        <v>29</v>
      </c>
    </row>
    <row r="33" spans="1:4" x14ac:dyDescent="0.25">
      <c r="A33" s="2">
        <v>0</v>
      </c>
      <c r="B33" s="2">
        <v>30</v>
      </c>
    </row>
    <row r="34" spans="1:4" x14ac:dyDescent="0.25">
      <c r="A34" s="2">
        <v>5</v>
      </c>
      <c r="B34" s="2">
        <v>31</v>
      </c>
    </row>
    <row r="35" spans="1:4" x14ac:dyDescent="0.25">
      <c r="A35" s="2">
        <v>0</v>
      </c>
      <c r="B35" s="2">
        <v>32</v>
      </c>
    </row>
    <row r="36" spans="1:4" x14ac:dyDescent="0.25">
      <c r="A36" s="2">
        <v>0</v>
      </c>
      <c r="B36" s="2">
        <v>33</v>
      </c>
    </row>
    <row r="37" spans="1:4" x14ac:dyDescent="0.25">
      <c r="A37" s="2">
        <v>0</v>
      </c>
      <c r="B37" s="2">
        <v>34</v>
      </c>
    </row>
    <row r="38" spans="1:4" x14ac:dyDescent="0.25">
      <c r="A38" s="2">
        <v>0</v>
      </c>
      <c r="B38" s="2">
        <v>35</v>
      </c>
    </row>
    <row r="39" spans="1:4" x14ac:dyDescent="0.25">
      <c r="A39" s="2">
        <v>0</v>
      </c>
      <c r="B39" s="2">
        <v>36</v>
      </c>
    </row>
    <row r="40" spans="1:4" x14ac:dyDescent="0.25">
      <c r="A40" s="2">
        <f>(4*60)+48</f>
        <v>288</v>
      </c>
      <c r="B40" s="2">
        <v>37</v>
      </c>
    </row>
    <row r="41" spans="1:4" x14ac:dyDescent="0.25">
      <c r="A41" s="2">
        <f>60+43</f>
        <v>103</v>
      </c>
      <c r="B41" s="2">
        <v>38</v>
      </c>
    </row>
    <row r="42" spans="1:4" x14ac:dyDescent="0.25">
      <c r="A42" s="2">
        <v>0</v>
      </c>
      <c r="B42" s="2">
        <v>39</v>
      </c>
    </row>
    <row r="43" spans="1:4" x14ac:dyDescent="0.25">
      <c r="A43" s="2">
        <v>0</v>
      </c>
      <c r="B43" s="2">
        <v>40</v>
      </c>
    </row>
    <row r="44" spans="1:4" x14ac:dyDescent="0.25">
      <c r="A44" s="2">
        <v>0</v>
      </c>
      <c r="B44" s="2">
        <v>41</v>
      </c>
    </row>
    <row r="45" spans="1:4" x14ac:dyDescent="0.25">
      <c r="A45" s="2">
        <v>37</v>
      </c>
      <c r="B45" s="2">
        <v>42</v>
      </c>
    </row>
    <row r="46" spans="1:4" x14ac:dyDescent="0.25">
      <c r="A46" s="2">
        <f>(6*60)+31</f>
        <v>391</v>
      </c>
      <c r="B46" s="2">
        <v>43</v>
      </c>
    </row>
    <row r="47" spans="1:4" x14ac:dyDescent="0.25">
      <c r="A47" s="2">
        <v>0</v>
      </c>
      <c r="B47" s="2">
        <v>44</v>
      </c>
      <c r="D47" t="s">
        <v>0</v>
      </c>
    </row>
    <row r="48" spans="1:4" x14ac:dyDescent="0.25">
      <c r="C48" s="28">
        <f>(38*60)+45</f>
        <v>2325</v>
      </c>
      <c r="D48" s="28">
        <v>45</v>
      </c>
    </row>
    <row r="49" spans="1:4" x14ac:dyDescent="0.25">
      <c r="A49" s="2">
        <v>1</v>
      </c>
      <c r="B49" s="2">
        <v>46</v>
      </c>
      <c r="C49" t="s">
        <v>206</v>
      </c>
    </row>
    <row r="50" spans="1:4" x14ac:dyDescent="0.25">
      <c r="A50" s="2">
        <f>(2*60)+51</f>
        <v>171</v>
      </c>
      <c r="B50" s="2">
        <v>47</v>
      </c>
    </row>
    <row r="51" spans="1:4" x14ac:dyDescent="0.25">
      <c r="A51" s="2">
        <f>(3*60)+30</f>
        <v>210</v>
      </c>
      <c r="B51" s="2">
        <v>48</v>
      </c>
    </row>
    <row r="52" spans="1:4" x14ac:dyDescent="0.25">
      <c r="A52" s="2">
        <v>0</v>
      </c>
      <c r="B52" s="2">
        <v>49</v>
      </c>
    </row>
    <row r="53" spans="1:4" x14ac:dyDescent="0.25">
      <c r="A53" s="2">
        <f>(5*60)+55</f>
        <v>355</v>
      </c>
      <c r="B53" s="2">
        <v>50</v>
      </c>
    </row>
    <row r="54" spans="1:4" x14ac:dyDescent="0.25">
      <c r="A54" s="2">
        <v>49</v>
      </c>
      <c r="B54" s="2">
        <v>51</v>
      </c>
    </row>
    <row r="55" spans="1:4" x14ac:dyDescent="0.25">
      <c r="A55" s="2">
        <f>(3*60)+33</f>
        <v>213</v>
      </c>
      <c r="B55" s="2">
        <v>52</v>
      </c>
    </row>
    <row r="56" spans="1:4" x14ac:dyDescent="0.25">
      <c r="C56" s="28">
        <f>(17*60)+20</f>
        <v>1040</v>
      </c>
      <c r="D56" s="28">
        <v>53</v>
      </c>
    </row>
    <row r="57" spans="1:4" x14ac:dyDescent="0.25">
      <c r="A57" s="2">
        <v>0</v>
      </c>
      <c r="B57" s="2">
        <v>54</v>
      </c>
    </row>
    <row r="58" spans="1:4" x14ac:dyDescent="0.25">
      <c r="A58" s="2">
        <v>0</v>
      </c>
      <c r="B58" s="2">
        <v>55</v>
      </c>
    </row>
    <row r="59" spans="1:4" x14ac:dyDescent="0.25">
      <c r="A59" s="2">
        <v>21</v>
      </c>
      <c r="B59" s="2">
        <v>56</v>
      </c>
    </row>
    <row r="60" spans="1:4" x14ac:dyDescent="0.25">
      <c r="A60" s="2">
        <v>0</v>
      </c>
      <c r="B60" s="2">
        <v>57</v>
      </c>
    </row>
    <row r="61" spans="1:4" x14ac:dyDescent="0.25">
      <c r="A61" s="2">
        <f>60+26</f>
        <v>86</v>
      </c>
      <c r="B61" s="2">
        <v>58</v>
      </c>
    </row>
    <row r="62" spans="1:4" x14ac:dyDescent="0.25">
      <c r="A62" s="2">
        <v>0</v>
      </c>
      <c r="B62" s="2">
        <v>59</v>
      </c>
    </row>
    <row r="63" spans="1:4" x14ac:dyDescent="0.25">
      <c r="A63" s="2">
        <v>0</v>
      </c>
      <c r="B63" s="2">
        <v>60</v>
      </c>
    </row>
    <row r="64" spans="1:4" x14ac:dyDescent="0.25">
      <c r="A64" s="2">
        <v>0</v>
      </c>
      <c r="B64" s="2">
        <v>61</v>
      </c>
    </row>
    <row r="65" spans="1:2" x14ac:dyDescent="0.25">
      <c r="A65" s="2">
        <v>3</v>
      </c>
      <c r="B65" s="2">
        <v>62</v>
      </c>
    </row>
    <row r="66" spans="1:2" x14ac:dyDescent="0.25">
      <c r="A66" s="2">
        <v>5</v>
      </c>
      <c r="B66" s="2">
        <v>63</v>
      </c>
    </row>
    <row r="67" spans="1:2" x14ac:dyDescent="0.25">
      <c r="A67" s="2">
        <v>0</v>
      </c>
      <c r="B67" s="2">
        <v>64</v>
      </c>
    </row>
    <row r="68" spans="1:2" x14ac:dyDescent="0.25">
      <c r="A68" s="2">
        <v>0</v>
      </c>
      <c r="B68" s="2">
        <v>65</v>
      </c>
    </row>
    <row r="69" spans="1:2" x14ac:dyDescent="0.25">
      <c r="A69" s="2">
        <f>60+9</f>
        <v>69</v>
      </c>
      <c r="B69" s="2">
        <v>66</v>
      </c>
    </row>
    <row r="70" spans="1:2" x14ac:dyDescent="0.25">
      <c r="A70" s="2">
        <v>35</v>
      </c>
      <c r="B70" s="2">
        <v>67</v>
      </c>
    </row>
    <row r="71" spans="1:2" x14ac:dyDescent="0.25">
      <c r="A71" s="2">
        <v>8</v>
      </c>
      <c r="B71" s="2">
        <v>68</v>
      </c>
    </row>
    <row r="72" spans="1:2" x14ac:dyDescent="0.25">
      <c r="A72" s="2">
        <v>0</v>
      </c>
      <c r="B72" s="2">
        <v>69</v>
      </c>
    </row>
    <row r="73" spans="1:2" x14ac:dyDescent="0.25">
      <c r="A73" s="2">
        <v>26</v>
      </c>
      <c r="B73" s="2">
        <v>70</v>
      </c>
    </row>
    <row r="74" spans="1:2" x14ac:dyDescent="0.25">
      <c r="A74" s="2">
        <v>0</v>
      </c>
      <c r="B74" s="2">
        <v>71</v>
      </c>
    </row>
    <row r="75" spans="1:2" x14ac:dyDescent="0.25">
      <c r="A75" s="2">
        <v>17</v>
      </c>
      <c r="B75" s="2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Punto 1</vt:lpstr>
      <vt:lpstr>Punto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Naomi</cp:lastModifiedBy>
  <dcterms:created xsi:type="dcterms:W3CDTF">2023-08-26T00:26:57Z</dcterms:created>
  <dcterms:modified xsi:type="dcterms:W3CDTF">2023-08-26T04:30:55Z</dcterms:modified>
</cp:coreProperties>
</file>