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RIOT" sheetId="1" r:id="rId1"/>
  </sheets>
  <definedNames>
    <definedName name="BoardQty" localSheetId="0">'reDIP-RIOT'!$J$1</definedName>
    <definedName name="PURCHASE_DESCRIPTION" localSheetId="0">'reDIP-RIOT'!$J$25</definedName>
    <definedName name="TotalCost" localSheetId="0">'reDIP-RIOT'!$J$3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$0.11      $1.09
   100   $0.06      $5.92
   500   $0.04     $18.22
  1000   $0.02     $24.85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GP 100V 200MA SC70-3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11881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$0.11      $1.08
   100   $0.04      $3.60
  1000   $0.03     $25.00
  3000   $0.02     $57.00
  9000   $0.02    $144.00
 24000   $0.01    $336.00
 45000   $0.01    $585.00
 99000   $0.01  $1,188.00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200mA</t>
        </r>
      </text>
    </comment>
    <comment ref="M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$0.25      $2.52
   100   $0.17     $16.82
   500   $0.12     $58.18
  1000   $0.10     $96.96</t>
        </r>
      </text>
    </comment>
    <comment ref="P12" authorId="0">
      <text>
        <r>
          <rPr>
            <sz val="8"/>
            <color indexed="81"/>
            <rFont val="Tahoma"/>
            <family val="2"/>
          </rPr>
          <t>Desc: TOP VIEW / 0402 / 1.0X0.5X0.4
Footprint: 0402 (1005 Metric)
Size: 1.00mm L x 0.50mm W</t>
        </r>
      </text>
    </comment>
    <comment ref="Q12" authorId="0">
      <text>
        <r>
          <rPr>
            <sz val="8"/>
            <color indexed="81"/>
            <rFont val="Tahoma"/>
            <family val="2"/>
          </rPr>
          <t>6315 In Stock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$0.25      $2.50
   100   $0.12     $11.70
  1000   $0.10     $96.00
  3000   $0.08    $243.00
  9000   $0.08    $702.00
 24000   $0.07  $1,680.00
 45000   $0.06  $2,880.00
 99000   $0.06  $6,237.00</t>
        </r>
      </text>
    </comment>
    <comment ref="V12" authorId="0">
      <text>
        <r>
          <rPr>
            <sz val="8"/>
            <color indexed="81"/>
            <rFont val="Tahoma"/>
            <family val="2"/>
          </rPr>
          <t>Desc: Standard LEDs - SMD Top View 0402 1.0x0.5x0.4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6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16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8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$0.23      $2.28
    25   $0.19      $4.77
   100   $0.12     $12.09
   250   $0.09     $23.33
   500   $0.08     $39.77
  1000   $0.05     $54.09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INVERT SCHMITT 1CH 1IN SOT353
Footprint: 5-TSSOP, SC-70-5, SOT-353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149508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$1.38
   100   $0.07      $7.00
  1000   $0.05     $49.00
  3000   $0.04    $105.00
  9000   $0.03    $279.00
 45000   $0.03  $1,350.00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Inverters 1-INPUT SCHMITT TR INVERTER 2.0 to 5.5V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$5.00      $5.00
    25   $4.35    $108.75
   100   $4.22    $422.50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1" authorId="0">
      <text>
        <r>
          <rPr>
            <sz val="8"/>
            <color indexed="81"/>
            <rFont val="Tahoma"/>
            <family val="2"/>
          </rPr>
          <t>4302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$5.03      $5.03
    25   $4.37    $109.25
   100   $4.25    $425.00
  2000   $4.24  $8,480.00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FPGA - Field Programmable Gate Array iCE40 Ultra FPGA 1100 Logic Cells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2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2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2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<sst xmlns="http://schemas.openxmlformats.org/spreadsheetml/2006/main" count="199" uniqueCount="140">
  <si>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</si>
  <si>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</si>
  <si>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</si>
  <si>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</si>
  <si>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</si>
  <si>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</si>
  <si>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</si>
  <si>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</si>
  <si>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</si>
  <si>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</si>
  <si>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</si>
  <si>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</si>
  <si>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</si>
  <si>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</si>
  <si>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</si>
  <si>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</si>
  <si>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</si>
  <si>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</si>
  <si>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</si>
  <si>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</si>
  <si>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</si>
  <si>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</si>
  <si>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</si>
  <si>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</si>
  <si>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</si>
  <si>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</si>
  <si>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</si>
  <si>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</si>
  <si>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</si>
  <si>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</si>
  <si>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</si>
  <si>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</si>
  <si>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</si>
  <si>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</si>
  <si>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</si>
  <si>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SOT-323_SC-70</t>
  </si>
  <si>
    <t>onsemi</t>
  </si>
  <si>
    <t>BAS16WT1G</t>
  </si>
  <si>
    <t>D2</t>
  </si>
  <si>
    <t>IN-S42BT5B</t>
  </si>
  <si>
    <t>LED BLUE Vf=2.9V If=5mA 30mcd 0402</t>
  </si>
  <si>
    <t>LED_0402_1005Metric</t>
  </si>
  <si>
    <t>Inolux</t>
  </si>
  <si>
    <t>J1,J2</t>
  </si>
  <si>
    <t>Conn_01x20</t>
  </si>
  <si>
    <t>CONN HDR ROUND PIN 0.5mm 20 POS .100" GOLD MATING 3.5mm TAIL 3mm</t>
  </si>
  <si>
    <t>PinHeader_1x20_P2.54mm_Vertical_Machined</t>
  </si>
  <si>
    <t>R1</t>
  </si>
  <si>
    <t>2.87k</t>
  </si>
  <si>
    <t>RES 2.87kΩ 50mW 1% 0201</t>
  </si>
  <si>
    <t>R_0201_0603Metric</t>
  </si>
  <si>
    <t>Panasonic</t>
  </si>
  <si>
    <t>ERJ1GNF2871C</t>
  </si>
  <si>
    <t>R2,R3</t>
  </si>
  <si>
    <t>100</t>
  </si>
  <si>
    <t>RES 100Ω 50mW 5% 0201</t>
  </si>
  <si>
    <t>ERJ1GNJ101C</t>
  </si>
  <si>
    <t>R4</t>
  </si>
  <si>
    <t>10k</t>
  </si>
  <si>
    <t>RES 10kΩ 50mW 1% 0201</t>
  </si>
  <si>
    <t>ERJ1GNF1002C</t>
  </si>
  <si>
    <t>U1</t>
  </si>
  <si>
    <t>NCP115AMX120TCG</t>
  </si>
  <si>
    <t>IC REG LDO 1.2V 300mA XDFN4</t>
  </si>
  <si>
    <t>CASE_711AJ_1.0x1.0mm_P0.65mm</t>
  </si>
  <si>
    <t>U2</t>
  </si>
  <si>
    <t>NCP115AMX330TCG</t>
  </si>
  <si>
    <t>IC REG LDO 3.3V 300mA XDFN4</t>
  </si>
  <si>
    <t>U3,U4</t>
  </si>
  <si>
    <t>SN74CBT16210CDGGR</t>
  </si>
  <si>
    <t>IC BUS SWITCH TVSOP-56</t>
  </si>
  <si>
    <t>TSSOP-48_6.1x12.5mm_P0.5mm</t>
  </si>
  <si>
    <t>TI</t>
  </si>
  <si>
    <t>U5</t>
  </si>
  <si>
    <t>74AHC1G14SE-7</t>
  </si>
  <si>
    <t>IC SCHMITT-TRIGGER INVERTER</t>
  </si>
  <si>
    <t>SOT-353_SC-70-5</t>
  </si>
  <si>
    <t>Diodes</t>
  </si>
  <si>
    <t>U6</t>
  </si>
  <si>
    <t>ICE5LP1K-SG48</t>
  </si>
  <si>
    <t>IC FPGA QFN-48</t>
  </si>
  <si>
    <t>QFN-48-1EP_7x7mm_P0.5mm_EP5.6x5.6mm</t>
  </si>
  <si>
    <t>Lattice</t>
  </si>
  <si>
    <t>ICE5LP1K-SG48ITR</t>
  </si>
  <si>
    <t>U7</t>
  </si>
  <si>
    <t>AT25EU0011A-SSHN-T</t>
  </si>
  <si>
    <t>IC FLASH 1MBIT</t>
  </si>
  <si>
    <t>SOIC-8_3.9x4.9mm_P1.27mm</t>
  </si>
  <si>
    <t>Renesas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</si>
  <si>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</si>
  <si>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</si>
  <si>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</si>
  <si>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</si>
  <si>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</si>
  <si>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</si>
  <si>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</si>
  <si>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</si>
  <si>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BAS16WT1GOSCT-ND</t>
  </si>
  <si>
    <t>1830-IN-S42BT5BCT-ND</t>
  </si>
  <si>
    <t>P122901CT-ND</t>
  </si>
  <si>
    <t>P123220CT-ND</t>
  </si>
  <si>
    <t>P122414CT-ND</t>
  </si>
  <si>
    <t>NCP115AMX120TCGOSCT-ND</t>
  </si>
  <si>
    <t>NCP115AMX330TCGOSCT-ND</t>
  </si>
  <si>
    <t>2156-SN74CBT16210CDGGR-ND</t>
  </si>
  <si>
    <t>74AHC1G14SE-7DICT-ND</t>
  </si>
  <si>
    <t>220-2155-1-ND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</si>
  <si>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</si>
  <si>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</si>
  <si>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</si>
  <si>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</si>
  <si>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</si>
  <si>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</si>
  <si>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NonStk</t>
  </si>
  <si>
    <t>81-GRM033R60J224ME9D</t>
  </si>
  <si>
    <t>863-BAS16WT1G</t>
  </si>
  <si>
    <t>743-IN-S42BT5B</t>
  </si>
  <si>
    <t>667-ERJ-1GNF2871C</t>
  </si>
  <si>
    <t>667-ERJ-1GNJ101C</t>
  </si>
  <si>
    <t>667-ERJ-1GNF1002C</t>
  </si>
  <si>
    <t>863-NCP115AMX120TCG</t>
  </si>
  <si>
    <t>863-NCP115AMX330TCG</t>
  </si>
  <si>
    <t>595-SN74CBT16210CDGG</t>
  </si>
  <si>
    <t>621-74AHC1G14SE-7</t>
  </si>
  <si>
    <t>842-ICE5LP1K-SG48ITR</t>
  </si>
  <si>
    <t>724-AT25EU0011ASSHNT</t>
  </si>
  <si>
    <t>Total Purchase:</t>
  </si>
  <si>
    <t>Purchase description:</t>
  </si>
  <si>
    <t>Prj:</t>
  </si>
  <si>
    <t>reDIP RIOT</t>
  </si>
  <si>
    <t>Co.:</t>
  </si>
  <si>
    <t>Nimrod</t>
  </si>
  <si>
    <t>Prj date:</t>
  </si>
  <si>
    <t>sø. 01. okt. 2023 kl. 10.49 +0200</t>
  </si>
  <si>
    <t>Board Qty:</t>
  </si>
  <si>
    <t>Total Cost:</t>
  </si>
  <si>
    <t>Unit Cost:</t>
  </si>
  <si>
    <t>$ date:</t>
  </si>
  <si>
    <t>2023-10-01 10:49:40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</si>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</sst>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onsemi.com/pdf/datasheet/bas16wt1-d.pdf" TargetMode="External"/><Relationship Id="rId13" Type="http://schemas.openxmlformats.org/officeDocument/2006/relationships/hyperlink" Target="https://www.digikey.com/en/products/detail/onsemi/BAS16WT1G/918303" TargetMode="External"/><Relationship Id="rId14" Type="http://schemas.openxmlformats.org/officeDocument/2006/relationships/hyperlink" Target="https://no.mouser.com/ProductDetail/onsemi/BAS16WT1G?qs=vLkC5FC1VN9iyDahawchIg%3D%3D" TargetMode="External"/><Relationship Id="rId15" Type="http://schemas.openxmlformats.org/officeDocument/2006/relationships/hyperlink" Target="https://www.inolux-corp.com/datasheet/SMDLED/Mono%20Color%20Top%20View/IN-S42BT%20Series_V1.0.pdf" TargetMode="External"/><Relationship Id="rId16" Type="http://schemas.openxmlformats.org/officeDocument/2006/relationships/hyperlink" Target="https://www.digikey.com/en/products/detail/inolux/IN-S42BT5B/10384754" TargetMode="External"/><Relationship Id="rId17" Type="http://schemas.openxmlformats.org/officeDocument/2006/relationships/hyperlink" Target="https://no.mouser.com/ProductDetail/Inolux/IN-S42BT5B?qs=mAH9sUMRCttQzB4O6jcldQ%3D%3D" TargetMode="External"/><Relationship Id="rId18" Type="http://schemas.openxmlformats.org/officeDocument/2006/relationships/hyperlink" Target="https://industrial.panasonic.com/ww/products/pt/general-purpose-chip-resistors/models/ERJ1GNF2871C" TargetMode="External"/><Relationship Id="rId19" Type="http://schemas.openxmlformats.org/officeDocument/2006/relationships/hyperlink" Target="https://www.digikey.com/en/products/detail/panasonic-electronic-components/ERJ-1GNF2871C/2036162" TargetMode="External"/><Relationship Id="rId20" Type="http://schemas.openxmlformats.org/officeDocument/2006/relationships/hyperlink" Target="https://no.mouser.com/ProductDetail/Panasonic/ERJ-1GNF2871C?qs=nuXzIS8loXEy0KxXtNZxEA%3D%3D" TargetMode="External"/><Relationship Id="rId21" Type="http://schemas.openxmlformats.org/officeDocument/2006/relationships/hyperlink" Target="https://industrial.panasonic.com/ww/products/pt/general-purpose-chip-resistors/models/ERJ1GNJ101C" TargetMode="External"/><Relationship Id="rId22" Type="http://schemas.openxmlformats.org/officeDocument/2006/relationships/hyperlink" Target="https://www.digikey.com/en/products/detail/panasonic-electronic-components/ERJ-1GNJ101C/2035763" TargetMode="External"/><Relationship Id="rId23" Type="http://schemas.openxmlformats.org/officeDocument/2006/relationships/hyperlink" Target="https://no.mouser.com/ProductDetail/Panasonic/ERJ-1GNJ101C?qs=nuXzIS8loXGN5So4aOOV1Q%3D%3D" TargetMode="External"/><Relationship Id="rId24" Type="http://schemas.openxmlformats.org/officeDocument/2006/relationships/hyperlink" Target="https://industrial.panasonic.com/ww/products/pt/general-purpose-chip-resistors/models/ERJ1GNF1002C" TargetMode="External"/><Relationship Id="rId25" Type="http://schemas.openxmlformats.org/officeDocument/2006/relationships/hyperlink" Target="https://www.digikey.com/en/products/detail/panasonic-electronic-components/ERJ-1GNF1002C/2036226" TargetMode="External"/><Relationship Id="rId26" Type="http://schemas.openxmlformats.org/officeDocument/2006/relationships/hyperlink" Target="https://no.mouser.com/ProductDetail/Panasonic/ERJ-1GNF1002C?qs=nuXzIS8loXE96jG2vMMQNw%3D%3D" TargetMode="External"/><Relationship Id="rId27" Type="http://schemas.openxmlformats.org/officeDocument/2006/relationships/hyperlink" Target="https://www.onsemi.com/pdf/datasheet/ncp115-d.pdf" TargetMode="External"/><Relationship Id="rId28" Type="http://schemas.openxmlformats.org/officeDocument/2006/relationships/hyperlink" Target="https://www.digikey.com/en/products/detail/onsemi/NCP115AMX120TCG/9829201" TargetMode="External"/><Relationship Id="rId29" Type="http://schemas.openxmlformats.org/officeDocument/2006/relationships/hyperlink" Target="https://no.mouser.com/ProductDetail/onsemi/NCP115AMX120TCG?qs=l7cgNqFNU1iSEavmMXBgHw%3D%3D" TargetMode="External"/><Relationship Id="rId30" Type="http://schemas.openxmlformats.org/officeDocument/2006/relationships/hyperlink" Target="https://www.onsemi.com/pdf/datasheet/ncp115-d.pdf" TargetMode="External"/><Relationship Id="rId31" Type="http://schemas.openxmlformats.org/officeDocument/2006/relationships/hyperlink" Target="https://www.digikey.com/en/products/detail/onsemi/NCP115AMX330TCG/9829207" TargetMode="External"/><Relationship Id="rId32" Type="http://schemas.openxmlformats.org/officeDocument/2006/relationships/hyperlink" Target="https://no.mouser.com/ProductDetail/onsemi/NCP115AMX330TCG?qs=l7cgNqFNU1j9mIi8Ii%2FRXw%3D%3D" TargetMode="External"/><Relationship Id="rId33" Type="http://schemas.openxmlformats.org/officeDocument/2006/relationships/hyperlink" Target="https://www.ti.com/lit/ds/symlink/sn74cbt16210c.pdf" TargetMode="External"/><Relationship Id="rId34" Type="http://schemas.openxmlformats.org/officeDocument/2006/relationships/hyperlink" Target="https://www.digikey.com/en/products/detail/texas-instruments/SN74CBT16210CDGGR/864166" TargetMode="External"/><Relationship Id="rId35" Type="http://schemas.openxmlformats.org/officeDocument/2006/relationships/hyperlink" Target="https://no.mouser.com/ProductDetail/Texas-Instruments/SN74CBT16210CDGGR?qs=PVVDbbWpW3LUOtG5S0DQpQ%3D%3D" TargetMode="External"/><Relationship Id="rId36" Type="http://schemas.openxmlformats.org/officeDocument/2006/relationships/hyperlink" Target="https://www.diodes.com/assets/Datasheets/74AHC1G14.pdf" TargetMode="External"/><Relationship Id="rId37" Type="http://schemas.openxmlformats.org/officeDocument/2006/relationships/hyperlink" Target="https://www.digikey.com/en/products/detail/diodes-incorporated/74AHC1G14SE-7/2639248" TargetMode="External"/><Relationship Id="rId38" Type="http://schemas.openxmlformats.org/officeDocument/2006/relationships/hyperlink" Target="https://no.mouser.com/ProductDetail/Diodes-Incorporated/74AHC1G14SE-7?qs=aOs975IaWlkxdm5pFU59FQ%3D%3D" TargetMode="External"/><Relationship Id="rId39" Type="http://schemas.openxmlformats.org/officeDocument/2006/relationships/hyperlink" Target="http://www.latticesemi.com/Products/FPGAandCPLD/iCE40UltraPlus" TargetMode="External"/><Relationship Id="rId40" Type="http://schemas.openxmlformats.org/officeDocument/2006/relationships/hyperlink" Target="https://www.digikey.com/en/products/detail/lattice-semiconductor-corporation/ICE5LP1K-SG48ITR/5324261" TargetMode="External"/><Relationship Id="rId41" Type="http://schemas.openxmlformats.org/officeDocument/2006/relationships/hyperlink" Target="https://no.mouser.com/ProductDetail/Lattice/ICE5LP1K-SG48ITR?qs=ZwKJWZfDtNg6punXjA%252B0Og%3D%3D" TargetMode="External"/><Relationship Id="rId42" Type="http://schemas.openxmlformats.org/officeDocument/2006/relationships/hyperlink" Target="https://www.renesas.com/us/en/document/dst/at25eu0011a-datasheet" TargetMode="External"/><Relationship Id="rId43" Type="http://schemas.openxmlformats.org/officeDocument/2006/relationships/hyperlink" Target="https://www.digikey.com/en/products/detail/renesas-electronics-operations-services-limited/AT25EU0011A-SSHN-T/14309093" TargetMode="External"/><Relationship Id="rId44" Type="http://schemas.openxmlformats.org/officeDocument/2006/relationships/hyperlink" Target="https://no.mouser.com/ProductDetail/Renesas-Dialog/AT25EU0011A-SSHN-T?qs=QNEnbhJQKvbVoO3jTCIuvg%3D%3D" TargetMode="External"/><Relationship Id="rId45" Type="http://schemas.openxmlformats.org/officeDocument/2006/relationships/hyperlink" Target="https://www.digikey.com/ordering/shoppingcart" TargetMode="External"/><Relationship Id="rId46" Type="http://schemas.openxmlformats.org/officeDocument/2006/relationships/hyperlink" Target="https://mouser.com/bom/" TargetMode="External"/><Relationship Id="rId47" Type="http://schemas.openxmlformats.org/officeDocument/2006/relationships/vmlDrawing" Target="../drawings/vmlDrawing1.vm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9.7109375" customWidth="1"/>
    <col min="3" max="3" width="33.7109375" customWidth="1" outlineLevel="2"/>
    <col min="4" max="4" width="29.7109375" customWidth="1"/>
    <col min="5" max="5" width="33.7109375" customWidth="1" outlineLevel="2"/>
    <col min="6" max="6" width="10.7109375" customWidth="1" outlineLevel="1"/>
    <col min="7" max="7" width="19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128</v>
      </c>
      <c r="B1" s="2" t="s">
        <v>129</v>
      </c>
      <c r="I1" s="3" t="s">
        <v>134</v>
      </c>
      <c r="J1" s="3">
        <v>100</v>
      </c>
    </row>
    <row r="2" spans="1:22">
      <c r="A2" s="1" t="s">
        <v>130</v>
      </c>
      <c r="B2" s="2" t="s">
        <v>131</v>
      </c>
      <c r="I2" s="1" t="s">
        <v>136</v>
      </c>
      <c r="J2" s="4">
        <f>TotalCost/BoardQty</f>
        <v>5.284</v>
      </c>
    </row>
    <row r="3" spans="1:22">
      <c r="A3" s="1" t="s">
        <v>132</v>
      </c>
      <c r="B3" s="2" t="s">
        <v>133</v>
      </c>
      <c r="I3" s="1" t="s">
        <v>135</v>
      </c>
      <c r="J3" s="5">
        <f>SUM(J7:J22)</f>
        <v>528.402</v>
      </c>
      <c r="O3" s="5">
        <f>SUM(O7:O22)</f>
        <v>552.592</v>
      </c>
      <c r="P3" s="6" t="str">
        <f>(COUNTA(O7:O22)&amp;" of "&amp;ROWS(O7:O22)&amp;" parts found")</f>
        <v>14 of 16 parts found</v>
      </c>
      <c r="U3" s="5">
        <f>SUM(U7:U22)</f>
        <v>531.7</v>
      </c>
      <c r="V3" s="6" t="str">
        <f>(COUNTA(U7:U22)&amp;" of "&amp;ROWS(U7:U22)&amp;" parts found")</f>
        <v>15 of 16 parts found</v>
      </c>
    </row>
    <row r="4" spans="1:22">
      <c r="A4" s="1" t="s">
        <v>137</v>
      </c>
      <c r="B4" s="2" t="s">
        <v>138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89</v>
      </c>
      <c r="L5" s="8"/>
      <c r="M5" s="8"/>
      <c r="N5" s="8"/>
      <c r="O5" s="8"/>
      <c r="P5" s="8"/>
      <c r="Q5" s="9" t="s">
        <v>109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90</v>
      </c>
      <c r="L6" s="10" t="s">
        <v>91</v>
      </c>
      <c r="M6" s="10" t="s">
        <v>9</v>
      </c>
      <c r="N6" s="10" t="s">
        <v>92</v>
      </c>
      <c r="O6" s="10" t="s">
        <v>10</v>
      </c>
      <c r="P6" s="10" t="s">
        <v>93</v>
      </c>
      <c r="Q6" s="10" t="s">
        <v>90</v>
      </c>
      <c r="R6" s="10" t="s">
        <v>91</v>
      </c>
      <c r="S6" s="10" t="s">
        <v>9</v>
      </c>
      <c r="T6" s="10" t="s">
        <v>92</v>
      </c>
      <c r="U6" s="10" t="s">
        <v>10</v>
      </c>
      <c r="V6" s="10" t="s">
        <v>93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94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110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95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111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113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112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96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114</v>
      </c>
    </row>
    <row r="11" spans="1:22">
      <c r="A11" s="11" t="s">
        <v>32</v>
      </c>
      <c r="B11" s="11" t="s">
        <v>33</v>
      </c>
      <c r="C11" s="11" t="s">
        <v>34</v>
      </c>
      <c r="E11" s="11" t="s">
        <v>35</v>
      </c>
      <c r="F11" s="11" t="s">
        <v>36</v>
      </c>
      <c r="G11" s="11" t="s">
        <v>37</v>
      </c>
      <c r="H11" s="11">
        <f>CEILING(BoardQty*1.0,1)</f>
        <v>100</v>
      </c>
      <c r="I11" s="12">
        <f>IF(MIN(M11,S11)&lt;&gt;0,MIN(M11,S11),"")</f>
        <v>0.036</v>
      </c>
      <c r="J11" s="13">
        <f>IF(AND(ISNUMBER(H11),ISNUMBER(I11)),H11*I11,"")</f>
        <v>3.6</v>
      </c>
      <c r="K11" s="11">
        <v>110882</v>
      </c>
      <c r="L11" s="11"/>
      <c r="M11" s="12">
        <f>IFERROR(IF(OR(L11&gt;=N11,H11&gt;=N11),LOOKUP(IF(L11="",H11,L11),{0,1,10,100,500,1000},{0.0,0.12,0.109,0.0592,0.03644,0.02485}),"MOQ="&amp;N11),"")</f>
        <v>0.0592</v>
      </c>
      <c r="N11" s="11">
        <v>1</v>
      </c>
      <c r="O11" s="13">
        <f>IFERROR(IF(L11="",H11,L11)*M11,"")</f>
        <v>5.92</v>
      </c>
      <c r="P11" s="11" t="s">
        <v>97</v>
      </c>
      <c r="Q11" s="11">
        <v>11881</v>
      </c>
      <c r="R11" s="11"/>
      <c r="S11" s="12">
        <f>IFERROR(IF(OR(R11&gt;=T11,H11&gt;=T11),LOOKUP(IF(R11="",H11,R11),{0,1,10,100,1000,3000,9000,24000,45000,99000},{0.0,0.12,0.108,0.036,0.025,0.019,0.016,0.014,0.013,0.012}),"MOQ="&amp;T11),"")</f>
        <v>0.036</v>
      </c>
      <c r="T11" s="11">
        <v>1</v>
      </c>
      <c r="U11" s="13">
        <f>IFERROR(IF(R11="",H11,R11)*S11,"")</f>
        <v>3.6</v>
      </c>
      <c r="V11" s="11" t="s">
        <v>115</v>
      </c>
    </row>
    <row r="12" spans="1:22" ht="30" customHeight="1">
      <c r="A12" s="11" t="s">
        <v>38</v>
      </c>
      <c r="B12" s="11" t="s">
        <v>39</v>
      </c>
      <c r="C12" s="11" t="s">
        <v>40</v>
      </c>
      <c r="E12" s="11" t="s">
        <v>41</v>
      </c>
      <c r="F12" s="11" t="s">
        <v>42</v>
      </c>
      <c r="G12" s="11" t="s">
        <v>39</v>
      </c>
      <c r="H12" s="11">
        <f>CEILING(BoardQty*1.0,1)</f>
        <v>100</v>
      </c>
      <c r="I12" s="12">
        <f>IF(MIN(M12,S12)&lt;&gt;0,MIN(M12,S12),"")</f>
        <v>0.117</v>
      </c>
      <c r="J12" s="13">
        <f>IF(AND(ISNUMBER(H12),ISNUMBER(I12)),H12*I12,"")</f>
        <v>11.7</v>
      </c>
      <c r="K12" s="11">
        <v>6170</v>
      </c>
      <c r="L12" s="11"/>
      <c r="M12" s="12">
        <f>IFERROR(IF(OR(L12&gt;=N12,H12&gt;=N12),LOOKUP(IF(L12="",H12,L12),{0,1,10,100,500,1000},{0.0,0.38,0.252,0.1682,0.11636,0.09696}),"MOQ="&amp;N12),"")</f>
        <v>0.1682</v>
      </c>
      <c r="N12" s="11">
        <v>1</v>
      </c>
      <c r="O12" s="13">
        <f>IFERROR(IF(L12="",H12,L12)*M12,"")</f>
        <v>16.82</v>
      </c>
      <c r="P12" s="11" t="s">
        <v>98</v>
      </c>
      <c r="Q12" s="11">
        <v>6315</v>
      </c>
      <c r="R12" s="11"/>
      <c r="S12" s="12">
        <f>IFERROR(IF(OR(R12&gt;=T12,H12&gt;=T12),LOOKUP(IF(R12="",H12,R12),{0,1,10,100,1000,3000,9000,24000,45000,99000},{0.0,0.378,0.25,0.117,0.096,0.081,0.078,0.07,0.064,0.063}),"MOQ="&amp;T12),"")</f>
        <v>0.117</v>
      </c>
      <c r="T12" s="11">
        <v>1</v>
      </c>
      <c r="U12" s="13">
        <f>IFERROR(IF(R12="",H12,R12)*S12,"")</f>
        <v>11.7</v>
      </c>
      <c r="V12" s="11" t="s">
        <v>116</v>
      </c>
    </row>
    <row r="13" spans="1:22" ht="30" customHeight="1">
      <c r="A13" s="11" t="s">
        <v>43</v>
      </c>
      <c r="B13" s="11" t="s">
        <v>44</v>
      </c>
      <c r="C13" s="11" t="s">
        <v>45</v>
      </c>
      <c r="E13" s="11" t="s">
        <v>46</v>
      </c>
      <c r="H13" s="11">
        <f>CEILING(BoardQty*2,1)</f>
        <v>200</v>
      </c>
      <c r="I13" s="12">
        <f>IF(MIN(M13,S13)&lt;&gt;0,MIN(M13,S13),"")</f>
        <v/>
      </c>
      <c r="J13" s="13">
        <f>IF(AND(ISNUMBER(H13),ISNUMBER(I13)),H13*I13,"")</f>
        <v/>
      </c>
    </row>
    <row r="14" spans="1:22">
      <c r="A14" s="11" t="s">
        <v>47</v>
      </c>
      <c r="B14" s="11" t="s">
        <v>48</v>
      </c>
      <c r="C14" s="11" t="s">
        <v>49</v>
      </c>
      <c r="E14" s="11" t="s">
        <v>50</v>
      </c>
      <c r="F14" s="11" t="s">
        <v>51</v>
      </c>
      <c r="G14" s="11" t="s">
        <v>52</v>
      </c>
      <c r="H14" s="11">
        <f>CEILING(BoardQty*1.0,1)</f>
        <v>100</v>
      </c>
      <c r="I14" s="12">
        <f>IF(MIN(M14,S14)&lt;&gt;0,MIN(M14,S14),"")</f>
        <v>0.014</v>
      </c>
      <c r="J14" s="13">
        <f>IF(AND(ISNUMBER(H14),ISNUMBER(I14)),H14*I14,"")</f>
        <v>1.4</v>
      </c>
      <c r="K14" s="11">
        <v>104225</v>
      </c>
      <c r="L14" s="11"/>
      <c r="M14" s="12">
        <f>IFERROR(IF(OR(L14&gt;=N14,H14&gt;=N14),LOOKUP(IF(L14="",H14,L14),{0,1,10,50,100,500,1000,5000},{0.0,0.1,0.035,0.0226,0.019,0.01326,0.01155,0.0086}),"MOQ="&amp;N14),"")</f>
        <v>0.019</v>
      </c>
      <c r="N14" s="11">
        <v>1</v>
      </c>
      <c r="O14" s="13">
        <f>IFERROR(IF(L14="",H14,L14)*M14,"")</f>
        <v>1.9</v>
      </c>
      <c r="P14" s="11" t="s">
        <v>99</v>
      </c>
      <c r="Q14" s="11">
        <v>28194</v>
      </c>
      <c r="R14" s="11"/>
      <c r="S14" s="12">
        <f>IFERROR(IF(OR(R14&gt;=T14,H14&gt;=T14),LOOKUP(IF(R14="",H14,R14),{0,1,10,100,1000,2500,15000},{0.0,0.1,0.03,0.014,0.01,0.007,0.005}),"MOQ="&amp;T14),"")</f>
        <v>0.014</v>
      </c>
      <c r="T14" s="11">
        <v>1</v>
      </c>
      <c r="U14" s="13">
        <f>IFERROR(IF(R14="",H14,R14)*S14,"")</f>
        <v>1.4</v>
      </c>
      <c r="V14" s="11" t="s">
        <v>117</v>
      </c>
    </row>
    <row r="15" spans="1:22">
      <c r="A15" s="11" t="s">
        <v>53</v>
      </c>
      <c r="B15" s="11" t="s">
        <v>54</v>
      </c>
      <c r="C15" s="11" t="s">
        <v>55</v>
      </c>
      <c r="E15" s="11" t="s">
        <v>50</v>
      </c>
      <c r="F15" s="11" t="s">
        <v>51</v>
      </c>
      <c r="G15" s="11" t="s">
        <v>56</v>
      </c>
      <c r="H15" s="11">
        <f>CEILING(BoardQty*2.0,1)</f>
        <v>200</v>
      </c>
      <c r="I15" s="12">
        <f>IF(MIN(M15,S15)&lt;&gt;0,MIN(M15,S15),"")</f>
        <v>0.007</v>
      </c>
      <c r="J15" s="13">
        <f>IF(AND(ISNUMBER(H15),ISNUMBER(I15)),H15*I15,"")</f>
        <v>1.4</v>
      </c>
      <c r="K15" s="11">
        <v>231675</v>
      </c>
      <c r="L15" s="11"/>
      <c r="M15" s="12">
        <f>IFERROR(IF(OR(L15&gt;=N15,H15&gt;=N15),LOOKUP(IF(L15="",H15,L15),{0,1,10,50,100,500,1000,5000},{0.0,0.1,0.024,0.015,0.0125,0.00848,0.00731,0.00531}),"MOQ="&amp;N15),"")</f>
        <v>0.0125</v>
      </c>
      <c r="N15" s="11">
        <v>1</v>
      </c>
      <c r="O15" s="13">
        <f>IFERROR(IF(L15="",H15,L15)*M15,"")</f>
        <v>2.5</v>
      </c>
      <c r="P15" s="11" t="s">
        <v>100</v>
      </c>
      <c r="Q15" s="11">
        <v>91154</v>
      </c>
      <c r="R15" s="11"/>
      <c r="S15" s="12">
        <f>IFERROR(IF(OR(R15&gt;=T15,H15&gt;=T15),LOOKUP(IF(R15="",H15,R15),{0,1,10,100,1000,2500,15000},{0.0,0.1,0.017,0.007,0.006,0.004,0.003}),"MOQ="&amp;T15),"")</f>
        <v>0.007</v>
      </c>
      <c r="T15" s="11">
        <v>1</v>
      </c>
      <c r="U15" s="13">
        <f>IFERROR(IF(R15="",H15,R15)*S15,"")</f>
        <v>1.4</v>
      </c>
      <c r="V15" s="11" t="s">
        <v>118</v>
      </c>
    </row>
    <row r="16" spans="1:22">
      <c r="A16" s="11" t="s">
        <v>57</v>
      </c>
      <c r="B16" s="11" t="s">
        <v>58</v>
      </c>
      <c r="C16" s="11" t="s">
        <v>59</v>
      </c>
      <c r="E16" s="11" t="s">
        <v>50</v>
      </c>
      <c r="F16" s="11" t="s">
        <v>51</v>
      </c>
      <c r="G16" s="11" t="s">
        <v>60</v>
      </c>
      <c r="H16" s="11">
        <f>CEILING(BoardQty*1.0,1)</f>
        <v>100</v>
      </c>
      <c r="I16" s="12">
        <f>IF(MIN(M16,S16)&lt;&gt;0,MIN(M16,S16),"")</f>
        <v>0.014</v>
      </c>
      <c r="J16" s="13">
        <f>IF(AND(ISNUMBER(H16),ISNUMBER(I16)),H16*I16,"")</f>
        <v>1.4</v>
      </c>
      <c r="K16" s="11">
        <v>2247581</v>
      </c>
      <c r="L16" s="11"/>
      <c r="M16" s="12">
        <f>IFERROR(IF(OR(L16&gt;=N16,H16&gt;=N16),LOOKUP(IF(L16="",H16,L16),{0,1,10,50,100,500,1000,5000},{0.0,0.1,0.035,0.0226,0.019,0.01326,0.01155,0.0086}),"MOQ="&amp;N16),"")</f>
        <v>0.019</v>
      </c>
      <c r="N16" s="11">
        <v>1</v>
      </c>
      <c r="O16" s="13">
        <f>IFERROR(IF(L16="",H16,L16)*M16,"")</f>
        <v>1.9</v>
      </c>
      <c r="P16" s="11" t="s">
        <v>101</v>
      </c>
      <c r="Q16" s="11">
        <v>2408384</v>
      </c>
      <c r="R16" s="11"/>
      <c r="S16" s="12">
        <f>IFERROR(IF(OR(R16&gt;=T16,H16&gt;=T16),LOOKUP(IF(R16="",H16,R16),{0,1,10,100,1000,2500,15000},{0.0,0.1,0.03,0.014,0.01,0.007,0.006}),"MOQ="&amp;T16),"")</f>
        <v>0.014</v>
      </c>
      <c r="T16" s="11">
        <v>1</v>
      </c>
      <c r="U16" s="13">
        <f>IFERROR(IF(R16="",H16,R16)*S16,"")</f>
        <v>1.4</v>
      </c>
      <c r="V16" s="11" t="s">
        <v>119</v>
      </c>
    </row>
    <row r="17" spans="1:22">
      <c r="A17" s="11" t="s">
        <v>61</v>
      </c>
      <c r="B17" s="11" t="s">
        <v>62</v>
      </c>
      <c r="C17" s="11" t="s">
        <v>63</v>
      </c>
      <c r="E17" s="11" t="s">
        <v>64</v>
      </c>
      <c r="F17" s="11" t="s">
        <v>36</v>
      </c>
      <c r="G17" s="11" t="s">
        <v>62</v>
      </c>
      <c r="H17" s="11">
        <f>CEILING(BoardQty*1.0,1)</f>
        <v>100</v>
      </c>
      <c r="I17" s="12">
        <f>IF(MIN(M17,S17)&lt;&gt;0,MIN(M17,S17),"")</f>
        <v>0.118</v>
      </c>
      <c r="J17" s="13">
        <f>IF(AND(ISNUMBER(H17),ISNUMBER(I17)),H17*I17,"")</f>
        <v>11.8</v>
      </c>
      <c r="K17" s="11">
        <v>7412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102</v>
      </c>
      <c r="Q17" s="11">
        <v>11436</v>
      </c>
      <c r="R17" s="11"/>
      <c r="S17" s="12">
        <f>IFERROR(IF(OR(R17&gt;=T17,H17&gt;=T17),LOOKUP(IF(R17="",H17,R17),{0,1,10,100,1000,5000,10000,25000,50000,100000},{0.0,0.239,0.179,0.118,0.086,0.08,0.074,0.068,0.062,0.061}),"MOQ="&amp;T17),"")</f>
        <v>0.118</v>
      </c>
      <c r="T17" s="11">
        <v>1</v>
      </c>
      <c r="U17" s="13">
        <f>IFERROR(IF(R17="",H17,R17)*S17,"")</f>
        <v>11.8</v>
      </c>
      <c r="V17" s="11" t="s">
        <v>120</v>
      </c>
    </row>
    <row r="18" spans="1:22">
      <c r="A18" s="11" t="s">
        <v>65</v>
      </c>
      <c r="B18" s="11" t="s">
        <v>66</v>
      </c>
      <c r="C18" s="11" t="s">
        <v>67</v>
      </c>
      <c r="E18" s="11" t="s">
        <v>64</v>
      </c>
      <c r="F18" s="11" t="s">
        <v>36</v>
      </c>
      <c r="G18" s="11" t="s">
        <v>66</v>
      </c>
      <c r="H18" s="11">
        <f>CEILING(BoardQty*1.0,1)</f>
        <v>100</v>
      </c>
      <c r="I18" s="12">
        <f>IF(MIN(M18,S18)&lt;&gt;0,MIN(M18,S18),"")</f>
        <v>0.124</v>
      </c>
      <c r="J18" s="13">
        <f>IF(AND(ISNUMBER(H18),ISNUMBER(I18)),H18*I18,"")</f>
        <v>12.4</v>
      </c>
      <c r="K18" s="11">
        <v>12836</v>
      </c>
      <c r="L18" s="11"/>
      <c r="M18" s="12">
        <f>IFERROR(IF(OR(L18&gt;=N18,H18&gt;=N18),LOOKUP(IF(L18="",H18,L18),{0,1,10,25,100,250,500,1000},{0.0,0.39,0.291,0.2628,0.1433,0.13856,0.1242,0.09555}),"MOQ="&amp;N18),"")</f>
        <v>0.1433</v>
      </c>
      <c r="N18" s="11">
        <v>1</v>
      </c>
      <c r="O18" s="13">
        <f>IFERROR(IF(L18="",H18,L18)*M18,"")</f>
        <v>14.33</v>
      </c>
      <c r="P18" s="11" t="s">
        <v>103</v>
      </c>
      <c r="Q18" s="11">
        <v>26927</v>
      </c>
      <c r="R18" s="11"/>
      <c r="S18" s="12">
        <f>IFERROR(IF(OR(R18&gt;=T18,H18&gt;=T18),LOOKUP(IF(R18="",H18,R18),{0,1,10,100,1000,5000,10000,25000,50000,100000},{0.0,0.388,0.249,0.124,0.083,0.078,0.074,0.068,0.062,0.061}),"MOQ="&amp;T18),"")</f>
        <v>0.124</v>
      </c>
      <c r="T18" s="11">
        <v>1</v>
      </c>
      <c r="U18" s="13">
        <f>IFERROR(IF(R18="",H18,R18)*S18,"")</f>
        <v>12.4</v>
      </c>
      <c r="V18" s="11" t="s">
        <v>121</v>
      </c>
    </row>
    <row r="19" spans="1:22">
      <c r="A19" s="11" t="s">
        <v>68</v>
      </c>
      <c r="B19" s="11" t="s">
        <v>69</v>
      </c>
      <c r="C19" s="11" t="s">
        <v>70</v>
      </c>
      <c r="E19" s="11" t="s">
        <v>71</v>
      </c>
      <c r="F19" s="11" t="s">
        <v>72</v>
      </c>
      <c r="G19" s="11" t="s">
        <v>69</v>
      </c>
      <c r="H19" s="11">
        <f>CEILING(BoardQty*2.0,1)</f>
        <v>200</v>
      </c>
      <c r="I19" s="12">
        <f>IF(MIN(M19,S19)&lt;&gt;0,MIN(M19,S19),"")</f>
        <v/>
      </c>
      <c r="J19" s="13">
        <f>IF(AND(ISNUMBER(H19),ISNUMBER(I19)),H19*I19,"")</f>
        <v/>
      </c>
      <c r="K19" s="11">
        <v>20045</v>
      </c>
      <c r="L19" s="11"/>
      <c r="M19" s="12">
        <f>IFERROR(IF(OR(L19&gt;=N19,H19&gt;=N19),LOOKUP(IF(L19="",H19,L19),{0,1,502},{0.0,0.6,0.6}),"MOQ="&amp;N19),"")</f>
        <v/>
      </c>
      <c r="N19" s="11">
        <v>502</v>
      </c>
      <c r="O19" s="13">
        <f>IFERROR(IF(L19="",H19,L19)*M19,"")</f>
        <v/>
      </c>
      <c r="P19" s="11" t="s">
        <v>104</v>
      </c>
      <c r="Q19" s="14" t="s">
        <v>113</v>
      </c>
      <c r="R19" s="11"/>
      <c r="S19" s="12">
        <f>IFERROR(IF(OR(R19&gt;=T19,H19&gt;=T19),LOOKUP(IF(R19="",H19,R19),{0,1,2000,4000,10000},{0.0,0.579,0.579,0.554,0.539}),"MOQ="&amp;T19),"")</f>
        <v/>
      </c>
      <c r="T19" s="11">
        <v>2000</v>
      </c>
      <c r="U19" s="13">
        <f>IFERROR(IF(R19="",H19,R19)*S19,"")</f>
        <v/>
      </c>
      <c r="V19" s="11" t="s">
        <v>122</v>
      </c>
    </row>
    <row r="20" spans="1:22">
      <c r="A20" s="11" t="s">
        <v>73</v>
      </c>
      <c r="B20" s="11" t="s">
        <v>74</v>
      </c>
      <c r="C20" s="11" t="s">
        <v>75</v>
      </c>
      <c r="E20" s="11" t="s">
        <v>76</v>
      </c>
      <c r="F20" s="11" t="s">
        <v>77</v>
      </c>
      <c r="G20" s="11" t="s">
        <v>74</v>
      </c>
      <c r="H20" s="11">
        <f>CEILING(BoardQty*1.0,1)</f>
        <v>100</v>
      </c>
      <c r="I20" s="12">
        <f>IF(MIN(M20,S20)&lt;&gt;0,MIN(M20,S20),"")</f>
        <v>0.07</v>
      </c>
      <c r="J20" s="13">
        <f>IF(AND(ISNUMBER(H20),ISNUMBER(I20)),H20*I20,"")</f>
        <v>7.0</v>
      </c>
      <c r="K20" s="11">
        <v>315158</v>
      </c>
      <c r="L20" s="11"/>
      <c r="M20" s="12">
        <f>IFERROR(IF(OR(L20&gt;=N20,H20&gt;=N20),LOOKUP(IF(L20="",H20,L20),{0,1,10,25,100,250,500,1000},{0.0,0.28,0.228,0.1908,0.1209,0.09332,0.07954,0.05409}),"MOQ="&amp;N20),"")</f>
        <v>0.1209</v>
      </c>
      <c r="N20" s="11">
        <v>1</v>
      </c>
      <c r="O20" s="13">
        <f>IFERROR(IF(L20="",H20,L20)*M20,"")</f>
        <v>12.09</v>
      </c>
      <c r="P20" s="11" t="s">
        <v>105</v>
      </c>
      <c r="Q20" s="11">
        <v>149508</v>
      </c>
      <c r="R20" s="11"/>
      <c r="S20" s="12">
        <f>IFERROR(IF(OR(R20&gt;=T20,H20&gt;=T20),LOOKUP(IF(R20="",H20,R20),{0,1,10,100,1000,3000,9000,45000},{0.0,0.209,0.138,0.07,0.049,0.035,0.031,0.03}),"MOQ="&amp;T20),"")</f>
        <v>0.07</v>
      </c>
      <c r="T20" s="11">
        <v>1</v>
      </c>
      <c r="U20" s="13">
        <f>IFERROR(IF(R20="",H20,R20)*S20,"")</f>
        <v>7.0</v>
      </c>
      <c r="V20" s="11" t="s">
        <v>123</v>
      </c>
    </row>
    <row r="21" spans="1:22" ht="30" customHeight="1">
      <c r="A21" s="11" t="s">
        <v>78</v>
      </c>
      <c r="B21" s="11" t="s">
        <v>79</v>
      </c>
      <c r="C21" s="11" t="s">
        <v>80</v>
      </c>
      <c r="E21" s="11" t="s">
        <v>81</v>
      </c>
      <c r="F21" s="11" t="s">
        <v>82</v>
      </c>
      <c r="G21" s="11" t="s">
        <v>83</v>
      </c>
      <c r="H21" s="11">
        <f>CEILING(BoardQty*1.0,1)</f>
        <v>100</v>
      </c>
      <c r="I21" s="12">
        <f>IF(MIN(M21,S21)&lt;&gt;0,MIN(M21,S21),"")</f>
        <v>4.225</v>
      </c>
      <c r="J21" s="13">
        <f>IF(AND(ISNUMBER(H21),ISNUMBER(I21)),H21*I21,"")</f>
        <v>422.5</v>
      </c>
      <c r="K21" s="11">
        <v>2190</v>
      </c>
      <c r="L21" s="11"/>
      <c r="M21" s="12">
        <f>IFERROR(IF(OR(L21&gt;=N21,H21&gt;=N21),LOOKUP(IF(L21="",H21,L21),{0,1,25,100},{0.0,5.0,4.35,4.225}),"MOQ="&amp;N21),"")</f>
        <v>4.225</v>
      </c>
      <c r="N21" s="11">
        <v>1</v>
      </c>
      <c r="O21" s="13">
        <f>IFERROR(IF(L21="",H21,L21)*M21,"")</f>
        <v>422.5</v>
      </c>
      <c r="P21" s="11" t="s">
        <v>106</v>
      </c>
      <c r="Q21" s="11">
        <v>4302</v>
      </c>
      <c r="R21" s="11"/>
      <c r="S21" s="12">
        <f>IFERROR(IF(OR(R21&gt;=T21,H21&gt;=T21),LOOKUP(IF(R21="",H21,R21),{0,1,25,100,2000},{0.0,5.03,4.37,4.25,4.24}),"MOQ="&amp;T21),"")</f>
        <v>4.25</v>
      </c>
      <c r="T21" s="11">
        <v>1</v>
      </c>
      <c r="U21" s="13">
        <f>IFERROR(IF(R21="",H21,R21)*S21,"")</f>
        <v>425.0</v>
      </c>
      <c r="V21" s="11" t="s">
        <v>124</v>
      </c>
    </row>
    <row r="22" spans="1:22">
      <c r="A22" s="11" t="s">
        <v>84</v>
      </c>
      <c r="B22" s="11" t="s">
        <v>85</v>
      </c>
      <c r="C22" s="11" t="s">
        <v>86</v>
      </c>
      <c r="E22" s="11" t="s">
        <v>87</v>
      </c>
      <c r="F22" s="11" t="s">
        <v>88</v>
      </c>
      <c r="G22" s="11" t="s">
        <v>85</v>
      </c>
      <c r="H22" s="11">
        <f>CEILING(BoardQty*1.0,1)</f>
        <v>100</v>
      </c>
      <c r="I22" s="12">
        <f>IF(MIN(M22,S22)&lt;&gt;0,MIN(M22,S22),"")</f>
        <v>0.225</v>
      </c>
      <c r="J22" s="13">
        <f>IF(AND(ISNUMBER(H22),ISNUMBER(I22)),H22*I22,"")</f>
        <v>22.5</v>
      </c>
      <c r="K22" s="11">
        <v>3995</v>
      </c>
      <c r="L22" s="11"/>
      <c r="M22" s="12">
        <f>IFERROR(IF(OR(L22&gt;=N22,H22&gt;=N22),LOOKUP(IF(L22="",H22,L22),{0,1,10,25,50,100,250,500,1000},{0.0,0.28,0.279,0.2584,0.2572,0.2284,0.22548,0.22208,0.21614}),"MOQ="&amp;N22),"")</f>
        <v>0.2284</v>
      </c>
      <c r="N22" s="11">
        <v>1</v>
      </c>
      <c r="O22" s="13">
        <f>IFERROR(IF(L22="",H22,L22)*M22,"")</f>
        <v>22.84</v>
      </c>
      <c r="P22" s="11" t="s">
        <v>107</v>
      </c>
      <c r="Q22" s="11">
        <v>3935</v>
      </c>
      <c r="R22" s="11"/>
      <c r="S22" s="12">
        <f>IFERROR(IF(OR(R22&gt;=T22,H22&gt;=T22),LOOKUP(IF(R22="",H22,R22),{0,1,10,100,500,1000,4000,8000,24000,48000},{0.0,0.278,0.257,0.225,0.221,0.216,0.197,0.189,0.185,0.179}),"MOQ="&amp;T22),"")</f>
        <v>0.225</v>
      </c>
      <c r="T22" s="11">
        <v>1</v>
      </c>
      <c r="U22" s="13">
        <f>IFERROR(IF(R22="",H22,R22)*S22,"")</f>
        <v>22.5</v>
      </c>
      <c r="V22" s="11" t="s">
        <v>125</v>
      </c>
    </row>
    <row r="24" spans="1:22">
      <c r="I24" s="1" t="s">
        <v>126</v>
      </c>
      <c r="J24" s="5">
        <f>SUM(O24,U24)</f>
        <v>0</v>
      </c>
      <c r="K24" s="15" t="s">
        <v>108</v>
      </c>
      <c r="L24" s="6">
        <f>IFERROR(IF(COUNTIF(L7:L22,"&gt;0")&gt;0,COUNTIF(L7:L22,"&gt;0")&amp;" of "&amp;(ROWS(N7:N22)-COUNTBLANK(N7:N22))&amp;" parts purchased",""),"")</f>
        <v/>
      </c>
      <c r="O24" s="5">
        <f>SUMIF(L7:L22,"&gt;0",O7:O22)</f>
        <v>0</v>
      </c>
      <c r="Q24" s="15" t="s">
        <v>108</v>
      </c>
      <c r="R24" s="6">
        <f>IFERROR(IF(COUNTIF(R7:R22,"&gt;0")&gt;0,COUNTIF(R7:R22,"&gt;0")&amp;" of "&amp;(ROWS(T7:T22)-COUNTBLANK(T7:T22))&amp;" parts purchased",""),"")</f>
        <v/>
      </c>
      <c r="U24" s="5">
        <f>SUMIF(R7:R22,"&gt;0",U7:U22)</f>
        <v>0</v>
      </c>
    </row>
    <row r="25" spans="1:22">
      <c r="A25" s="2" t="s">
        <v>139</v>
      </c>
      <c r="I25" s="16" t="s">
        <v>127</v>
      </c>
      <c r="L25" s="17">
        <f>CONCATENATE(L42,L43,L44,L45,L46,L47,L48,L49,L50,L51,L52,L53,L54,L55,L56,L57)</f>
        <v/>
      </c>
      <c r="R25" s="17">
        <f>CONCATENATE(R42,R43,R44,R45,R46,R47,R48,R49,R50,R51,R52,R53,R54,R55,R56,R57)</f>
        <v/>
      </c>
    </row>
    <row r="42" spans="12:18" ht="30" hidden="1" customHeight="1">
      <c r="L42" t="str">
        <f t="array" ref="L42:L57">IF(ISNUMBER(L7:L22)*(L7:L22&gt;=N7:N22)*(P7:P22&lt;&gt;""),TEXT(ROUNDUP(L7:L22/IF(ISNUMBER(N7:N22),N7:N22,1),0)*N7:N22,"##0")&amp;","&amp;P7:P22&amp;","&amp;SUBSTITUTE(SUBSTITUTE(IF(PURCHASE_DESCRIPTION&lt;&gt;"",PURCHASE_DESCRIPTION&amp;":","")&amp;A7:A22,",",";"),"
"," ")&amp;CHAR(10),"")</f>
        <v/>
      </c>
      <c r="R42" t="str">
        <f t="array" ref="R42:R57">IF(ISNUMBER(R7:R22)*(R7:R22&gt;=T7:T22)*(V7:V22&lt;&gt;""),V7:V22&amp;"|"&amp;TEXT(ROUNDUP(R7:R22/IF(ISNUMBER(T7:T22),T7:T22,1),0)*T7:T22,"##0")&amp;"|"&amp;SUBSTITUTE(SUBSTITUTE(SUBSTITUTE(IF(PURCHASE_DESCRIPTION&lt;&gt;"",PURCHASE_DESCRIPTION&amp;":","")&amp;A7:A22,"|",";")," ","_"),"
","_")&amp;CHAR(10),"")</f>
        <v/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  <row r="55" spans="12:18" ht="30" hidden="1" customHeight="1">
      <c r="L55">
        <v>0</v>
      </c>
      <c r="R55">
        <v>0</v>
      </c>
    </row>
    <row r="56" spans="12:18" ht="30" hidden="1" customHeight="1">
      <c r="L56">
        <v>0</v>
      </c>
      <c r="R56">
        <v>0</v>
      </c>
    </row>
    <row r="57" spans="12:18" ht="30" hidden="1" customHeight="1">
      <c r="L57">
        <v>0</v>
      </c>
      <c r="R57">
        <v>0</v>
      </c>
    </row>
  </sheetData>
  <mergeCells count="5">
    <mergeCell ref="A5:J5"/>
    <mergeCell ref="K5:P5"/>
    <mergeCell ref="L25:O41"/>
    <mergeCell ref="Q5:V5"/>
    <mergeCell ref="R25:U41"/>
  </mergeCells>
  <conditionalFormatting sqref="H10">
    <cfRule type="expression" dxfId="4" priority="141">
      <formula>AND(ISBLANK(G10),ISBLANK(O10),ISBLANK(U10))</formula>
    </cfRule>
    <cfRule type="expression" dxfId="1" priority="142">
      <formula>IF(SUM(K10,Q10)=0,1,0)</formula>
    </cfRule>
    <cfRule type="cellIs" dxfId="0" priority="143" operator="greaterThan">
      <formula>SUM(K10,Q10)</formula>
    </cfRule>
    <cfRule type="cellIs" dxfId="3" priority="144" operator="greaterThan">
      <formula>SUM(IF(ISNUMBER(M10),L10,0),IF(ISNUMBER(S10),R10,0))</formula>
    </cfRule>
  </conditionalFormatting>
  <conditionalFormatting sqref="H11">
    <cfRule type="expression" dxfId="4" priority="145">
      <formula>AND(ISBLANK(G11),ISBLANK(O11),ISBLANK(U11))</formula>
    </cfRule>
    <cfRule type="expression" dxfId="1" priority="146">
      <formula>IF(SUM(K11,Q11)=0,1,0)</formula>
    </cfRule>
    <cfRule type="cellIs" dxfId="0" priority="147" operator="greaterThan">
      <formula>SUM(K11,Q11)</formula>
    </cfRule>
    <cfRule type="cellIs" dxfId="3" priority="148" operator="greaterThan">
      <formula>SUM(IF(ISNUMBER(M11),L11,0),IF(ISNUMBER(S11),R11,0))</formula>
    </cfRule>
  </conditionalFormatting>
  <conditionalFormatting sqref="H12">
    <cfRule type="expression" dxfId="4" priority="149">
      <formula>AND(ISBLANK(G12),ISBLANK(O12),ISBLANK(U12))</formula>
    </cfRule>
    <cfRule type="expression" dxfId="1" priority="150">
      <formula>IF(SUM(K12,Q12)=0,1,0)</formula>
    </cfRule>
    <cfRule type="cellIs" dxfId="0" priority="151" operator="greaterThan">
      <formula>SUM(K12,Q12)</formula>
    </cfRule>
    <cfRule type="cellIs" dxfId="3" priority="152" operator="greaterThan">
      <formula>SUM(IF(ISNUMBER(M12),L12,0),IF(ISNUMBER(S12),R12,0))</formula>
    </cfRule>
  </conditionalFormatting>
  <conditionalFormatting sqref="H13">
    <cfRule type="expression" dxfId="4" priority="153">
      <formula>AND(ISBLANK(G13),ISBLANK(O13),ISBLANK(U13))</formula>
    </cfRule>
    <cfRule type="expression" dxfId="1" priority="154">
      <formula>IF(SUM(K13,Q13)=0,1,0)</formula>
    </cfRule>
    <cfRule type="cellIs" dxfId="0" priority="155" operator="greaterThan">
      <formula>SUM(K13,Q13)</formula>
    </cfRule>
    <cfRule type="cellIs" dxfId="3" priority="156" operator="greaterThan">
      <formula>SUM(IF(ISNUMBER(M13),L13,0),IF(ISNUMBER(S13),R13,0))</formula>
    </cfRule>
  </conditionalFormatting>
  <conditionalFormatting sqref="H14">
    <cfRule type="expression" dxfId="4" priority="157">
      <formula>AND(ISBLANK(G14),ISBLANK(O14),ISBLANK(U14))</formula>
    </cfRule>
    <cfRule type="expression" dxfId="1" priority="158">
      <formula>IF(SUM(K14,Q14)=0,1,0)</formula>
    </cfRule>
    <cfRule type="cellIs" dxfId="0" priority="159" operator="greaterThan">
      <formula>SUM(K14,Q14)</formula>
    </cfRule>
    <cfRule type="cellIs" dxfId="3" priority="160" operator="greaterThan">
      <formula>SUM(IF(ISNUMBER(M14),L14,0),IF(ISNUMBER(S14),R14,0))</formula>
    </cfRule>
  </conditionalFormatting>
  <conditionalFormatting sqref="H15">
    <cfRule type="expression" dxfId="4" priority="161">
      <formula>AND(ISBLANK(G15),ISBLANK(O15),ISBLANK(U15))</formula>
    </cfRule>
    <cfRule type="expression" dxfId="1" priority="162">
      <formula>IF(SUM(K15,Q15)=0,1,0)</formula>
    </cfRule>
    <cfRule type="cellIs" dxfId="0" priority="163" operator="greaterThan">
      <formula>SUM(K15,Q15)</formula>
    </cfRule>
    <cfRule type="cellIs" dxfId="3" priority="164" operator="greaterThan">
      <formula>SUM(IF(ISNUMBER(M15),L15,0),IF(ISNUMBER(S15),R15,0))</formula>
    </cfRule>
  </conditionalFormatting>
  <conditionalFormatting sqref="H16">
    <cfRule type="expression" dxfId="4" priority="165">
      <formula>AND(ISBLANK(G16),ISBLANK(O16),ISBLANK(U16))</formula>
    </cfRule>
    <cfRule type="expression" dxfId="1" priority="166">
      <formula>IF(SUM(K16,Q16)=0,1,0)</formula>
    </cfRule>
    <cfRule type="cellIs" dxfId="0" priority="167" operator="greaterThan">
      <formula>SUM(K16,Q16)</formula>
    </cfRule>
    <cfRule type="cellIs" dxfId="3" priority="168" operator="greaterThan">
      <formula>SUM(IF(ISNUMBER(M16),L16,0),IF(ISNUMBER(S16),R16,0))</formula>
    </cfRule>
  </conditionalFormatting>
  <conditionalFormatting sqref="H17">
    <cfRule type="expression" dxfId="4" priority="169">
      <formula>AND(ISBLANK(G17),ISBLANK(O17),ISBLANK(U17))</formula>
    </cfRule>
    <cfRule type="expression" dxfId="1" priority="170">
      <formula>IF(SUM(K17,Q17)=0,1,0)</formula>
    </cfRule>
    <cfRule type="cellIs" dxfId="0" priority="171" operator="greaterThan">
      <formula>SUM(K17,Q17)</formula>
    </cfRule>
    <cfRule type="cellIs" dxfId="3" priority="172" operator="greaterThan">
      <formula>SUM(IF(ISNUMBER(M17),L17,0),IF(ISNUMBER(S17),R17,0))</formula>
    </cfRule>
  </conditionalFormatting>
  <conditionalFormatting sqref="H18">
    <cfRule type="expression" dxfId="4" priority="173">
      <formula>AND(ISBLANK(G18),ISBLANK(O18),ISBLANK(U18))</formula>
    </cfRule>
    <cfRule type="expression" dxfId="1" priority="174">
      <formula>IF(SUM(K18,Q18)=0,1,0)</formula>
    </cfRule>
    <cfRule type="cellIs" dxfId="0" priority="175" operator="greaterThan">
      <formula>SUM(K18,Q18)</formula>
    </cfRule>
    <cfRule type="cellIs" dxfId="3" priority="176" operator="greaterThan">
      <formula>SUM(IF(ISNUMBER(M18),L18,0),IF(ISNUMBER(S18),R18,0))</formula>
    </cfRule>
  </conditionalFormatting>
  <conditionalFormatting sqref="H19">
    <cfRule type="expression" dxfId="4" priority="177">
      <formula>AND(ISBLANK(G19),ISBLANK(O19),ISBLANK(U19))</formula>
    </cfRule>
    <cfRule type="expression" dxfId="1" priority="178">
      <formula>IF(SUM(K19,Q19)=0,1,0)</formula>
    </cfRule>
    <cfRule type="cellIs" dxfId="0" priority="179" operator="greaterThan">
      <formula>SUM(K19,Q19)</formula>
    </cfRule>
    <cfRule type="cellIs" dxfId="3" priority="180" operator="greaterThan">
      <formula>SUM(IF(ISNUMBER(M19),L19,0),IF(ISNUMBER(S19),R19,0))</formula>
    </cfRule>
  </conditionalFormatting>
  <conditionalFormatting sqref="H20">
    <cfRule type="expression" dxfId="4" priority="181">
      <formula>AND(ISBLANK(G20),ISBLANK(O20),ISBLANK(U20))</formula>
    </cfRule>
    <cfRule type="expression" dxfId="1" priority="182">
      <formula>IF(SUM(K20,Q20)=0,1,0)</formula>
    </cfRule>
    <cfRule type="cellIs" dxfId="0" priority="183" operator="greaterThan">
      <formula>SUM(K20,Q20)</formula>
    </cfRule>
    <cfRule type="cellIs" dxfId="3" priority="184" operator="greaterThan">
      <formula>SUM(IF(ISNUMBER(M20),L20,0),IF(ISNUMBER(S20),R20,0))</formula>
    </cfRule>
  </conditionalFormatting>
  <conditionalFormatting sqref="H21">
    <cfRule type="expression" dxfId="4" priority="185">
      <formula>AND(ISBLANK(G21),ISBLANK(O21),ISBLANK(U21))</formula>
    </cfRule>
    <cfRule type="expression" dxfId="1" priority="186">
      <formula>IF(SUM(K21,Q21)=0,1,0)</formula>
    </cfRule>
    <cfRule type="cellIs" dxfId="0" priority="187" operator="greaterThan">
      <formula>SUM(K21,Q21)</formula>
    </cfRule>
    <cfRule type="cellIs" dxfId="3" priority="188" operator="greaterThan">
      <formula>SUM(IF(ISNUMBER(M21),L21,0),IF(ISNUMBER(S21),R21,0))</formula>
    </cfRule>
  </conditionalFormatting>
  <conditionalFormatting sqref="H22">
    <cfRule type="expression" dxfId="4" priority="189">
      <formula>AND(ISBLANK(G22),ISBLANK(O22),ISBLANK(U22))</formula>
    </cfRule>
    <cfRule type="expression" dxfId="1" priority="190">
      <formula>IF(SUM(K22,Q22)=0,1,0)</formula>
    </cfRule>
    <cfRule type="cellIs" dxfId="0" priority="191" operator="greaterThan">
      <formula>SUM(K22,Q22)</formula>
    </cfRule>
    <cfRule type="cellIs" dxfId="3" priority="192" operator="greaterThan">
      <formula>SUM(IF(ISNUMBER(M22),L22,0),IF(ISNUMBER(S22),R22,0))</formula>
    </cfRule>
  </conditionalFormatting>
  <conditionalFormatting sqref="H7">
    <cfRule type="expression" dxfId="4" priority="129">
      <formula>AND(ISBLANK(G7),ISBLANK(O7),ISBLANK(U7))</formula>
    </cfRule>
    <cfRule type="expression" dxfId="1" priority="130">
      <formula>IF(SUM(K7,Q7)=0,1,0)</formula>
    </cfRule>
    <cfRule type="cellIs" dxfId="0" priority="131" operator="greaterThan">
      <formula>SUM(K7,Q7)</formula>
    </cfRule>
    <cfRule type="cellIs" dxfId="3" priority="132" operator="greaterThan">
      <formula>SUM(IF(ISNUMBER(M7),L7,0),IF(ISNUMBER(S7),R7,0))</formula>
    </cfRule>
  </conditionalFormatting>
  <conditionalFormatting sqref="H8">
    <cfRule type="expression" dxfId="4" priority="133">
      <formula>AND(ISBLANK(G8),ISBLANK(O8),ISBLANK(U8))</formula>
    </cfRule>
    <cfRule type="expression" dxfId="1" priority="134">
      <formula>IF(SUM(K8,Q8)=0,1,0)</formula>
    </cfRule>
    <cfRule type="cellIs" dxfId="0" priority="135" operator="greaterThan">
      <formula>SUM(K8,Q8)</formula>
    </cfRule>
    <cfRule type="cellIs" dxfId="3" priority="136" operator="greaterThan">
      <formula>SUM(IF(ISNUMBER(M8),L8,0),IF(ISNUMBER(S8),R8,0))</formula>
    </cfRule>
  </conditionalFormatting>
  <conditionalFormatting sqref="H9">
    <cfRule type="expression" dxfId="4" priority="137">
      <formula>AND(ISBLANK(G9),ISBLANK(O9),ISBLANK(U9))</formula>
    </cfRule>
    <cfRule type="expression" dxfId="1" priority="138">
      <formula>IF(SUM(K9,Q9)=0,1,0)</formula>
    </cfRule>
    <cfRule type="cellIs" dxfId="0" priority="139" operator="greaterThan">
      <formula>SUM(K9,Q9)</formula>
    </cfRule>
    <cfRule type="cellIs" dxfId="3" priority="140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2">
    <cfRule type="cellIs" dxfId="0" priority="17" operator="lessThan">
      <formula>H12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1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22">
    <cfRule type="cellIs" dxfId="0" priority="57" operator="lessThan">
      <formula>H22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2">
    <cfRule type="expression" dxfId="1" priority="18">
      <formula>AND(NOT(ISBLANK(L12)),OR(K12="NonStk",L12&gt;K12))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1" priority="38">
      <formula>AND(NOT(ISBLANK(L18)),OR(K18="NonStk",L18&gt;K18))</formula>
    </cfRule>
  </conditionalFormatting>
  <conditionalFormatting sqref="L19">
    <cfRule type="expression" dxfId="3" priority="42">
      <formula>AND(L19&gt;0,MOD(L19,N19)&lt;&gt;0)</formula>
    </cfRule>
    <cfRule type="expression" dxfId="1" priority="43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22">
    <cfRule type="expression" dxfId="1" priority="58">
      <formula>AND(NOT(ISBLANK(L22)),OR(K22="NonStk",L22&gt;K22))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2">
    <cfRule type="cellIs" dxfId="2" priority="20" operator="lessThanOrEqual">
      <formula>I12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0" operator="lessThanOrEqual">
      <formula>I18</formula>
    </cfRule>
  </conditionalFormatting>
  <conditionalFormatting sqref="M19">
    <cfRule type="cellIs" dxfId="2" priority="45" operator="lessThanOrEqual">
      <formula>I19</formula>
    </cfRule>
    <cfRule type="expression" dxfId="3" priority="46">
      <formula>AND(H19&lt;502,L19&lt;502)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22">
    <cfRule type="cellIs" dxfId="2" priority="60" operator="lessThanOrEqual">
      <formula>I22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9">
    <cfRule type="expression" dxfId="3" priority="47">
      <formula>AND(H19&lt;502,L19&lt;502)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2">
    <cfRule type="cellIs" dxfId="2" priority="19" operator="lessThanOrEqual">
      <formula>J12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39" operator="lessThanOrEqual">
      <formula>J18</formula>
    </cfRule>
  </conditionalFormatting>
  <conditionalFormatting sqref="O19">
    <cfRule type="cellIs" dxfId="2" priority="44" operator="lessThanOrEqual">
      <formula>J19</formula>
    </cfRule>
    <cfRule type="expression" dxfId="3" priority="48">
      <formula>AND(H19&lt;502,L19&lt;502)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22">
    <cfRule type="cellIs" dxfId="2" priority="59" operator="lessThanOrEqual">
      <formula>J22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7" operator="lessThan">
      <formula>H10</formula>
    </cfRule>
  </conditionalFormatting>
  <conditionalFormatting sqref="Q11">
    <cfRule type="cellIs" dxfId="0" priority="81" operator="lessThan">
      <formula>H11</formula>
    </cfRule>
  </conditionalFormatting>
  <conditionalFormatting sqref="Q12">
    <cfRule type="cellIs" dxfId="0" priority="85" operator="lessThan">
      <formula>H12</formula>
    </cfRule>
  </conditionalFormatting>
  <conditionalFormatting sqref="Q14">
    <cfRule type="cellIs" dxfId="0" priority="89" operator="lessThan">
      <formula>H14</formula>
    </cfRule>
  </conditionalFormatting>
  <conditionalFormatting sqref="Q15">
    <cfRule type="cellIs" dxfId="0" priority="93" operator="lessThan">
      <formula>H15</formula>
    </cfRule>
  </conditionalFormatting>
  <conditionalFormatting sqref="Q16">
    <cfRule type="cellIs" dxfId="0" priority="97" operator="lessThan">
      <formula>H16</formula>
    </cfRule>
  </conditionalFormatting>
  <conditionalFormatting sqref="Q17">
    <cfRule type="cellIs" dxfId="0" priority="101" operator="lessThan">
      <formula>H17</formula>
    </cfRule>
  </conditionalFormatting>
  <conditionalFormatting sqref="Q18">
    <cfRule type="cellIs" dxfId="0" priority="105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7" operator="lessThan">
      <formula>H20</formula>
    </cfRule>
  </conditionalFormatting>
  <conditionalFormatting sqref="Q21">
    <cfRule type="cellIs" dxfId="0" priority="121" operator="lessThan">
      <formula>H21</formula>
    </cfRule>
  </conditionalFormatting>
  <conditionalFormatting sqref="Q22">
    <cfRule type="cellIs" dxfId="0" priority="125" operator="lessThan">
      <formula>H22</formula>
    </cfRule>
  </conditionalFormatting>
  <conditionalFormatting sqref="Q7">
    <cfRule type="cellIs" dxfId="0" priority="61" operator="lessThan">
      <formula>H7</formula>
    </cfRule>
  </conditionalFormatting>
  <conditionalFormatting sqref="Q8">
    <cfRule type="cellIs" dxfId="0" priority="65" operator="lessThan">
      <formula>H8</formula>
    </cfRule>
  </conditionalFormatting>
  <conditionalFormatting sqref="Q9">
    <cfRule type="cellIs" dxfId="0" priority="69" operator="lessThan">
      <formula>H9</formula>
    </cfRule>
  </conditionalFormatting>
  <conditionalFormatting sqref="R10">
    <cfRule type="expression" dxfId="1" priority="78">
      <formula>AND(NOT(ISBLANK(R10)),OR(Q10="NonStk",R10&gt;Q10))</formula>
    </cfRule>
  </conditionalFormatting>
  <conditionalFormatting sqref="R11">
    <cfRule type="expression" dxfId="1" priority="82">
      <formula>AND(NOT(ISBLANK(R11)),OR(Q11="NonStk",R11&gt;Q11))</formula>
    </cfRule>
  </conditionalFormatting>
  <conditionalFormatting sqref="R12">
    <cfRule type="expression" dxfId="1" priority="86">
      <formula>AND(NOT(ISBLANK(R12)),OR(Q12="NonStk",R12&gt;Q12))</formula>
    </cfRule>
  </conditionalFormatting>
  <conditionalFormatting sqref="R14">
    <cfRule type="expression" dxfId="1" priority="90">
      <formula>AND(NOT(ISBLANK(R14)),OR(Q14="NonStk",R14&gt;Q14))</formula>
    </cfRule>
  </conditionalFormatting>
  <conditionalFormatting sqref="R15">
    <cfRule type="expression" dxfId="1" priority="94">
      <formula>AND(NOT(ISBLANK(R15)),OR(Q15="NonStk",R15&gt;Q15))</formula>
    </cfRule>
  </conditionalFormatting>
  <conditionalFormatting sqref="R16">
    <cfRule type="expression" dxfId="1" priority="98">
      <formula>AND(NOT(ISBLANK(R16)),OR(Q16="NonStk",R16&gt;Q16))</formula>
    </cfRule>
  </conditionalFormatting>
  <conditionalFormatting sqref="R17">
    <cfRule type="expression" dxfId="1" priority="102">
      <formula>AND(NOT(ISBLANK(R17)),OR(Q17="NonStk",R17&gt;Q17))</formula>
    </cfRule>
  </conditionalFormatting>
  <conditionalFormatting sqref="R18">
    <cfRule type="expression" dxfId="1" priority="106">
      <formula>AND(NOT(ISBLANK(R18)),OR(Q18="NonStk",R18&gt;Q18))</formula>
    </cfRule>
  </conditionalFormatting>
  <conditionalFormatting sqref="R19">
    <cfRule type="expression" dxfId="3" priority="110">
      <formula>AND(R19&gt;0,MOD(R19,T19)&lt;&gt;0)</formula>
    </cfRule>
    <cfRule type="expression" dxfId="1" priority="111">
      <formula>AND(NOT(ISBLANK(R19)),OR(Q19="NonStk",R19&gt;Q19))</formula>
    </cfRule>
  </conditionalFormatting>
  <conditionalFormatting sqref="R20">
    <cfRule type="expression" dxfId="1" priority="118">
      <formula>AND(NOT(ISBLANK(R20)),OR(Q20="NonStk",R20&gt;Q20))</formula>
    </cfRule>
  </conditionalFormatting>
  <conditionalFormatting sqref="R21">
    <cfRule type="expression" dxfId="1" priority="122">
      <formula>AND(NOT(ISBLANK(R21)),OR(Q21="NonStk",R21&gt;Q21))</formula>
    </cfRule>
  </conditionalFormatting>
  <conditionalFormatting sqref="R22">
    <cfRule type="expression" dxfId="1" priority="126">
      <formula>AND(NOT(ISBLANK(R22)),OR(Q22="NonStk",R22&gt;Q22))</formula>
    </cfRule>
  </conditionalFormatting>
  <conditionalFormatting sqref="R7">
    <cfRule type="expression" dxfId="1" priority="62">
      <formula>AND(NOT(ISBLANK(R7)),OR(Q7="NonStk",R7&gt;Q7))</formula>
    </cfRule>
  </conditionalFormatting>
  <conditionalFormatting sqref="R8">
    <cfRule type="expression" dxfId="1" priority="66">
      <formula>AND(NOT(ISBLANK(R8)),OR(Q8="NonStk",R8&gt;Q8))</formula>
    </cfRule>
  </conditionalFormatting>
  <conditionalFormatting sqref="R9">
    <cfRule type="expression" dxfId="3" priority="70">
      <formula>AND(R9&gt;0,MOD(R9,T9)&lt;&gt;0)</formula>
    </cfRule>
    <cfRule type="expression" dxfId="1" priority="71">
      <formula>AND(NOT(ISBLANK(R9)),OR(Q9="NonStk",R9&gt;Q9))</formula>
    </cfRule>
  </conditionalFormatting>
  <conditionalFormatting sqref="S10">
    <cfRule type="cellIs" dxfId="2" priority="80" operator="lessThanOrEqual">
      <formula>I10</formula>
    </cfRule>
  </conditionalFormatting>
  <conditionalFormatting sqref="S11">
    <cfRule type="cellIs" dxfId="2" priority="84" operator="lessThanOrEqual">
      <formula>I11</formula>
    </cfRule>
  </conditionalFormatting>
  <conditionalFormatting sqref="S12">
    <cfRule type="cellIs" dxfId="2" priority="88" operator="lessThanOrEqual">
      <formula>I12</formula>
    </cfRule>
  </conditionalFormatting>
  <conditionalFormatting sqref="S14">
    <cfRule type="cellIs" dxfId="2" priority="92" operator="lessThanOrEqual">
      <formula>I14</formula>
    </cfRule>
  </conditionalFormatting>
  <conditionalFormatting sqref="S15">
    <cfRule type="cellIs" dxfId="2" priority="96" operator="lessThanOrEqual">
      <formula>I15</formula>
    </cfRule>
  </conditionalFormatting>
  <conditionalFormatting sqref="S16">
    <cfRule type="cellIs" dxfId="2" priority="100" operator="lessThanOrEqual">
      <formula>I16</formula>
    </cfRule>
  </conditionalFormatting>
  <conditionalFormatting sqref="S17">
    <cfRule type="cellIs" dxfId="2" priority="104" operator="lessThanOrEqual">
      <formula>I17</formula>
    </cfRule>
  </conditionalFormatting>
  <conditionalFormatting sqref="S18">
    <cfRule type="cellIs" dxfId="2" priority="108" operator="lessThanOrEqual">
      <formula>I18</formula>
    </cfRule>
  </conditionalFormatting>
  <conditionalFormatting sqref="S19">
    <cfRule type="cellIs" dxfId="2" priority="113" operator="lessThanOrEqual">
      <formula>I19</formula>
    </cfRule>
    <cfRule type="expression" dxfId="3" priority="114">
      <formula>AND(H19&lt;2000,R19&lt;2000)</formula>
    </cfRule>
  </conditionalFormatting>
  <conditionalFormatting sqref="S20">
    <cfRule type="cellIs" dxfId="2" priority="120" operator="lessThanOrEqual">
      <formula>I20</formula>
    </cfRule>
  </conditionalFormatting>
  <conditionalFormatting sqref="S21">
    <cfRule type="cellIs" dxfId="2" priority="124" operator="lessThanOrEqual">
      <formula>I21</formula>
    </cfRule>
  </conditionalFormatting>
  <conditionalFormatting sqref="S22">
    <cfRule type="cellIs" dxfId="2" priority="128" operator="lessThanOrEqual">
      <formula>I22</formula>
    </cfRule>
  </conditionalFormatting>
  <conditionalFormatting sqref="S7">
    <cfRule type="cellIs" dxfId="2" priority="64" operator="lessThanOrEqual">
      <formula>I7</formula>
    </cfRule>
  </conditionalFormatting>
  <conditionalFormatting sqref="S8">
    <cfRule type="cellIs" dxfId="2" priority="68" operator="lessThanOrEqual">
      <formula>I8</formula>
    </cfRule>
  </conditionalFormatting>
  <conditionalFormatting sqref="S9">
    <cfRule type="cellIs" dxfId="2" priority="73" operator="lessThanOrEqual">
      <formula>I9</formula>
    </cfRule>
    <cfRule type="expression" dxfId="3" priority="74">
      <formula>AND(H9&lt;10000,R9&lt;10000)</formula>
    </cfRule>
  </conditionalFormatting>
  <conditionalFormatting sqref="T19">
    <cfRule type="expression" dxfId="3" priority="115">
      <formula>AND(H19&lt;2000,R19&lt;2000)</formula>
    </cfRule>
  </conditionalFormatting>
  <conditionalFormatting sqref="T9">
    <cfRule type="expression" dxfId="3" priority="75">
      <formula>AND(H9&lt;10000,R9&lt;10000)</formula>
    </cfRule>
  </conditionalFormatting>
  <conditionalFormatting sqref="U10">
    <cfRule type="cellIs" dxfId="2" priority="79" operator="lessThanOrEqual">
      <formula>J10</formula>
    </cfRule>
  </conditionalFormatting>
  <conditionalFormatting sqref="U11">
    <cfRule type="cellIs" dxfId="2" priority="83" operator="lessThanOrEqual">
      <formula>J11</formula>
    </cfRule>
  </conditionalFormatting>
  <conditionalFormatting sqref="U12">
    <cfRule type="cellIs" dxfId="2" priority="87" operator="lessThanOrEqual">
      <formula>J12</formula>
    </cfRule>
  </conditionalFormatting>
  <conditionalFormatting sqref="U14">
    <cfRule type="cellIs" dxfId="2" priority="91" operator="lessThanOrEqual">
      <formula>J14</formula>
    </cfRule>
  </conditionalFormatting>
  <conditionalFormatting sqref="U15">
    <cfRule type="cellIs" dxfId="2" priority="95" operator="lessThanOrEqual">
      <formula>J15</formula>
    </cfRule>
  </conditionalFormatting>
  <conditionalFormatting sqref="U16">
    <cfRule type="cellIs" dxfId="2" priority="99" operator="lessThanOrEqual">
      <formula>J16</formula>
    </cfRule>
  </conditionalFormatting>
  <conditionalFormatting sqref="U17">
    <cfRule type="cellIs" dxfId="2" priority="103" operator="lessThanOrEqual">
      <formula>J17</formula>
    </cfRule>
  </conditionalFormatting>
  <conditionalFormatting sqref="U18">
    <cfRule type="cellIs" dxfId="2" priority="107" operator="lessThanOrEqual">
      <formula>J18</formula>
    </cfRule>
  </conditionalFormatting>
  <conditionalFormatting sqref="U19">
    <cfRule type="cellIs" dxfId="2" priority="112" operator="lessThanOrEqual">
      <formula>J19</formula>
    </cfRule>
    <cfRule type="expression" dxfId="3" priority="116">
      <formula>AND(H19&lt;2000,R19&lt;2000)</formula>
    </cfRule>
  </conditionalFormatting>
  <conditionalFormatting sqref="U20">
    <cfRule type="cellIs" dxfId="2" priority="119" operator="lessThanOrEqual">
      <formula>J20</formula>
    </cfRule>
  </conditionalFormatting>
  <conditionalFormatting sqref="U21">
    <cfRule type="cellIs" dxfId="2" priority="123" operator="lessThanOrEqual">
      <formula>J21</formula>
    </cfRule>
  </conditionalFormatting>
  <conditionalFormatting sqref="U22">
    <cfRule type="cellIs" dxfId="2" priority="127" operator="lessThanOrEqual">
      <formula>J22</formula>
    </cfRule>
  </conditionalFormatting>
  <conditionalFormatting sqref="U7">
    <cfRule type="cellIs" dxfId="2" priority="63" operator="lessThanOrEqual">
      <formula>J7</formula>
    </cfRule>
  </conditionalFormatting>
  <conditionalFormatting sqref="U8">
    <cfRule type="cellIs" dxfId="2" priority="67" operator="lessThanOrEqual">
      <formula>J8</formula>
    </cfRule>
  </conditionalFormatting>
  <conditionalFormatting sqref="U9">
    <cfRule type="cellIs" dxfId="2" priority="72" operator="lessThanOrEqual">
      <formula>J9</formula>
    </cfRule>
    <cfRule type="expression" dxfId="3" priority="76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2" r:id="rId15"/>
    <hyperlink ref="P12" r:id="rId16"/>
    <hyperlink ref="V12" r:id="rId17"/>
    <hyperlink ref="G14" r:id="rId18"/>
    <hyperlink ref="P14" r:id="rId19"/>
    <hyperlink ref="V14" r:id="rId20"/>
    <hyperlink ref="G15" r:id="rId21"/>
    <hyperlink ref="P15" r:id="rId22"/>
    <hyperlink ref="V15" r:id="rId23"/>
    <hyperlink ref="G16" r:id="rId24"/>
    <hyperlink ref="P16" r:id="rId25"/>
    <hyperlink ref="V16" r:id="rId26"/>
    <hyperlink ref="G17" r:id="rId27"/>
    <hyperlink ref="P17" r:id="rId28"/>
    <hyperlink ref="V17" r:id="rId29"/>
    <hyperlink ref="G18" r:id="rId30"/>
    <hyperlink ref="P18" r:id="rId31"/>
    <hyperlink ref="V18" r:id="rId32"/>
    <hyperlink ref="G19" r:id="rId33"/>
    <hyperlink ref="P19" r:id="rId34"/>
    <hyperlink ref="V19" r:id="rId35"/>
    <hyperlink ref="G20" r:id="rId36"/>
    <hyperlink ref="P20" r:id="rId37"/>
    <hyperlink ref="V20" r:id="rId38"/>
    <hyperlink ref="G21" r:id="rId39"/>
    <hyperlink ref="P21" r:id="rId40"/>
    <hyperlink ref="V21" r:id="rId41"/>
    <hyperlink ref="G22" r:id="rId42"/>
    <hyperlink ref="P22" r:id="rId43"/>
    <hyperlink ref="V22" r:id="rId44"/>
    <hyperlink ref="K24" r:id="rId45"/>
    <hyperlink ref="Q24" r:id="rId46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reDIP-RIOT</vt:lpstr>
      <vt:lpstr>'reDIP-RIOT'!BoardQty</vt:lpstr>
      <vt:lpstr>'reDIP-RIOT'!PURCHASE_DESCRIPTION</vt:lpstr>
      <vt:lpstr>'reDIP-RIOT'!TotalCost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2023-10-01T08:49:40Z</dcterms:created>
  <dcterms:modified xsi:type="dcterms:W3CDTF">2023-10-01T08:49:40Z</dcterms:modified>
</cp:coreProperties>
</file>