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RIOT-BOM" sheetId="1" r:id="rId1"/>
  </sheets>
  <definedNames>
    <definedName name="BoardQty" localSheetId="0">'reDIP-RIOT-BOM'!$J$1</definedName>
    <definedName name="PURCHASE_DESCRIPTION" localSheetId="0">'reDIP-RIOT-BOM'!$J$24</definedName>
    <definedName name="TotalCost" localSheetId="0">'reDIP-RIOT-BOM'!$J$3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$0.10      $5.23
   100   $0.09      $8.83
   500   $0.06     $30.20
  1000   $0.05     $53.43
  2500   $0.05    $127.75
  5000   $0.05    $232.30</t>
        </r>
      </text>
    </comment>
    <comment ref="P7" authorId="0">
      <text>
        <r>
          <rPr>
            <sz val="8"/>
            <color indexed="81"/>
            <rFont val="Tahoma"/>
            <family val="2"/>
          </rPr>
          <t>Desc: CAP CER 2.2UF 16V X6S 0402
Footprint: 0402 (1005 Metric)
Size: 0.039" L x 0.020" W (1.00mm x 0.50mm)
Temp_coeff: X6S
Tolerance: ±10%
Value: 2.2 µF 
Voltage: 16V</t>
        </r>
      </text>
    </comment>
    <comment ref="Q7" authorId="0">
      <text>
        <r>
          <rPr>
            <sz val="8"/>
            <color indexed="81"/>
            <rFont val="Tahoma"/>
            <family val="2"/>
          </rPr>
          <t>57211 In Stock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$0.14      $1.38
   100   $0.09      $8.90
   500   $0.06     $30.50
  1000   $0.05     $54.00
  2500   $0.05    $130.00
  5000   $0.05    $230.00
 10000   $0.05    $460.00</t>
        </r>
      </text>
    </comment>
    <comment ref="V7" authorId="0">
      <text>
        <r>
          <rPr>
            <sz val="8"/>
            <color indexed="81"/>
            <rFont val="Tahoma"/>
            <family val="2"/>
          </rPr>
          <t>Desc: Multilayer Ceramic Capacitors MLCC - SMD/SMT 2.2UF    16V   10%        0402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$0.15      $1.54
    50   $0.09      $4.61
   100   $0.08      $7.78
   500   $0.05     $26.62
  1000   $0.05     $47.09
  2500   $0.05    $112.60
  5000   $0.04    $204.75</t>
        </r>
      </text>
    </comment>
    <comment ref="P8" authorId="0">
      <text>
        <r>
          <rPr>
            <sz val="8"/>
            <color indexed="81"/>
            <rFont val="Tahoma"/>
            <family val="2"/>
          </rPr>
          <t>Desc: CAP CER 1UF 6.3V X6S 0201
Footprint: 0201 (0603 Metric)
Size: 0.024" L x 0.012" W (0.60mm x 0.30mm)
Temp_coeff: X6S
Tolerance: ±20%
Value: 1 µF 
Voltage: 6.3V</t>
        </r>
      </text>
    </comment>
    <comment ref="Q8" authorId="0">
      <text>
        <r>
          <rPr>
            <sz val="8"/>
            <color indexed="81"/>
            <rFont val="Tahoma"/>
            <family val="2"/>
          </rPr>
          <t>777764 In Stock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$0.09      $0.92
   100   $0.05      $5.40
  1000   $0.05     $48.00
  2500   $0.04    $102.50
 10000   $0.04    $360.00
 15000   $0.04    $525.00
 45000   $0.03  $1,440.00
 90000   $0.03  $2,610.00</t>
        </r>
      </text>
    </comment>
    <comment ref="V8" authorId="0">
      <text>
        <r>
          <rPr>
            <sz val="8"/>
            <color indexed="81"/>
            <rFont val="Tahoma"/>
            <family val="2"/>
          </rPr>
          <t>Desc: Multilayer Ceramic Capacitors MLCC - SMD/SMT 1 uF 6.3 VDC 20% 0201 X6S</t>
        </r>
      </text>
    </comment>
    <comment ref="Q9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$0.08    $830.00
 20000   $0.08  $1,560.00</t>
        </r>
      </text>
    </comment>
    <comment ref="V9" authorId="0">
      <text>
        <r>
          <rPr>
            <sz val="8"/>
            <color indexed="81"/>
            <rFont val="Tahoma"/>
            <family val="2"/>
          </rPr>
          <t>Desc: Multilayer Ceramic Capacitors MLCC - SMD/SMT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50   $0.01      $0.52
   100   $0.01      $0.85
   500   $0.01      $3.03
  1000   $0.00      $4.75
  2500   $0.00     $10.80
  5000   $0.00     $19.90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Desc: CAP CER 0.22UF 6.3V X5R 0201
Footprint: 0201 (0603 Metric)
Size: 0.024" L x 0.012" W (0.60mm x 0.30mm)
Temp_coeff: X5R
Tolerance: ±20%
Value: 0.22 µF 
Voltage: 6.3V</t>
        </r>
      </text>
    </comment>
    <comment ref="Q10" authorId="0">
      <text>
        <r>
          <rPr>
            <sz val="8"/>
            <color indexed="81"/>
            <rFont val="Tahoma"/>
            <family val="2"/>
          </rPr>
          <t>84464 In Stock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100   $0.01      $0.70
  1000   $0.01      $5.00
  2500   $0.00     $10.00
 15000   $0.00     $60.00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Desc: Multilayer Ceramic Capacitors MLCC - SMD/SMT 0.22 uF 6.3 VDC 20% 0201 X5R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$0.14      $1.36
   100   $0.07      $7.33
   500   $0.06     $28.80
  1000   $0.04     $40.00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Desc: DIODE GEN PURP 75V 150MA SOT323
Footprint: SC-70, SOT-323</t>
        </r>
      </text>
    </comment>
    <comment ref="Q11" authorId="0">
      <text>
        <r>
          <rPr>
            <sz val="8"/>
            <color indexed="81"/>
            <rFont val="Tahoma"/>
            <family val="2"/>
          </rPr>
          <t>21552 In Stock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$0.14      $1.35
   100   $0.06      $5.70
  1000   $0.04     $40.00
  3000   $0.03     $87.00
  9000   $0.03    $234.00
 24000   $0.02    $576.00</t>
        </r>
      </text>
    </comment>
    <comment ref="V11" authorId="0">
      <text>
        <r>
          <rPr>
            <sz val="8"/>
            <color indexed="81"/>
            <rFont val="Tahoma"/>
            <family val="2"/>
          </rPr>
          <t>Desc: Diodes - General Purpose, Power, Switching 75V 200mW</t>
        </r>
      </text>
    </comment>
    <comment ref="M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13" authorId="0">
      <text>
        <r>
          <rPr>
            <sz val="8"/>
            <color indexed="81"/>
            <rFont val="Tahoma"/>
            <family val="2"/>
          </rPr>
          <t xml:space="preserve">Desc: RES SMD 2.87K OHM 1% 1/20W 0201
Footprint: 0201 (0603 Metric)
Power: 0.05W, 1/20W
Size: 0.024" L x 0.012" W (0.60mm x 0.30mm)
Temp_coeff: ±200ppm/°C
Tolerance: ±1%
Value: 2.87 kOhms </t>
        </r>
      </text>
    </comment>
    <comment ref="Q13" authorId="0">
      <text>
        <r>
          <rPr>
            <sz val="8"/>
            <color indexed="81"/>
            <rFont val="Tahoma"/>
            <family val="2"/>
          </rPr>
          <t>28194 In Stock</t>
        </r>
      </text>
    </comment>
    <comment ref="S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$75.00</t>
        </r>
      </text>
    </comment>
    <comment ref="V13" authorId="0">
      <text>
        <r>
          <rPr>
            <sz val="8"/>
            <color indexed="81"/>
            <rFont val="Tahoma"/>
            <family val="2"/>
          </rPr>
          <t>Desc: Thick Film Resistors - SMD 0201 2.87Kohm 1% HalogenFree AEC-Q200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$0.01      $0.75
   100   $0.01      $1.25
   500   $0.01      $4.24
  1000   $0.01      $7.31
  5000   $0.01     $26.55</t>
        </r>
      </text>
    </comment>
    <comment ref="P14" authorId="0">
      <text>
        <r>
          <rPr>
            <sz val="8"/>
            <color indexed="81"/>
            <rFont val="Tahoma"/>
            <family val="2"/>
          </rPr>
          <t xml:space="preserve">Desc: RES SMD 100 OHM 5% 1/20W 0201
Footprint: 0201 (0603 Metric)
Power: 0.05W, 1/20W
Size: 0.024" L x 0.012" W (0.60mm x 0.30mm)
Temp_coeff: ±200ppm/°C
Tolerance: ±5%
Value: 100 Ohms </t>
        </r>
      </text>
    </comment>
    <comment ref="Q14" authorId="0">
      <text>
        <r>
          <rPr>
            <sz val="8"/>
            <color indexed="81"/>
            <rFont val="Tahoma"/>
            <family val="2"/>
          </rPr>
          <t>91154 In Stock</t>
        </r>
      </text>
    </comment>
    <comment ref="S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100   $0.01      $0.70
  1000   $0.01      $6.00
  2500   $0.00     $10.00
 15000   $0.00     $45.00</t>
        </r>
      </text>
    </comment>
    <comment ref="V14" authorId="0">
      <text>
        <r>
          <rPr>
            <sz val="8"/>
            <color indexed="81"/>
            <rFont val="Tahoma"/>
            <family val="2"/>
          </rPr>
          <t>Desc: Thick Film Resistors - SMD 0201 100ohm 5% HalogenFree AEC-Q200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15" authorId="0">
      <text>
        <r>
          <rPr>
            <sz val="8"/>
            <color indexed="81"/>
            <rFont val="Tahoma"/>
            <family val="2"/>
          </rPr>
          <t xml:space="preserve">Desc: RES SMD 10K OHM 1% 1/20W 0201
Footprint: 0201 (0603 Metric)
Power: 0.05W, 1/20W
Size: 0.024" L x 0.012" W (0.60mm x 0.30mm)
Temp_coeff: ±200ppm/°C
Tolerance: ±1%
Value: 10 kOhms </t>
        </r>
      </text>
    </comment>
    <comment ref="Q15" authorId="0">
      <text>
        <r>
          <rPr>
            <sz val="8"/>
            <color indexed="81"/>
            <rFont val="Tahoma"/>
            <family val="2"/>
          </rPr>
          <t>2408384 In Stock</t>
        </r>
      </text>
    </comment>
    <comment ref="S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$90.00</t>
        </r>
      </text>
    </comment>
    <comment ref="V15" authorId="0">
      <text>
        <r>
          <rPr>
            <sz val="8"/>
            <color indexed="81"/>
            <rFont val="Tahoma"/>
            <family val="2"/>
          </rPr>
          <t>Desc: Thick Film Resistors - SMD 0201 10Kohm 1% HalogenFree AEC-Q200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6" authorId="0">
      <text>
        <r>
          <rPr>
            <sz val="8"/>
            <color indexed="81"/>
            <rFont val="Tahoma"/>
            <family val="2"/>
          </rPr>
          <t>Desc: IC REG LINEAR 1.2V 300MA 4XDFN
Footprint: 4-XDFN Exposed Pad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11436 In Stock</t>
        </r>
      </text>
    </comment>
    <comment ref="S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$0.18      $1.79
   100   $0.12     $11.80
  1000   $0.09     $86.00
  5000   $0.08    $400.00
 10000   $0.07    $740.00
 25000   $0.07  $1,700.00
 50000   $0.06  $3,100.00
100000   $0.06  $6,100.00</t>
        </r>
      </text>
    </comment>
    <comment ref="V16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1.2V, XDFN, Active Discharge, Normal Vout Slew-Rate</t>
        </r>
      </text>
    </comment>
    <comment ref="M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7" authorId="0">
      <text>
        <r>
          <rPr>
            <sz val="8"/>
            <color indexed="81"/>
            <rFont val="Tahoma"/>
            <family val="2"/>
          </rPr>
          <t>Desc: IC REG LINEAR 3.3V 300MA 4XDFN
Footprint: 4-XDFN Exposed Pad</t>
        </r>
      </text>
    </comment>
    <comment ref="Q17" authorId="0">
      <text>
        <r>
          <rPr>
            <sz val="8"/>
            <color indexed="81"/>
            <rFont val="Tahoma"/>
            <family val="2"/>
          </rPr>
          <t>26927 In Stock</t>
        </r>
      </text>
    </comment>
    <comment ref="S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$0.25      $2.49
   100   $0.12     $12.40
  1000   $0.08     $83.00
  5000   $0.08    $390.00
 10000   $0.07    $740.00
 25000   $0.07  $1,700.00
 50000   $0.06  $3,100.00
100000   $0.06  $6,100.00</t>
        </r>
      </text>
    </comment>
    <comment ref="V17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3.3 V, Active Discharge, Normal Vout Slew-Rate</t>
        </r>
      </text>
    </comment>
    <comment ref="M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502   $0.60    $301.20</t>
        </r>
      </text>
    </comment>
    <comment ref="P18" authorId="0">
      <text>
        <r>
          <rPr>
            <sz val="8"/>
            <color indexed="81"/>
            <rFont val="Tahoma"/>
            <family val="2"/>
          </rPr>
          <t>Desc: IC BUS SWITCH 10 X 1:1 48TSSOP
Footprint: 48-TFSOP (0.240", 6.10mm Width)</t>
        </r>
      </text>
    </comment>
    <comment ref="Q18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$0.58  $1,158.00
  4000   $0.55  $2,216.00
 10000   $0.54  $5,390.00</t>
        </r>
      </text>
    </comment>
    <comment ref="V18" authorId="0">
      <text>
        <r>
          <rPr>
            <sz val="8"/>
            <color indexed="81"/>
            <rFont val="Tahoma"/>
            <family val="2"/>
          </rPr>
          <t>Desc: Digital Bus Switch ICs 3.3V ABT Octal Buff/Drv W/3-St Otpt</t>
        </r>
      </text>
    </comment>
    <comment ref="M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$0.22      $2.23
    25   $0.19      $4.66
   100   $0.12     $11.80
   250   $0.09     $22.78
   500   $0.08     $38.82
  1000   $0.05     $52.80</t>
        </r>
      </text>
    </comment>
    <comment ref="P19" authorId="0">
      <text>
        <r>
          <rPr>
            <sz val="8"/>
            <color indexed="81"/>
            <rFont val="Tahoma"/>
            <family val="2"/>
          </rPr>
          <t>Desc: IC INVERTER 1CH 1-INP SOT353
Footprint: 5-TSSOP, SC-70-5, SOT-353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1287 In Stock</t>
        </r>
      </text>
    </comment>
    <comment ref="S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$0.18      $1.84
   100   $0.08      $7.70
  1000   $0.05     $52.00
  3000   $0.04    $123.00
  9000   $0.03    $306.00
 24000   $0.03    $768.00
 45000   $0.03  $1,350.00</t>
        </r>
      </text>
    </comment>
    <comment ref="V19" authorId="0">
      <text>
        <r>
          <rPr>
            <sz val="8"/>
            <color indexed="81"/>
            <rFont val="Tahoma"/>
            <family val="2"/>
          </rPr>
          <t>Desc: Inverters AHC TTL Compatible LOGIC</t>
        </r>
      </text>
    </comment>
    <comment ref="K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M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$10.10     $10.10
    25   $8.80    $220.00
   100   $8.45    $845.00</t>
        </r>
      </text>
    </comment>
    <comment ref="P20" authorId="0">
      <text>
        <r>
          <rPr>
            <sz val="8"/>
            <color indexed="81"/>
            <rFont val="Tahoma"/>
            <family val="2"/>
          </rPr>
          <t>Desc: IC FPGA 39 I/O 48QFN
Footprint: 48-VFQFN Exposed Pad</t>
        </r>
      </text>
    </comment>
    <comment ref="Q20" authorId="0">
      <text>
        <r>
          <rPr>
            <sz val="8"/>
            <color indexed="81"/>
            <rFont val="Tahoma"/>
            <family val="2"/>
          </rPr>
          <t>12647 In Stock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$10.17     $10.17
    25   $8.85    $221.25
   100   $8.50    $850.00
  2000   $8.50 $17,000.00</t>
        </r>
      </text>
    </comment>
    <comment ref="V20" authorId="0">
      <text>
        <r>
          <rPr>
            <sz val="8"/>
            <color indexed="81"/>
            <rFont val="Tahoma"/>
            <family val="2"/>
          </rPr>
          <t>Desc: FPGA - Field Programmable Gate Array iCE40 UltraPlus, 5280 LUTs, 1.2V</t>
        </r>
      </text>
    </comment>
    <comment ref="M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$0.28      $2.79
    25   $0.26      $6.46
    50   $0.26     $12.86
   100   $0.23     $22.84
   250   $0.23     $56.37
   500   $0.22    $111.04
  1000   $0.22    $216.14</t>
        </r>
      </text>
    </comment>
    <comment ref="P21" authorId="0">
      <text>
        <r>
          <rPr>
            <sz val="8"/>
            <color indexed="81"/>
            <rFont val="Tahoma"/>
            <family val="2"/>
          </rPr>
          <t>Desc: IC FLASH 1MB SPI 85 MHZ 8SOIC
Footprint: 8-SOIC (0.154", 3.90mm Width)</t>
        </r>
      </text>
    </comment>
    <comment ref="Q21" authorId="0">
      <text>
        <r>
          <rPr>
            <sz val="8"/>
            <color indexed="81"/>
            <rFont val="Tahoma"/>
            <family val="2"/>
          </rPr>
          <t>3935 In Stock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$0.26      $2.57
   100   $0.23     $22.50
   500   $0.22    $110.50
  1000   $0.22    $216.00
  4000   $0.20    $788.00
  8000   $0.19  $1,512.00
 24000   $0.18  $4,440.00
 48000   $0.18  $8,592.00</t>
        </r>
      </text>
    </comment>
    <comment ref="V21" authorId="0">
      <text>
        <r>
          <rPr>
            <sz val="8"/>
            <color indexed="81"/>
            <rFont val="Tahoma"/>
            <family val="2"/>
          </rPr>
          <t>Desc: NOR Flash 1 Mbit, Ultra Low Energy, Wide Vcc (1.65V to 3.6V), -40C to 85C, SOIC-N 150mil (Tape &amp; Reel), Single, Dual, Quad SPI NOR flash</t>
        </r>
      </text>
    </comment>
    <comment ref="I2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2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<sst xmlns="http://schemas.openxmlformats.org/spreadsheetml/2006/main" count="197" uniqueCount="142">
  <si>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</si>
  <si>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</si>
  <si>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</si>
  <si>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</si>
  <si>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</si>
  <si>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</si>
  <si>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</si>
  <si>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</si>
  <si>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</si>
  <si>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</si>
  <si>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</si>
  <si>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C1,C3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</si>
  <si>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</si>
  <si>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</si>
  <si>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</si>
  <si>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</si>
  <si>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</si>
  <si>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</si>
  <si>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C2,C11</t>
  </si>
  <si>
    <t>CAP CER 1uF 6.3V 20% X6S 0201</t>
  </si>
  <si>
    <t>1.2V DC</t>
  </si>
  <si>
    <t>C_0201_0603Metric</t>
  </si>
  <si>
    <t>GRM033C80J105ME05D</t>
  </si>
  <si>
    <t>C4</t>
  </si>
  <si>
    <t>CAP CER 2.2uF 10V 20% X5R 0201</t>
  </si>
  <si>
    <t>3.3V DC DERATED TO 1uF</t>
  </si>
  <si>
    <t>GRM035R61A225ME01D</t>
  </si>
  <si>
    <t>C5-C10,C12</t>
  </si>
  <si>
    <t>0.1uF</t>
  </si>
  <si>
    <t>CAP CER 0.22uF 6.3V 20% X5R 0201</t>
  </si>
  <si>
    <t>C8: 1.2V DC DERATED TO 0.1uF
C5-C7,C9,C10,C12: 3.3V DC DERATED TO 0.1uF</t>
  </si>
  <si>
    <t>GRM033R60J224ME90D</t>
  </si>
  <si>
    <t>D1</t>
  </si>
  <si>
    <t>BAS16W</t>
  </si>
  <si>
    <t>DIODE Vf=715mV If=1mA</t>
  </si>
  <si>
    <t>Replacement parts: BAS16W SOT-323/SC-70</t>
  </si>
  <si>
    <t>SOT-323_SC-70</t>
  </si>
  <si>
    <t>Diodes</t>
  </si>
  <si>
    <t>BAS16W-7-F</t>
  </si>
  <si>
    <t>J1,J2</t>
  </si>
  <si>
    <t>Conn_01x20</t>
  </si>
  <si>
    <t>CONN HDR CIRCULAR PIN 0.5mm 20 POS .100" GOLD MATING 3mm TAIL 3mm</t>
  </si>
  <si>
    <t>Replacement parts: XKB X5511WV-20-C396D43-1220, other similar hdr circular pin ~0.5mm</t>
  </si>
  <si>
    <t>PinHeader_1x20_P2.54mm_Vertical_Machined</t>
  </si>
  <si>
    <t>XKB</t>
  </si>
  <si>
    <t>X5511WV-20-C35D35-1000</t>
  </si>
  <si>
    <t>R1,R5</t>
  </si>
  <si>
    <t>2.87k</t>
  </si>
  <si>
    <t>RES 2.87kΩ 50mW 1% 0201</t>
  </si>
  <si>
    <t>R_0201_0603Metric</t>
  </si>
  <si>
    <t>Panasonic</t>
  </si>
  <si>
    <t>ERJ1GNF2871C</t>
  </si>
  <si>
    <t>R2</t>
  </si>
  <si>
    <t>100</t>
  </si>
  <si>
    <t>RES 100Ω 50mW 5% 0201</t>
  </si>
  <si>
    <t>ERJ1GNJ101C</t>
  </si>
  <si>
    <t>R3,R4</t>
  </si>
  <si>
    <t>10k</t>
  </si>
  <si>
    <t>RES 10kΩ 50mW 1% 0201</t>
  </si>
  <si>
    <t>ERJ1GNF1002C</t>
  </si>
  <si>
    <t>U1</t>
  </si>
  <si>
    <t>NCP115AMX120TCG</t>
  </si>
  <si>
    <t>IC REG LDO 1.2V 300mA XDFN4</t>
  </si>
  <si>
    <t>CASE_711AJ_1.0x1.0mm_P0.65mm</t>
  </si>
  <si>
    <t>onsemi</t>
  </si>
  <si>
    <t>U2</t>
  </si>
  <si>
    <t>NCP115AMX330TCG</t>
  </si>
  <si>
    <t>IC REG LDO 3.3V 300mA XDFN4</t>
  </si>
  <si>
    <t>U3,U4</t>
  </si>
  <si>
    <t>SN74CBT16210CDGGR</t>
  </si>
  <si>
    <t>IC BUS SWITCH TSSOP-48</t>
  </si>
  <si>
    <t>Replacement parts: SN74CBT16210DGGR</t>
  </si>
  <si>
    <t>TSSOP-48_6.1x12.5mm_P0.5mm</t>
  </si>
  <si>
    <t>TI</t>
  </si>
  <si>
    <t>U5</t>
  </si>
  <si>
    <t>74AHCT1G14</t>
  </si>
  <si>
    <t>IC SCHMITT-TRIGGER INVERTER</t>
  </si>
  <si>
    <t>Replacement parts: 74AHCT1G14 SOT-353/SC-70-5</t>
  </si>
  <si>
    <t>SOT-353_SC-70-5</t>
  </si>
  <si>
    <t>74AHCT1G14SE-7</t>
  </si>
  <si>
    <t>U6</t>
  </si>
  <si>
    <t>ICE40UP5K-SG48</t>
  </si>
  <si>
    <t>IC FPGA QFN-48</t>
  </si>
  <si>
    <t>QFN-48-1EP_7x7mm_P0.5mm_EP5.6x5.6mm</t>
  </si>
  <si>
    <t>Lattice</t>
  </si>
  <si>
    <t>ICE40UP5K-SG48I</t>
  </si>
  <si>
    <t>U7</t>
  </si>
  <si>
    <t>AT25EU0011A-SSHN</t>
  </si>
  <si>
    <t>IC FLASH 1MBIT</t>
  </si>
  <si>
    <t>Replacement parts: 1MBit SPI flash SOIC-8/SOP-8</t>
  </si>
  <si>
    <t>SOIC-8_3.9x4.9mm_P1.27mm</t>
  </si>
  <si>
    <t>Renesas</t>
  </si>
  <si>
    <t>AT25EU0011A-SSHN-T</t>
  </si>
  <si>
    <t>Digi-Key</t>
  </si>
  <si>
    <t>Avail</t>
  </si>
  <si>
    <t>Purch</t>
  </si>
  <si>
    <t>MOQ</t>
  </si>
  <si>
    <t>Cat#</t>
  </si>
  <si>
    <t>490-14595-1-ND</t>
  </si>
  <si>
    <t>490-13218-1-ND</t>
  </si>
  <si>
    <t>490-11973-1-ND</t>
  </si>
  <si>
    <t>BAS16W-FDICT-ND</t>
  </si>
  <si>
    <t>P122901CT-ND</t>
  </si>
  <si>
    <t>P123220CT-ND</t>
  </si>
  <si>
    <t>P122414CT-ND</t>
  </si>
  <si>
    <t>NCP115AMX120TCGOSCT-ND</t>
  </si>
  <si>
    <t>NCP115AMX330TCGOSCT-ND</t>
  </si>
  <si>
    <t>2156-SN74CBT16210CDGGR-ND</t>
  </si>
  <si>
    <t>74AHCT1G14SE-7DICT-ND</t>
  </si>
  <si>
    <t>220-2212-1-ND</t>
  </si>
  <si>
    <t>NonStk</t>
  </si>
  <si>
    <t>1695-AT25EU0011A-SSHN-TCT-ND</t>
  </si>
  <si>
    <t>Buy here</t>
  </si>
  <si>
    <t>Mouser</t>
  </si>
  <si>
    <t>81-GRM155C81C225KE1D</t>
  </si>
  <si>
    <t>81-GRM033C80J105ME5D</t>
  </si>
  <si>
    <t>81-GRM035R61A225ME1D</t>
  </si>
  <si>
    <t>81-GRM033R60J224ME9D</t>
  </si>
  <si>
    <t>621-BAS16W-F</t>
  </si>
  <si>
    <t>667-ERJ-1GNF2871C</t>
  </si>
  <si>
    <t>667-ERJ-1GNJ101C</t>
  </si>
  <si>
    <t>667-ERJ-1GNF1002C</t>
  </si>
  <si>
    <t>863-NCP115AMX120TCG</t>
  </si>
  <si>
    <t>863-NCP115AMX330TCG</t>
  </si>
  <si>
    <t>595-SN74CBT16210CDGG</t>
  </si>
  <si>
    <t>621-74AHCT1G14SE-7</t>
  </si>
  <si>
    <t>842-ICE40UP5K-SG48I</t>
  </si>
  <si>
    <t>724-AT25EU0011ASSHNT</t>
  </si>
  <si>
    <t>Total Purchase:</t>
  </si>
  <si>
    <t>Purchase description:</t>
  </si>
  <si>
    <t>Prj:</t>
  </si>
  <si>
    <t>reDIP RIOT</t>
  </si>
  <si>
    <t>Co.:</t>
  </si>
  <si>
    <t>Nimrod</t>
  </si>
  <si>
    <t>Prj date:</t>
  </si>
  <si>
    <t>Sat 04 Nov 2023 08:29:48 AM CET</t>
  </si>
  <si>
    <t>Board Qty:</t>
  </si>
  <si>
    <t>Total Cost:</t>
  </si>
  <si>
    <t>Unit Cost:</t>
  </si>
  <si>
    <t>$ date:</t>
  </si>
  <si>
    <t>2023-11-04 08:29:49</t>
  </si>
  <si>
    <t>KiCost® v1.1.18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</si>
</sst>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$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www.digikey.com/en/products/detail/murata-electronics/GRM155C81C225KE11D/4905093" TargetMode="External"/><Relationship Id="rId3" Type="http://schemas.openxmlformats.org/officeDocument/2006/relationships/hyperlink" Target="https://no.mouser.com/ProductDetail/Murata-Electronics/GRM155C81C225KE11D?qs=eeBpzGFlv%252B8b6nuSU%252BIq%2FQ%3D%3D" TargetMode="External"/><Relationship Id="rId4" Type="http://schemas.openxmlformats.org/officeDocument/2006/relationships/hyperlink" Target="https://www.murata.com/products/productdetail.aspx?partno=GRM033C80J105ME05D" TargetMode="External"/><Relationship Id="rId5" Type="http://schemas.openxmlformats.org/officeDocument/2006/relationships/hyperlink" Target="https://www.digikey.com/en/products/detail/murata-electronics/GRM033C80J105ME05D/5877381" TargetMode="External"/><Relationship Id="rId6" Type="http://schemas.openxmlformats.org/officeDocument/2006/relationships/hyperlink" Target="https://no.mouser.com/ProductDetail/Murata-Electronics/GRM033C80J105ME05D?qs=P8zzrVhehaso8Xg5mhsu3Q%3D%3D" TargetMode="External"/><Relationship Id="rId7" Type="http://schemas.openxmlformats.org/officeDocument/2006/relationships/hyperlink" Target="https://www.murata.com/products/productdetail.aspx?partno=GRM035R61A225ME01D" TargetMode="External"/><Relationship Id="rId8" Type="http://schemas.openxmlformats.org/officeDocument/2006/relationships/hyperlink" Target="https://no.mouser.com/ProductDetail/Murata-Electronics/GRM035R61A225ME01D?qs=pUKx8fyJudAGsIsikE8KgA%3D%3D" TargetMode="External"/><Relationship Id="rId9" Type="http://schemas.openxmlformats.org/officeDocument/2006/relationships/hyperlink" Target="https://www.murata.com/products/productdetail.aspx?partno=GRM033R60J224ME90D" TargetMode="External"/><Relationship Id="rId10" Type="http://schemas.openxmlformats.org/officeDocument/2006/relationships/hyperlink" Target="https://www.digikey.com/en/products/detail/murata-electronics/GRM033R60J224ME90D/4904674" TargetMode="External"/><Relationship Id="rId11" Type="http://schemas.openxmlformats.org/officeDocument/2006/relationships/hyperlink" Target="https://no.mouser.com/ProductDetail/Murata-Electronics/GRM033R60J224ME90D?qs=2W5sgKM%2F3704nCcQ8ai7mA%3D%3D" TargetMode="External"/><Relationship Id="rId12" Type="http://schemas.openxmlformats.org/officeDocument/2006/relationships/hyperlink" Target="https://www.diodes.com/assets/Datasheets/MMBD4148W_BAS16W.pdf" TargetMode="External"/><Relationship Id="rId13" Type="http://schemas.openxmlformats.org/officeDocument/2006/relationships/hyperlink" Target="https://www.digikey.com/en/products/detail/diodes-incorporated/BAS16W-7-F/814988" TargetMode="External"/><Relationship Id="rId14" Type="http://schemas.openxmlformats.org/officeDocument/2006/relationships/hyperlink" Target="https://no.mouser.com/ProductDetail/Diodes-Incorporated/BAS16W-7-F?qs=Kn7RVldD90CMqWoFVqNeZQ%3D%3D" TargetMode="External"/><Relationship Id="rId15" Type="http://schemas.openxmlformats.org/officeDocument/2006/relationships/hyperlink" Target="https://www.helloxkb.com/Home/Goods/goodsInfo/id/72370.html" TargetMode="External"/><Relationship Id="rId16" Type="http://schemas.openxmlformats.org/officeDocument/2006/relationships/hyperlink" Target="https://industrial.panasonic.com/ww/products/pt/general-purpose-chip-resistors/models/ERJ1GNF2871C" TargetMode="External"/><Relationship Id="rId17" Type="http://schemas.openxmlformats.org/officeDocument/2006/relationships/hyperlink" Target="https://www.digikey.com/en/products/detail/panasonic-electronic-components/ERJ-1GNF2871C/2036162" TargetMode="External"/><Relationship Id="rId18" Type="http://schemas.openxmlformats.org/officeDocument/2006/relationships/hyperlink" Target="https://no.mouser.com/ProductDetail/Panasonic/ERJ-1GNF2871C?qs=nuXzIS8loXEy0KxXtNZxEA%3D%3D" TargetMode="External"/><Relationship Id="rId19" Type="http://schemas.openxmlformats.org/officeDocument/2006/relationships/hyperlink" Target="https://industrial.panasonic.com/ww/products/pt/general-purpose-chip-resistors/models/ERJ1GNJ101C" TargetMode="External"/><Relationship Id="rId20" Type="http://schemas.openxmlformats.org/officeDocument/2006/relationships/hyperlink" Target="https://www.digikey.com/en/products/detail/panasonic-electronic-components/ERJ-1GNJ101C/2035763" TargetMode="External"/><Relationship Id="rId21" Type="http://schemas.openxmlformats.org/officeDocument/2006/relationships/hyperlink" Target="https://no.mouser.com/ProductDetail/Panasonic/ERJ-1GNJ101C?qs=nuXzIS8loXGN5So4aOOV1Q%3D%3D" TargetMode="External"/><Relationship Id="rId22" Type="http://schemas.openxmlformats.org/officeDocument/2006/relationships/hyperlink" Target="https://industrial.panasonic.com/ww/products/pt/general-purpose-chip-resistors/models/ERJ1GNF1002C" TargetMode="External"/><Relationship Id="rId23" Type="http://schemas.openxmlformats.org/officeDocument/2006/relationships/hyperlink" Target="https://www.digikey.com/en/products/detail/panasonic-electronic-components/ERJ-1GNF1002C/2036226" TargetMode="External"/><Relationship Id="rId24" Type="http://schemas.openxmlformats.org/officeDocument/2006/relationships/hyperlink" Target="https://no.mouser.com/ProductDetail/Panasonic/ERJ-1GNF1002C?qs=nuXzIS8loXE96jG2vMMQNw%3D%3D" TargetMode="External"/><Relationship Id="rId25" Type="http://schemas.openxmlformats.org/officeDocument/2006/relationships/hyperlink" Target="https://www.onsemi.com/pdf/datasheet/ncp115-d.pdf" TargetMode="External"/><Relationship Id="rId26" Type="http://schemas.openxmlformats.org/officeDocument/2006/relationships/hyperlink" Target="https://www.digikey.com/en/products/detail/onsemi/NCP115AMX120TCG/9829201" TargetMode="External"/><Relationship Id="rId27" Type="http://schemas.openxmlformats.org/officeDocument/2006/relationships/hyperlink" Target="https://no.mouser.com/ProductDetail/onsemi/NCP115AMX120TCG?qs=l7cgNqFNU1iSEavmMXBgHw%3D%3D" TargetMode="External"/><Relationship Id="rId28" Type="http://schemas.openxmlformats.org/officeDocument/2006/relationships/hyperlink" Target="https://www.onsemi.com/pdf/datasheet/ncp115-d.pdf" TargetMode="External"/><Relationship Id="rId29" Type="http://schemas.openxmlformats.org/officeDocument/2006/relationships/hyperlink" Target="https://www.digikey.com/en/products/detail/onsemi/NCP115AMX330TCG/9829207" TargetMode="External"/><Relationship Id="rId30" Type="http://schemas.openxmlformats.org/officeDocument/2006/relationships/hyperlink" Target="https://no.mouser.com/ProductDetail/onsemi/NCP115AMX330TCG?qs=l7cgNqFNU1j9mIi8Ii%2FRXw%3D%3D" TargetMode="External"/><Relationship Id="rId31" Type="http://schemas.openxmlformats.org/officeDocument/2006/relationships/hyperlink" Target="https://www.ti.com/lit/ds/symlink/sn74cbt16210c.pdf" TargetMode="External"/><Relationship Id="rId32" Type="http://schemas.openxmlformats.org/officeDocument/2006/relationships/hyperlink" Target="https://www.digikey.com/en/products/detail/texas-instruments/SN74CBT16210CDGGR/864166" TargetMode="External"/><Relationship Id="rId33" Type="http://schemas.openxmlformats.org/officeDocument/2006/relationships/hyperlink" Target="https://no.mouser.com/ProductDetail/Texas-Instruments/SN74CBT16210CDGGR?qs=PVVDbbWpW3LUOtG5S0DQpQ%3D%3D" TargetMode="External"/><Relationship Id="rId34" Type="http://schemas.openxmlformats.org/officeDocument/2006/relationships/hyperlink" Target="https://www.diodes.com/assets/Datasheets/74AHCT1G14.pdf" TargetMode="External"/><Relationship Id="rId35" Type="http://schemas.openxmlformats.org/officeDocument/2006/relationships/hyperlink" Target="https://www.digikey.com/en/products/detail/diodes-incorporated/74AHCT1G14SE-7/2711985" TargetMode="External"/><Relationship Id="rId36" Type="http://schemas.openxmlformats.org/officeDocument/2006/relationships/hyperlink" Target="https://no.mouser.com/ProductDetail/Diodes-Incorporated/74AHCT1G14SE-7?qs=MKoP7Oyr0W4E9AvHvgTtWw%3D%3D" TargetMode="External"/><Relationship Id="rId37" Type="http://schemas.openxmlformats.org/officeDocument/2006/relationships/hyperlink" Target="http://www.latticesemi.com/Products/FPGAandCPLD/iCE40Ultra" TargetMode="External"/><Relationship Id="rId38" Type="http://schemas.openxmlformats.org/officeDocument/2006/relationships/hyperlink" Target="https://www.digikey.com/en/products/detail/lattice-semiconductor-corporation/ICE40UP5K-SG48I/7785190" TargetMode="External"/><Relationship Id="rId39" Type="http://schemas.openxmlformats.org/officeDocument/2006/relationships/hyperlink" Target="https://no.mouser.com/ProductDetail/Lattice/ICE40UP5K-SG48I?qs=Rp3RbKSfAt3UqOG1AN4%2FAg%3D%3D" TargetMode="External"/><Relationship Id="rId40" Type="http://schemas.openxmlformats.org/officeDocument/2006/relationships/hyperlink" Target="https://www.renesas.com/us/en/document/dst/at25eu0011a-datasheet" TargetMode="External"/><Relationship Id="rId41" Type="http://schemas.openxmlformats.org/officeDocument/2006/relationships/hyperlink" Target="https://www.digikey.com/en/products/detail/renesas-electronics-operations-services-limited/AT25EU0011A-SSHN-T/14309093" TargetMode="External"/><Relationship Id="rId42" Type="http://schemas.openxmlformats.org/officeDocument/2006/relationships/hyperlink" Target="https://no.mouser.com/ProductDetail/Renesas-Dialog/AT25EU0011A-SSHN-T?qs=QNEnbhJQKvbVoO3jTCIuvg%3D%3D" TargetMode="External"/><Relationship Id="rId43" Type="http://schemas.openxmlformats.org/officeDocument/2006/relationships/hyperlink" Target="https://www.digikey.com/ordering/shoppingcart" TargetMode="External"/><Relationship Id="rId44" Type="http://schemas.openxmlformats.org/officeDocument/2006/relationships/hyperlink" Target="https://mouser.com/bom/" TargetMode="External"/><Relationship Id="rId45" Type="http://schemas.openxmlformats.org/officeDocument/2006/relationships/vmlDrawing" Target="../drawings/vmlDrawing1.vml"/><Relationship Id="rId4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11.7109375" customWidth="1"/>
    <col min="2" max="2" width="18.7109375" customWidth="1"/>
    <col min="3" max="3" width="33.7109375" customWidth="1" outlineLevel="2"/>
    <col min="4" max="4" width="32.7109375" customWidth="1"/>
    <col min="5" max="5" width="33.7109375" customWidth="1" outlineLevel="2"/>
    <col min="6" max="6" width="10.7109375" customWidth="1" outlineLevel="1"/>
    <col min="7" max="7" width="23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29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1.7109375" customWidth="1" outlineLevel="2"/>
  </cols>
  <sheetData>
    <row r="1" spans="1:22">
      <c r="A1" s="1" t="s">
        <v>130</v>
      </c>
      <c r="B1" s="2" t="s">
        <v>131</v>
      </c>
      <c r="I1" s="3" t="s">
        <v>136</v>
      </c>
      <c r="J1" s="3">
        <v>100</v>
      </c>
    </row>
    <row r="2" spans="1:22">
      <c r="A2" s="1" t="s">
        <v>132</v>
      </c>
      <c r="B2" s="2" t="s">
        <v>133</v>
      </c>
      <c r="I2" s="1" t="s">
        <v>138</v>
      </c>
      <c r="J2" s="4">
        <f>TotalCost/BoardQty</f>
        <v>9.441</v>
      </c>
    </row>
    <row r="3" spans="1:22">
      <c r="A3" s="1" t="s">
        <v>134</v>
      </c>
      <c r="B3" s="2" t="s">
        <v>135</v>
      </c>
      <c r="I3" s="1" t="s">
        <v>137</v>
      </c>
      <c r="J3" s="5">
        <f>SUM(J7:J21)</f>
        <v>944.102</v>
      </c>
      <c r="O3" s="5">
        <f>SUM(O7:O21)</f>
        <v>961.942</v>
      </c>
      <c r="P3" s="6" t="str">
        <f>(COUNTA(O7:O21)&amp;" of "&amp;ROWS(O7:O21)&amp;" parts found")</f>
        <v>13 of 15 parts found</v>
      </c>
      <c r="U3" s="5">
        <f>SUM(U7:U21)</f>
        <v>949.9</v>
      </c>
      <c r="V3" s="6" t="str">
        <f>(COUNTA(U7:U21)&amp;" of "&amp;ROWS(U7:U21)&amp;" parts found")</f>
        <v>14 of 15 parts found</v>
      </c>
    </row>
    <row r="4" spans="1:22">
      <c r="A4" s="1" t="s">
        <v>139</v>
      </c>
      <c r="B4" s="2" t="s">
        <v>140</v>
      </c>
    </row>
    <row r="5" spans="1:22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93</v>
      </c>
      <c r="L5" s="8"/>
      <c r="M5" s="8"/>
      <c r="N5" s="8"/>
      <c r="O5" s="8"/>
      <c r="P5" s="8"/>
      <c r="Q5" s="9" t="s">
        <v>113</v>
      </c>
      <c r="R5" s="9"/>
      <c r="S5" s="9"/>
      <c r="T5" s="9"/>
      <c r="U5" s="9"/>
      <c r="V5" s="9"/>
    </row>
    <row r="6" spans="1:22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94</v>
      </c>
      <c r="L6" s="10" t="s">
        <v>95</v>
      </c>
      <c r="M6" s="10" t="s">
        <v>9</v>
      </c>
      <c r="N6" s="10" t="s">
        <v>96</v>
      </c>
      <c r="O6" s="10" t="s">
        <v>10</v>
      </c>
      <c r="P6" s="10" t="s">
        <v>97</v>
      </c>
      <c r="Q6" s="10" t="s">
        <v>94</v>
      </c>
      <c r="R6" s="10" t="s">
        <v>95</v>
      </c>
      <c r="S6" s="10" t="s">
        <v>9</v>
      </c>
      <c r="T6" s="10" t="s">
        <v>96</v>
      </c>
      <c r="U6" s="10" t="s">
        <v>10</v>
      </c>
      <c r="V6" s="10" t="s">
        <v>97</v>
      </c>
    </row>
    <row r="7" spans="1:22">
      <c r="A7" s="11" t="s">
        <v>11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>
        <f>CEILING(BoardQty*2.0,1)</f>
        <v>200</v>
      </c>
      <c r="I7" s="12">
        <f>IF(MIN(M7,S7)&lt;&gt;0,MIN(M7,S7),"")</f>
        <v>0.0883</v>
      </c>
      <c r="J7" s="13">
        <f>IF(AND(ISNUMBER(H7),ISNUMBER(I7)),H7*I7,"")</f>
        <v>17.66</v>
      </c>
      <c r="K7" s="11">
        <v>66508</v>
      </c>
      <c r="L7" s="11"/>
      <c r="M7" s="12">
        <f>IFERROR(IF(OR(L7&gt;=N7,H7&gt;=N7),LOOKUP(IF(L7="",H7,L7),{0,1,10,50,100,500,1000,2500,5000},{0.0,0.26,0.174,0.1046,0.0883,0.0604,0.05343,0.0511,0.04646}),"MOQ="&amp;N7),"")</f>
        <v>0.0883</v>
      </c>
      <c r="N7" s="11">
        <v>1</v>
      </c>
      <c r="O7" s="13">
        <f>IFERROR(IF(L7="",H7,L7)*M7,"")</f>
        <v>17.66</v>
      </c>
      <c r="P7" s="11" t="s">
        <v>98</v>
      </c>
      <c r="Q7" s="11">
        <v>57211</v>
      </c>
      <c r="R7" s="11"/>
      <c r="S7" s="12">
        <f>IFERROR(IF(OR(R7&gt;=T7,H7&gt;=T7),LOOKUP(IF(R7="",H7,R7),{0,1,10,100,500,1000,2500,5000,10000},{0.0,0.26,0.138,0.089,0.061,0.054,0.052,0.046,0.046}),"MOQ="&amp;T7),"")</f>
        <v>0.089</v>
      </c>
      <c r="T7" s="11">
        <v>1</v>
      </c>
      <c r="U7" s="13">
        <f>IFERROR(IF(R7="",H7,R7)*S7,"")</f>
        <v>17.8</v>
      </c>
      <c r="V7" s="11" t="s">
        <v>114</v>
      </c>
    </row>
    <row r="8" spans="1:22">
      <c r="A8" s="11" t="s">
        <v>18</v>
      </c>
      <c r="B8" s="11" t="s">
        <v>12</v>
      </c>
      <c r="C8" s="11" t="s">
        <v>19</v>
      </c>
      <c r="D8" s="11" t="s">
        <v>20</v>
      </c>
      <c r="E8" s="11" t="s">
        <v>21</v>
      </c>
      <c r="F8" s="11" t="s">
        <v>16</v>
      </c>
      <c r="G8" s="11" t="s">
        <v>22</v>
      </c>
      <c r="H8" s="11">
        <f>CEILING(BoardQty*2.0,1)</f>
        <v>200</v>
      </c>
      <c r="I8" s="12">
        <f>IF(MIN(M8,S8)&lt;&gt;0,MIN(M8,S8),"")</f>
        <v>0.054</v>
      </c>
      <c r="J8" s="13">
        <f>IF(AND(ISNUMBER(H8),ISNUMBER(I8)),H8*I8,"")</f>
        <v>10.8</v>
      </c>
      <c r="K8" s="11">
        <v>1440111</v>
      </c>
      <c r="L8" s="11"/>
      <c r="M8" s="12">
        <f>IFERROR(IF(OR(L8&gt;=N8,H8&gt;=N8),LOOKUP(IF(L8="",H8,L8),{0,1,10,50,100,500,1000,2500,5000},{0.0,0.23,0.154,0.0922,0.0778,0.05324,0.04709,0.04504,0.04095}),"MOQ="&amp;N8),"")</f>
        <v>0.0778</v>
      </c>
      <c r="N8" s="11">
        <v>1</v>
      </c>
      <c r="O8" s="13">
        <f>IFERROR(IF(L8="",H8,L8)*M8,"")</f>
        <v>15.56</v>
      </c>
      <c r="P8" s="11" t="s">
        <v>99</v>
      </c>
      <c r="Q8" s="11">
        <v>777764</v>
      </c>
      <c r="R8" s="11"/>
      <c r="S8" s="12">
        <f>IFERROR(IF(OR(R8&gt;=T8,H8&gt;=T8),LOOKUP(IF(R8="",H8,R8),{0,1,10,100,1000,2500,10000,15000,45000,90000},{0.0,0.229,0.092,0.054,0.048,0.041,0.036,0.035,0.032,0.029}),"MOQ="&amp;T8),"")</f>
        <v>0.054</v>
      </c>
      <c r="T8" s="11">
        <v>1</v>
      </c>
      <c r="U8" s="13">
        <f>IFERROR(IF(R8="",H8,R8)*S8,"")</f>
        <v>10.8</v>
      </c>
      <c r="V8" s="11" t="s">
        <v>115</v>
      </c>
    </row>
    <row r="9" spans="1:22">
      <c r="A9" s="11" t="s">
        <v>23</v>
      </c>
      <c r="B9" s="11" t="s">
        <v>12</v>
      </c>
      <c r="C9" s="11" t="s">
        <v>24</v>
      </c>
      <c r="D9" s="11" t="s">
        <v>25</v>
      </c>
      <c r="E9" s="11" t="s">
        <v>21</v>
      </c>
      <c r="F9" s="11" t="s">
        <v>16</v>
      </c>
      <c r="G9" s="11" t="s">
        <v>26</v>
      </c>
      <c r="H9" s="11">
        <f>CEILING(BoardQty*1.0,1)</f>
        <v>100</v>
      </c>
      <c r="I9" s="12">
        <f>IF(MIN(M9,S9)&lt;&gt;0,MIN(M9,S9),"")</f>
        <v/>
      </c>
      <c r="J9" s="13">
        <f>IF(AND(ISNUMBER(H9),ISNUMBER(I9)),H9*I9,"")</f>
        <v/>
      </c>
      <c r="Q9" s="14" t="s">
        <v>110</v>
      </c>
      <c r="R9" s="11"/>
      <c r="S9" s="12">
        <f>IFERROR(IF(OR(R9&gt;=T9,H9&gt;=T9),LOOKUP(IF(R9="",H9,R9),{0,1,10000,20000},{0.0,0.083,0.083,0.078}),"MOQ="&amp;T9),"")</f>
        <v/>
      </c>
      <c r="T9" s="11">
        <v>10000</v>
      </c>
      <c r="U9" s="13">
        <f>IFERROR(IF(R9="",H9,R9)*S9,"")</f>
        <v/>
      </c>
      <c r="V9" s="11" t="s">
        <v>116</v>
      </c>
    </row>
    <row r="10" spans="1:22" ht="45" customHeight="1">
      <c r="A10" s="11" t="s">
        <v>27</v>
      </c>
      <c r="B10" s="11" t="s">
        <v>28</v>
      </c>
      <c r="C10" s="11" t="s">
        <v>29</v>
      </c>
      <c r="D10" s="11" t="s">
        <v>30</v>
      </c>
      <c r="E10" s="11" t="s">
        <v>21</v>
      </c>
      <c r="F10" s="11" t="s">
        <v>16</v>
      </c>
      <c r="G10" s="11" t="s">
        <v>31</v>
      </c>
      <c r="H10" s="11">
        <f>CEILING(BoardQty*7.0,1)</f>
        <v>700</v>
      </c>
      <c r="I10" s="12">
        <f>IF(MIN(M10,S10)&lt;&gt;0,MIN(M10,S10),"")</f>
        <v>0.00606</v>
      </c>
      <c r="J10" s="13">
        <f>IF(AND(ISNUMBER(H10),ISNUMBER(I10)),H10*I10,"")</f>
        <v>4.242</v>
      </c>
      <c r="K10" s="11">
        <v>14729</v>
      </c>
      <c r="L10" s="11"/>
      <c r="M10" s="12">
        <f>IFERROR(IF(OR(L10&gt;=N10,H10&gt;=N10),LOOKUP(IF(L10="",H10,L10),{0,1,10,50,100,500,1000,2500,5000},{0.0,0.1,0.019,0.0104,0.0085,0.00606,0.00475,0.00432,0.00398}),"MOQ="&amp;N10),"")</f>
        <v>0.00606</v>
      </c>
      <c r="N10" s="11">
        <v>1</v>
      </c>
      <c r="O10" s="13">
        <f>IFERROR(IF(L10="",H10,L10)*M10,"")</f>
        <v>4.242</v>
      </c>
      <c r="P10" s="11" t="s">
        <v>100</v>
      </c>
      <c r="Q10" s="11">
        <v>84464</v>
      </c>
      <c r="R10" s="11"/>
      <c r="S10" s="12">
        <f>IFERROR(IF(OR(R10&gt;=T10,H10&gt;=T10),LOOKUP(IF(R10="",H10,R10),{0,1,10,100,1000,2500,15000},{0.0,0.1,0.011,0.007,0.005,0.004,0.004}),"MOQ="&amp;T10),"")</f>
        <v>0.007</v>
      </c>
      <c r="T10" s="11">
        <v>1</v>
      </c>
      <c r="U10" s="13">
        <f>IFERROR(IF(R10="",H10,R10)*S10,"")</f>
        <v>4.9</v>
      </c>
      <c r="V10" s="11" t="s">
        <v>117</v>
      </c>
    </row>
    <row r="11" spans="1:22" ht="30" customHeight="1">
      <c r="A11" s="11" t="s">
        <v>32</v>
      </c>
      <c r="B11" s="11" t="s">
        <v>33</v>
      </c>
      <c r="C11" s="11" t="s">
        <v>34</v>
      </c>
      <c r="D11" s="11" t="s">
        <v>35</v>
      </c>
      <c r="E11" s="11" t="s">
        <v>36</v>
      </c>
      <c r="F11" s="11" t="s">
        <v>37</v>
      </c>
      <c r="G11" s="11" t="s">
        <v>38</v>
      </c>
      <c r="H11" s="11">
        <f>CEILING(BoardQty*1.0,1)</f>
        <v>100</v>
      </c>
      <c r="I11" s="12">
        <f>IF(MIN(M11,S11)&lt;&gt;0,MIN(M11,S11),"")</f>
        <v>0.057</v>
      </c>
      <c r="J11" s="13">
        <f>IF(AND(ISNUMBER(H11),ISNUMBER(I11)),H11*I11,"")</f>
        <v>5.7</v>
      </c>
      <c r="K11" s="11">
        <v>43800</v>
      </c>
      <c r="L11" s="11"/>
      <c r="M11" s="12">
        <f>IFERROR(IF(OR(L11&gt;=N11,H11&gt;=N11),LOOKUP(IF(L11="",H11,L11),{0,1,10,100,500,1000},{0.0,0.19,0.136,0.0733,0.0576,0.04}),"MOQ="&amp;N11),"")</f>
        <v>0.0733</v>
      </c>
      <c r="N11" s="11">
        <v>1</v>
      </c>
      <c r="O11" s="13">
        <f>IFERROR(IF(L11="",H11,L11)*M11,"")</f>
        <v>7.33</v>
      </c>
      <c r="P11" s="11" t="s">
        <v>101</v>
      </c>
      <c r="Q11" s="11">
        <v>21552</v>
      </c>
      <c r="R11" s="11"/>
      <c r="S11" s="12">
        <f>IFERROR(IF(OR(R11&gt;=T11,H11&gt;=T11),LOOKUP(IF(R11="",H11,R11),{0,1,10,100,1000,3000,9000,24000},{0.0,0.189,0.135,0.057,0.04,0.029,0.026,0.024}),"MOQ="&amp;T11),"")</f>
        <v>0.057</v>
      </c>
      <c r="T11" s="11">
        <v>1</v>
      </c>
      <c r="U11" s="13">
        <f>IFERROR(IF(R11="",H11,R11)*S11,"")</f>
        <v>5.7</v>
      </c>
      <c r="V11" s="11" t="s">
        <v>118</v>
      </c>
    </row>
    <row r="12" spans="1:22" ht="45" customHeight="1">
      <c r="A12" s="11" t="s">
        <v>39</v>
      </c>
      <c r="B12" s="11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11" t="s">
        <v>45</v>
      </c>
      <c r="H12" s="11">
        <f>CEILING(BoardQty*2.0,1)</f>
        <v>200</v>
      </c>
      <c r="I12" s="12">
        <f>IF(MIN(M12,S12)&lt;&gt;0,MIN(M12,S12),"")</f>
        <v/>
      </c>
      <c r="J12" s="13">
        <f>IF(AND(ISNUMBER(H12),ISNUMBER(I12)),H12*I12,"")</f>
        <v/>
      </c>
    </row>
    <row r="13" spans="1:22">
      <c r="A13" s="11" t="s">
        <v>46</v>
      </c>
      <c r="B13" s="11" t="s">
        <v>47</v>
      </c>
      <c r="C13" s="11" t="s">
        <v>48</v>
      </c>
      <c r="E13" s="11" t="s">
        <v>49</v>
      </c>
      <c r="F13" s="11" t="s">
        <v>50</v>
      </c>
      <c r="G13" s="11" t="s">
        <v>51</v>
      </c>
      <c r="H13" s="11">
        <f>CEILING(BoardQty*2.0,1)</f>
        <v>200</v>
      </c>
      <c r="I13" s="12">
        <f>IF(MIN(M13,S13)&lt;&gt;0,MIN(M13,S13),"")</f>
        <v>0.014</v>
      </c>
      <c r="J13" s="13">
        <f>IF(AND(ISNUMBER(H13),ISNUMBER(I13)),H13*I13,"")</f>
        <v>2.8</v>
      </c>
      <c r="K13" s="11">
        <v>104225</v>
      </c>
      <c r="L13" s="11"/>
      <c r="M13" s="12">
        <f>IFERROR(IF(OR(L13&gt;=N13,H13&gt;=N13),LOOKUP(IF(L13="",H13,L13),{0,1,10,50,100,500,1000,5000},{0.0,0.1,0.035,0.0226,0.019,0.01326,0.01155,0.0086}),"MOQ="&amp;N13),"")</f>
        <v>0.019</v>
      </c>
      <c r="N13" s="11">
        <v>1</v>
      </c>
      <c r="O13" s="13">
        <f>IFERROR(IF(L13="",H13,L13)*M13,"")</f>
        <v>3.8</v>
      </c>
      <c r="P13" s="11" t="s">
        <v>102</v>
      </c>
      <c r="Q13" s="11">
        <v>28194</v>
      </c>
      <c r="R13" s="11"/>
      <c r="S13" s="12">
        <f>IFERROR(IF(OR(R13&gt;=T13,H13&gt;=T13),LOOKUP(IF(R13="",H13,R13),{0,1,10,100,1000,2500,15000},{0.0,0.1,0.03,0.014,0.01,0.007,0.005}),"MOQ="&amp;T13),"")</f>
        <v>0.014</v>
      </c>
      <c r="T13" s="11">
        <v>1</v>
      </c>
      <c r="U13" s="13">
        <f>IFERROR(IF(R13="",H13,R13)*S13,"")</f>
        <v>2.8</v>
      </c>
      <c r="V13" s="11" t="s">
        <v>119</v>
      </c>
    </row>
    <row r="14" spans="1:22">
      <c r="A14" s="11" t="s">
        <v>52</v>
      </c>
      <c r="B14" s="11" t="s">
        <v>53</v>
      </c>
      <c r="C14" s="11" t="s">
        <v>54</v>
      </c>
      <c r="E14" s="11" t="s">
        <v>49</v>
      </c>
      <c r="F14" s="11" t="s">
        <v>50</v>
      </c>
      <c r="G14" s="11" t="s">
        <v>55</v>
      </c>
      <c r="H14" s="11">
        <f>CEILING(BoardQty*1.0,1)</f>
        <v>100</v>
      </c>
      <c r="I14" s="12">
        <f>IF(MIN(M14,S14)&lt;&gt;0,MIN(M14,S14),"")</f>
        <v>0.007</v>
      </c>
      <c r="J14" s="13">
        <f>IF(AND(ISNUMBER(H14),ISNUMBER(I14)),H14*I14,"")</f>
        <v>0.7</v>
      </c>
      <c r="K14" s="11">
        <v>231675</v>
      </c>
      <c r="L14" s="11"/>
      <c r="M14" s="12">
        <f>IFERROR(IF(OR(L14&gt;=N14,H14&gt;=N14),LOOKUP(IF(L14="",H14,L14),{0,1,10,50,100,500,1000,5000},{0.0,0.1,0.024,0.015,0.0125,0.00848,0.00731,0.00531}),"MOQ="&amp;N14),"")</f>
        <v>0.0125</v>
      </c>
      <c r="N14" s="11">
        <v>1</v>
      </c>
      <c r="O14" s="13">
        <f>IFERROR(IF(L14="",H14,L14)*M14,"")</f>
        <v>1.25</v>
      </c>
      <c r="P14" s="11" t="s">
        <v>103</v>
      </c>
      <c r="Q14" s="11">
        <v>91154</v>
      </c>
      <c r="R14" s="11"/>
      <c r="S14" s="12">
        <f>IFERROR(IF(OR(R14&gt;=T14,H14&gt;=T14),LOOKUP(IF(R14="",H14,R14),{0,1,10,100,1000,2500,15000},{0.0,0.1,0.017,0.007,0.006,0.004,0.003}),"MOQ="&amp;T14),"")</f>
        <v>0.007</v>
      </c>
      <c r="T14" s="11">
        <v>1</v>
      </c>
      <c r="U14" s="13">
        <f>IFERROR(IF(R14="",H14,R14)*S14,"")</f>
        <v>0.7</v>
      </c>
      <c r="V14" s="11" t="s">
        <v>120</v>
      </c>
    </row>
    <row r="15" spans="1:22">
      <c r="A15" s="11" t="s">
        <v>56</v>
      </c>
      <c r="B15" s="11" t="s">
        <v>57</v>
      </c>
      <c r="C15" s="11" t="s">
        <v>58</v>
      </c>
      <c r="E15" s="11" t="s">
        <v>49</v>
      </c>
      <c r="F15" s="11" t="s">
        <v>50</v>
      </c>
      <c r="G15" s="11" t="s">
        <v>59</v>
      </c>
      <c r="H15" s="11">
        <f>CEILING(BoardQty*2.0,1)</f>
        <v>200</v>
      </c>
      <c r="I15" s="12">
        <f>IF(MIN(M15,S15)&lt;&gt;0,MIN(M15,S15),"")</f>
        <v>0.014</v>
      </c>
      <c r="J15" s="13">
        <f>IF(AND(ISNUMBER(H15),ISNUMBER(I15)),H15*I15,"")</f>
        <v>2.8</v>
      </c>
      <c r="K15" s="11">
        <v>2247581</v>
      </c>
      <c r="L15" s="11"/>
      <c r="M15" s="12">
        <f>IFERROR(IF(OR(L15&gt;=N15,H15&gt;=N15),LOOKUP(IF(L15="",H15,L15),{0,1,10,50,100,500,1000,5000},{0.0,0.1,0.035,0.0226,0.019,0.01326,0.01155,0.0086}),"MOQ="&amp;N15),"")</f>
        <v>0.019</v>
      </c>
      <c r="N15" s="11">
        <v>1</v>
      </c>
      <c r="O15" s="13">
        <f>IFERROR(IF(L15="",H15,L15)*M15,"")</f>
        <v>3.8</v>
      </c>
      <c r="P15" s="11" t="s">
        <v>104</v>
      </c>
      <c r="Q15" s="11">
        <v>2408384</v>
      </c>
      <c r="R15" s="11"/>
      <c r="S15" s="12">
        <f>IFERROR(IF(OR(R15&gt;=T15,H15&gt;=T15),LOOKUP(IF(R15="",H15,R15),{0,1,10,100,1000,2500,15000},{0.0,0.1,0.03,0.014,0.01,0.007,0.006}),"MOQ="&amp;T15),"")</f>
        <v>0.014</v>
      </c>
      <c r="T15" s="11">
        <v>1</v>
      </c>
      <c r="U15" s="13">
        <f>IFERROR(IF(R15="",H15,R15)*S15,"")</f>
        <v>2.8</v>
      </c>
      <c r="V15" s="11" t="s">
        <v>121</v>
      </c>
    </row>
    <row r="16" spans="1:22">
      <c r="A16" s="11" t="s">
        <v>60</v>
      </c>
      <c r="B16" s="11" t="s">
        <v>61</v>
      </c>
      <c r="C16" s="11" t="s">
        <v>62</v>
      </c>
      <c r="E16" s="11" t="s">
        <v>63</v>
      </c>
      <c r="F16" s="11" t="s">
        <v>64</v>
      </c>
      <c r="G16" s="11" t="s">
        <v>61</v>
      </c>
      <c r="H16" s="11">
        <f>CEILING(BoardQty*1.0,1)</f>
        <v>100</v>
      </c>
      <c r="I16" s="12">
        <f>IF(MIN(M16,S16)&lt;&gt;0,MIN(M16,S16),"")</f>
        <v>0.118</v>
      </c>
      <c r="J16" s="13">
        <f>IF(AND(ISNUMBER(H16),ISNUMBER(I16)),H16*I16,"")</f>
        <v>11.8</v>
      </c>
      <c r="K16" s="11">
        <v>7412</v>
      </c>
      <c r="L16" s="11"/>
      <c r="M16" s="12">
        <f>IFERROR(IF(OR(L16&gt;=N16,H16&gt;=N16),LOOKUP(IF(L16="",H16,L16),{0,1,10,25,100,250,500,1000},{0.0,0.39,0.291,0.2628,0.1433,0.13856,0.1242,0.09555}),"MOQ="&amp;N16),"")</f>
        <v>0.1433</v>
      </c>
      <c r="N16" s="11">
        <v>1</v>
      </c>
      <c r="O16" s="13">
        <f>IFERROR(IF(L16="",H16,L16)*M16,"")</f>
        <v>14.33</v>
      </c>
      <c r="P16" s="11" t="s">
        <v>105</v>
      </c>
      <c r="Q16" s="11">
        <v>11436</v>
      </c>
      <c r="R16" s="11"/>
      <c r="S16" s="12">
        <f>IFERROR(IF(OR(R16&gt;=T16,H16&gt;=T16),LOOKUP(IF(R16="",H16,R16),{0,1,10,100,1000,5000,10000,25000,50000,100000},{0.0,0.239,0.179,0.118,0.086,0.08,0.074,0.068,0.062,0.061}),"MOQ="&amp;T16),"")</f>
        <v>0.118</v>
      </c>
      <c r="T16" s="11">
        <v>1</v>
      </c>
      <c r="U16" s="13">
        <f>IFERROR(IF(R16="",H16,R16)*S16,"")</f>
        <v>11.8</v>
      </c>
      <c r="V16" s="11" t="s">
        <v>122</v>
      </c>
    </row>
    <row r="17" spans="1:22">
      <c r="A17" s="11" t="s">
        <v>65</v>
      </c>
      <c r="B17" s="11" t="s">
        <v>66</v>
      </c>
      <c r="C17" s="11" t="s">
        <v>67</v>
      </c>
      <c r="E17" s="11" t="s">
        <v>63</v>
      </c>
      <c r="F17" s="11" t="s">
        <v>64</v>
      </c>
      <c r="G17" s="11" t="s">
        <v>66</v>
      </c>
      <c r="H17" s="11">
        <f>CEILING(BoardQty*1.0,1)</f>
        <v>100</v>
      </c>
      <c r="I17" s="12">
        <f>IF(MIN(M17,S17)&lt;&gt;0,MIN(M17,S17),"")</f>
        <v>0.124</v>
      </c>
      <c r="J17" s="13">
        <f>IF(AND(ISNUMBER(H17),ISNUMBER(I17)),H17*I17,"")</f>
        <v>12.4</v>
      </c>
      <c r="K17" s="11">
        <v>12836</v>
      </c>
      <c r="L17" s="11"/>
      <c r="M17" s="12">
        <f>IFERROR(IF(OR(L17&gt;=N17,H17&gt;=N17),LOOKUP(IF(L17="",H17,L17),{0,1,10,25,100,250,500,1000},{0.0,0.39,0.291,0.2628,0.1433,0.13856,0.1242,0.09555}),"MOQ="&amp;N17),"")</f>
        <v>0.1433</v>
      </c>
      <c r="N17" s="11">
        <v>1</v>
      </c>
      <c r="O17" s="13">
        <f>IFERROR(IF(L17="",H17,L17)*M17,"")</f>
        <v>14.33</v>
      </c>
      <c r="P17" s="11" t="s">
        <v>106</v>
      </c>
      <c r="Q17" s="11">
        <v>26927</v>
      </c>
      <c r="R17" s="11"/>
      <c r="S17" s="12">
        <f>IFERROR(IF(OR(R17&gt;=T17,H17&gt;=T17),LOOKUP(IF(R17="",H17,R17),{0,1,10,100,1000,5000,10000,25000,50000,100000},{0.0,0.388,0.249,0.124,0.083,0.078,0.074,0.068,0.062,0.061}),"MOQ="&amp;T17),"")</f>
        <v>0.124</v>
      </c>
      <c r="T17" s="11">
        <v>1</v>
      </c>
      <c r="U17" s="13">
        <f>IFERROR(IF(R17="",H17,R17)*S17,"")</f>
        <v>12.4</v>
      </c>
      <c r="V17" s="11" t="s">
        <v>123</v>
      </c>
    </row>
    <row r="18" spans="1:22" ht="30" customHeight="1">
      <c r="A18" s="11" t="s">
        <v>68</v>
      </c>
      <c r="B18" s="11" t="s">
        <v>69</v>
      </c>
      <c r="C18" s="11" t="s">
        <v>70</v>
      </c>
      <c r="D18" s="11" t="s">
        <v>71</v>
      </c>
      <c r="E18" s="11" t="s">
        <v>72</v>
      </c>
      <c r="F18" s="11" t="s">
        <v>73</v>
      </c>
      <c r="G18" s="11" t="s">
        <v>69</v>
      </c>
      <c r="H18" s="11">
        <f>CEILING(BoardQty*2.0,1)</f>
        <v>200</v>
      </c>
      <c r="I18" s="12">
        <f>IF(MIN(M18,S18)&lt;&gt;0,MIN(M18,S18),"")</f>
        <v/>
      </c>
      <c r="J18" s="13">
        <f>IF(AND(ISNUMBER(H18),ISNUMBER(I18)),H18*I18,"")</f>
        <v/>
      </c>
      <c r="K18" s="11">
        <v>20045</v>
      </c>
      <c r="L18" s="11"/>
      <c r="M18" s="12">
        <f>IFERROR(IF(OR(L18&gt;=N18,H18&gt;=N18),LOOKUP(IF(L18="",H18,L18),{0,1,502},{0.0,0.6,0.6}),"MOQ="&amp;N18),"")</f>
        <v/>
      </c>
      <c r="N18" s="11">
        <v>502</v>
      </c>
      <c r="O18" s="13">
        <f>IFERROR(IF(L18="",H18,L18)*M18,"")</f>
        <v/>
      </c>
      <c r="P18" s="11" t="s">
        <v>107</v>
      </c>
      <c r="Q18" s="14" t="s">
        <v>110</v>
      </c>
      <c r="R18" s="11"/>
      <c r="S18" s="12">
        <f>IFERROR(IF(OR(R18&gt;=T18,H18&gt;=T18),LOOKUP(IF(R18="",H18,R18),{0,1,2000,4000,10000},{0.0,0.579,0.579,0.554,0.539}),"MOQ="&amp;T18),"")</f>
        <v/>
      </c>
      <c r="T18" s="11">
        <v>2000</v>
      </c>
      <c r="U18" s="13">
        <f>IFERROR(IF(R18="",H18,R18)*S18,"")</f>
        <v/>
      </c>
      <c r="V18" s="11" t="s">
        <v>124</v>
      </c>
    </row>
    <row r="19" spans="1:22" ht="30" customHeight="1">
      <c r="A19" s="11" t="s">
        <v>74</v>
      </c>
      <c r="B19" s="11" t="s">
        <v>75</v>
      </c>
      <c r="C19" s="11" t="s">
        <v>76</v>
      </c>
      <c r="D19" s="11" t="s">
        <v>77</v>
      </c>
      <c r="E19" s="11" t="s">
        <v>78</v>
      </c>
      <c r="F19" s="11" t="s">
        <v>37</v>
      </c>
      <c r="G19" s="11" t="s">
        <v>79</v>
      </c>
      <c r="H19" s="11">
        <f>CEILING(BoardQty*1.0,1)</f>
        <v>100</v>
      </c>
      <c r="I19" s="12">
        <f>IF(MIN(M19,S19)&lt;&gt;0,MIN(M19,S19),"")</f>
        <v>0.077</v>
      </c>
      <c r="J19" s="13">
        <f>IF(AND(ISNUMBER(H19),ISNUMBER(I19)),H19*I19,"")</f>
        <v>7.7</v>
      </c>
      <c r="K19" s="11">
        <v>74194</v>
      </c>
      <c r="L19" s="11"/>
      <c r="M19" s="12">
        <f>IFERROR(IF(OR(L19&gt;=N19,H19&gt;=N19),LOOKUP(IF(L19="",H19,L19),{0,1,10,25,100,250,500,1000},{0.0,0.27,0.223,0.1864,0.118,0.09112,0.07764,0.0528}),"MOQ="&amp;N19),"")</f>
        <v>0.118</v>
      </c>
      <c r="N19" s="11">
        <v>1</v>
      </c>
      <c r="O19" s="13">
        <f>IFERROR(IF(L19="",H19,L19)*M19,"")</f>
        <v>11.8</v>
      </c>
      <c r="P19" s="11" t="s">
        <v>108</v>
      </c>
      <c r="Q19" s="11">
        <v>1287</v>
      </c>
      <c r="R19" s="11"/>
      <c r="S19" s="12">
        <f>IFERROR(IF(OR(R19&gt;=T19,H19&gt;=T19),LOOKUP(IF(R19="",H19,R19),{0,1,10,100,1000,3000,9000,24000,45000},{0.0,0.269,0.184,0.077,0.052,0.041,0.034,0.032,0.03}),"MOQ="&amp;T19),"")</f>
        <v>0.077</v>
      </c>
      <c r="T19" s="11">
        <v>1</v>
      </c>
      <c r="U19" s="13">
        <f>IFERROR(IF(R19="",H19,R19)*S19,"")</f>
        <v>7.7</v>
      </c>
      <c r="V19" s="11" t="s">
        <v>125</v>
      </c>
    </row>
    <row r="20" spans="1:22" ht="30" customHeight="1">
      <c r="A20" s="11" t="s">
        <v>80</v>
      </c>
      <c r="B20" s="11" t="s">
        <v>81</v>
      </c>
      <c r="C20" s="11" t="s">
        <v>82</v>
      </c>
      <c r="E20" s="11" t="s">
        <v>83</v>
      </c>
      <c r="F20" s="11" t="s">
        <v>84</v>
      </c>
      <c r="G20" s="11" t="s">
        <v>85</v>
      </c>
      <c r="H20" s="11">
        <f>CEILING(BoardQty*1.0,1)</f>
        <v>100</v>
      </c>
      <c r="I20" s="12">
        <f>IF(MIN(M20,S20)&lt;&gt;0,MIN(M20,S20),"")</f>
        <v>8.45</v>
      </c>
      <c r="J20" s="13">
        <f>IF(AND(ISNUMBER(H20),ISNUMBER(I20)),H20*I20,"")</f>
        <v>845.0</v>
      </c>
      <c r="K20" s="14" t="s">
        <v>110</v>
      </c>
      <c r="L20" s="11"/>
      <c r="M20" s="12">
        <f>IFERROR(IF(OR(L20&gt;=N20,H20&gt;=N20),LOOKUP(IF(L20="",H20,L20),{0,1,25,100},{0.0,10.1,8.8,8.45}),"MOQ="&amp;N20),"")</f>
        <v>8.45</v>
      </c>
      <c r="N20" s="11">
        <v>1</v>
      </c>
      <c r="O20" s="13">
        <f>IFERROR(IF(L20="",H20,L20)*M20,"")</f>
        <v>845.0</v>
      </c>
      <c r="P20" s="11" t="s">
        <v>109</v>
      </c>
      <c r="Q20" s="11">
        <v>12647</v>
      </c>
      <c r="R20" s="11"/>
      <c r="S20" s="12">
        <f>IFERROR(IF(OR(R20&gt;=T20,H20&gt;=T20),LOOKUP(IF(R20="",H20,R20),{0,1,25,100,2000},{0.0,10.17,8.85,8.5,8.5}),"MOQ="&amp;T20),"")</f>
        <v>8.5</v>
      </c>
      <c r="T20" s="11">
        <v>1</v>
      </c>
      <c r="U20" s="13">
        <f>IFERROR(IF(R20="",H20,R20)*S20,"")</f>
        <v>850.0</v>
      </c>
      <c r="V20" s="11" t="s">
        <v>126</v>
      </c>
    </row>
    <row r="21" spans="1:22" ht="30" customHeight="1">
      <c r="A21" s="11" t="s">
        <v>86</v>
      </c>
      <c r="B21" s="11" t="s">
        <v>87</v>
      </c>
      <c r="C21" s="11" t="s">
        <v>88</v>
      </c>
      <c r="D21" s="11" t="s">
        <v>89</v>
      </c>
      <c r="E21" s="11" t="s">
        <v>90</v>
      </c>
      <c r="F21" s="11" t="s">
        <v>91</v>
      </c>
      <c r="G21" s="11" t="s">
        <v>92</v>
      </c>
      <c r="H21" s="11">
        <f>CEILING(BoardQty*1.0,1)</f>
        <v>100</v>
      </c>
      <c r="I21" s="12">
        <f>IF(MIN(M21,S21)&lt;&gt;0,MIN(M21,S21),"")</f>
        <v>0.225</v>
      </c>
      <c r="J21" s="13">
        <f>IF(AND(ISNUMBER(H21),ISNUMBER(I21)),H21*I21,"")</f>
        <v>22.5</v>
      </c>
      <c r="K21" s="11">
        <v>3995</v>
      </c>
      <c r="L21" s="11"/>
      <c r="M21" s="12">
        <f>IFERROR(IF(OR(L21&gt;=N21,H21&gt;=N21),LOOKUP(IF(L21="",H21,L21),{0,1,10,25,50,100,250,500,1000},{0.0,0.28,0.279,0.2584,0.2572,0.2284,0.22548,0.22208,0.21614}),"MOQ="&amp;N21),"")</f>
        <v>0.2284</v>
      </c>
      <c r="N21" s="11">
        <v>1</v>
      </c>
      <c r="O21" s="13">
        <f>IFERROR(IF(L21="",H21,L21)*M21,"")</f>
        <v>22.84</v>
      </c>
      <c r="P21" s="11" t="s">
        <v>111</v>
      </c>
      <c r="Q21" s="11">
        <v>3935</v>
      </c>
      <c r="R21" s="11"/>
      <c r="S21" s="12">
        <f>IFERROR(IF(OR(R21&gt;=T21,H21&gt;=T21),LOOKUP(IF(R21="",H21,R21),{0,1,10,100,500,1000,4000,8000,24000,48000},{0.0,0.278,0.257,0.225,0.221,0.216,0.197,0.189,0.185,0.179}),"MOQ="&amp;T21),"")</f>
        <v>0.225</v>
      </c>
      <c r="T21" s="11">
        <v>1</v>
      </c>
      <c r="U21" s="13">
        <f>IFERROR(IF(R21="",H21,R21)*S21,"")</f>
        <v>22.5</v>
      </c>
      <c r="V21" s="11" t="s">
        <v>127</v>
      </c>
    </row>
    <row r="23" spans="1:22">
      <c r="I23" s="1" t="s">
        <v>128</v>
      </c>
      <c r="J23" s="5">
        <f>SUM(O23,U23)</f>
        <v>0</v>
      </c>
      <c r="K23" s="15" t="s">
        <v>112</v>
      </c>
      <c r="L23" s="6">
        <f>IFERROR(IF(COUNTIF(L7:L21,"&gt;0")&gt;0,COUNTIF(L7:L21,"&gt;0")&amp;" of "&amp;(ROWS(N7:N21)-COUNTBLANK(N7:N21))&amp;" parts purchased",""),"")</f>
        <v/>
      </c>
      <c r="O23" s="5">
        <f>SUMIF(L7:L21,"&gt;0",O7:O21)</f>
        <v>0</v>
      </c>
      <c r="Q23" s="15" t="s">
        <v>112</v>
      </c>
      <c r="R23" s="6">
        <f>IFERROR(IF(COUNTIF(R7:R21,"&gt;0")&gt;0,COUNTIF(R7:R21,"&gt;0")&amp;" of "&amp;(ROWS(T7:T21)-COUNTBLANK(T7:T21))&amp;" parts purchased",""),"")</f>
        <v/>
      </c>
      <c r="U23" s="5">
        <f>SUMIF(R7:R21,"&gt;0",U7:U21)</f>
        <v>0</v>
      </c>
    </row>
    <row r="24" spans="1:22">
      <c r="A24" s="2" t="s">
        <v>141</v>
      </c>
      <c r="I24" s="16" t="s">
        <v>129</v>
      </c>
      <c r="L24" s="17">
        <f>CONCATENATE(L40,L41,L42,L43,L44,L45,L46,L47,L48,L49,L50,L51,L52,L53,L54)</f>
        <v/>
      </c>
      <c r="R24" s="17">
        <f>CONCATENATE(R40,R41,R42,R43,R44,R45,R46,R47,R48,R49,R50,R51,R52,R53,R54)</f>
        <v/>
      </c>
    </row>
    <row r="40" spans="12:18" ht="30" hidden="1" customHeight="1">
      <c r="L40" t="str">
        <f t="array" ref="L40:L54">IF(ISNUMBER(L7:L21)*(L7:L21&gt;=N7:N21)*(P7:P21&lt;&gt;""),TEXT(ROUNDUP(L7:L21/IF(ISNUMBER(N7:N21),N7:N21,1),0)*N7:N21,"##0")&amp;","&amp;P7:P21&amp;","&amp;SUBSTITUTE(SUBSTITUTE(IF(PURCHASE_DESCRIPTION&lt;&gt;"",PURCHASE_DESCRIPTION&amp;":","")&amp;A7:A21,",",";"),"
"," ")&amp;CHAR(10),"")</f>
        <v/>
      </c>
      <c r="R40" t="str">
        <f t="array" ref="R40:R54">IF(ISNUMBER(R7:R21)*(R7:R21&gt;=T7:T21)*(V7:V21&lt;&gt;""),V7:V21&amp;"|"&amp;TEXT(ROUNDUP(R7:R21/IF(ISNUMBER(T7:T21),T7:T21,1),0)*T7:T21,"##0")&amp;"|"&amp;SUBSTITUTE(SUBSTITUTE(SUBSTITUTE(IF(PURCHASE_DESCRIPTION&lt;&gt;"",PURCHASE_DESCRIPTION&amp;":","")&amp;A7:A21,"|",";")," ","_"),"
","_")&amp;CHAR(10),"")</f>
        <v/>
      </c>
    </row>
    <row r="41" spans="12:18" ht="30" hidden="1" customHeight="1">
      <c r="L41">
        <v>0</v>
      </c>
      <c r="R41">
        <v>0</v>
      </c>
    </row>
    <row r="42" spans="12:18" ht="30" hidden="1" customHeight="1">
      <c r="L42">
        <v>0</v>
      </c>
      <c r="R42">
        <v>0</v>
      </c>
    </row>
    <row r="43" spans="12:18" ht="30" hidden="1" customHeight="1">
      <c r="L43">
        <v>0</v>
      </c>
      <c r="R43">
        <v>0</v>
      </c>
    </row>
    <row r="44" spans="12:18" ht="30" hidden="1" customHeight="1">
      <c r="L44">
        <v>0</v>
      </c>
      <c r="R44">
        <v>0</v>
      </c>
    </row>
    <row r="45" spans="12:18" ht="30" hidden="1" customHeight="1">
      <c r="L45">
        <v>0</v>
      </c>
      <c r="R45">
        <v>0</v>
      </c>
    </row>
    <row r="46" spans="12:18" ht="30" hidden="1" customHeight="1">
      <c r="L46">
        <v>0</v>
      </c>
      <c r="R46">
        <v>0</v>
      </c>
    </row>
    <row r="47" spans="12:18" ht="30" hidden="1" customHeight="1">
      <c r="L47">
        <v>0</v>
      </c>
      <c r="R47">
        <v>0</v>
      </c>
    </row>
    <row r="48" spans="12:18" ht="30" hidden="1" customHeight="1">
      <c r="L48">
        <v>0</v>
      </c>
      <c r="R48">
        <v>0</v>
      </c>
    </row>
    <row r="49" spans="12:18" ht="30" hidden="1" customHeight="1">
      <c r="L49">
        <v>0</v>
      </c>
      <c r="R49">
        <v>0</v>
      </c>
    </row>
    <row r="50" spans="12:18" ht="30" hidden="1" customHeight="1">
      <c r="L50">
        <v>0</v>
      </c>
      <c r="R50">
        <v>0</v>
      </c>
    </row>
    <row r="51" spans="12:18" ht="30" hidden="1" customHeight="1">
      <c r="L51">
        <v>0</v>
      </c>
      <c r="R51">
        <v>0</v>
      </c>
    </row>
    <row r="52" spans="12:18" ht="30" hidden="1" customHeight="1">
      <c r="L52">
        <v>0</v>
      </c>
      <c r="R52">
        <v>0</v>
      </c>
    </row>
    <row r="53" spans="12:18" ht="30" hidden="1" customHeight="1">
      <c r="L53">
        <v>0</v>
      </c>
      <c r="R53">
        <v>0</v>
      </c>
    </row>
    <row r="54" spans="12:18" ht="30" hidden="1" customHeight="1">
      <c r="L54">
        <v>0</v>
      </c>
      <c r="R54">
        <v>0</v>
      </c>
    </row>
  </sheetData>
  <mergeCells count="5">
    <mergeCell ref="A5:J5"/>
    <mergeCell ref="K5:P5"/>
    <mergeCell ref="L24:O39"/>
    <mergeCell ref="Q5:V5"/>
    <mergeCell ref="R24:U39"/>
  </mergeCells>
  <conditionalFormatting sqref="H10">
    <cfRule type="expression" dxfId="4" priority="133">
      <formula>AND(ISBLANK(G10),ISBLANK(O10),ISBLANK(U10))</formula>
    </cfRule>
    <cfRule type="expression" dxfId="1" priority="134">
      <formula>IF(SUM(K10,Q10)=0,1,0)</formula>
    </cfRule>
    <cfRule type="cellIs" dxfId="0" priority="135" operator="greaterThan">
      <formula>SUM(K10,Q10)</formula>
    </cfRule>
    <cfRule type="cellIs" dxfId="3" priority="136" operator="greaterThan">
      <formula>SUM(IF(ISNUMBER(M10),L10,0),IF(ISNUMBER(S10),R10,0))</formula>
    </cfRule>
  </conditionalFormatting>
  <conditionalFormatting sqref="H11">
    <cfRule type="expression" dxfId="4" priority="137">
      <formula>AND(ISBLANK(G11),ISBLANK(O11),ISBLANK(U11))</formula>
    </cfRule>
    <cfRule type="expression" dxfId="1" priority="138">
      <formula>IF(SUM(K11,Q11)=0,1,0)</formula>
    </cfRule>
    <cfRule type="cellIs" dxfId="0" priority="139" operator="greaterThan">
      <formula>SUM(K11,Q11)</formula>
    </cfRule>
    <cfRule type="cellIs" dxfId="3" priority="140" operator="greaterThan">
      <formula>SUM(IF(ISNUMBER(M11),L11,0),IF(ISNUMBER(S11),R11,0))</formula>
    </cfRule>
  </conditionalFormatting>
  <conditionalFormatting sqref="H12">
    <cfRule type="expression" dxfId="4" priority="141">
      <formula>AND(ISBLANK(G12),ISBLANK(O12),ISBLANK(U12))</formula>
    </cfRule>
    <cfRule type="expression" dxfId="1" priority="142">
      <formula>IF(SUM(K12,Q12)=0,1,0)</formula>
    </cfRule>
    <cfRule type="cellIs" dxfId="0" priority="143" operator="greaterThan">
      <formula>SUM(K12,Q12)</formula>
    </cfRule>
    <cfRule type="cellIs" dxfId="3" priority="144" operator="greaterThan">
      <formula>SUM(IF(ISNUMBER(M12),L12,0),IF(ISNUMBER(S12),R12,0))</formula>
    </cfRule>
  </conditionalFormatting>
  <conditionalFormatting sqref="H13">
    <cfRule type="expression" dxfId="4" priority="145">
      <formula>AND(ISBLANK(G13),ISBLANK(O13),ISBLANK(U13))</formula>
    </cfRule>
    <cfRule type="expression" dxfId="1" priority="146">
      <formula>IF(SUM(K13,Q13)=0,1,0)</formula>
    </cfRule>
    <cfRule type="cellIs" dxfId="0" priority="147" operator="greaterThan">
      <formula>SUM(K13,Q13)</formula>
    </cfRule>
    <cfRule type="cellIs" dxfId="3" priority="148" operator="greaterThan">
      <formula>SUM(IF(ISNUMBER(M13),L13,0),IF(ISNUMBER(S13),R13,0))</formula>
    </cfRule>
  </conditionalFormatting>
  <conditionalFormatting sqref="H14">
    <cfRule type="expression" dxfId="4" priority="149">
      <formula>AND(ISBLANK(G14),ISBLANK(O14),ISBLANK(U14))</formula>
    </cfRule>
    <cfRule type="expression" dxfId="1" priority="150">
      <formula>IF(SUM(K14,Q14)=0,1,0)</formula>
    </cfRule>
    <cfRule type="cellIs" dxfId="0" priority="151" operator="greaterThan">
      <formula>SUM(K14,Q14)</formula>
    </cfRule>
    <cfRule type="cellIs" dxfId="3" priority="152" operator="greaterThan">
      <formula>SUM(IF(ISNUMBER(M14),L14,0),IF(ISNUMBER(S14),R14,0))</formula>
    </cfRule>
  </conditionalFormatting>
  <conditionalFormatting sqref="H15">
    <cfRule type="expression" dxfId="4" priority="153">
      <formula>AND(ISBLANK(G15),ISBLANK(O15),ISBLANK(U15))</formula>
    </cfRule>
    <cfRule type="expression" dxfId="1" priority="154">
      <formula>IF(SUM(K15,Q15)=0,1,0)</formula>
    </cfRule>
    <cfRule type="cellIs" dxfId="0" priority="155" operator="greaterThan">
      <formula>SUM(K15,Q15)</formula>
    </cfRule>
    <cfRule type="cellIs" dxfId="3" priority="156" operator="greaterThan">
      <formula>SUM(IF(ISNUMBER(M15),L15,0),IF(ISNUMBER(S15),R15,0))</formula>
    </cfRule>
  </conditionalFormatting>
  <conditionalFormatting sqref="H16">
    <cfRule type="expression" dxfId="4" priority="157">
      <formula>AND(ISBLANK(G16),ISBLANK(O16),ISBLANK(U16))</formula>
    </cfRule>
    <cfRule type="expression" dxfId="1" priority="158">
      <formula>IF(SUM(K16,Q16)=0,1,0)</formula>
    </cfRule>
    <cfRule type="cellIs" dxfId="0" priority="159" operator="greaterThan">
      <formula>SUM(K16,Q16)</formula>
    </cfRule>
    <cfRule type="cellIs" dxfId="3" priority="160" operator="greaterThan">
      <formula>SUM(IF(ISNUMBER(M16),L16,0),IF(ISNUMBER(S16),R16,0))</formula>
    </cfRule>
  </conditionalFormatting>
  <conditionalFormatting sqref="H17">
    <cfRule type="expression" dxfId="4" priority="161">
      <formula>AND(ISBLANK(G17),ISBLANK(O17),ISBLANK(U17))</formula>
    </cfRule>
    <cfRule type="expression" dxfId="1" priority="162">
      <formula>IF(SUM(K17,Q17)=0,1,0)</formula>
    </cfRule>
    <cfRule type="cellIs" dxfId="0" priority="163" operator="greaterThan">
      <formula>SUM(K17,Q17)</formula>
    </cfRule>
    <cfRule type="cellIs" dxfId="3" priority="164" operator="greaterThan">
      <formula>SUM(IF(ISNUMBER(M17),L17,0),IF(ISNUMBER(S17),R17,0))</formula>
    </cfRule>
  </conditionalFormatting>
  <conditionalFormatting sqref="H18">
    <cfRule type="expression" dxfId="4" priority="165">
      <formula>AND(ISBLANK(G18),ISBLANK(O18),ISBLANK(U18))</formula>
    </cfRule>
    <cfRule type="expression" dxfId="1" priority="166">
      <formula>IF(SUM(K18,Q18)=0,1,0)</formula>
    </cfRule>
    <cfRule type="cellIs" dxfId="0" priority="167" operator="greaterThan">
      <formula>SUM(K18,Q18)</formula>
    </cfRule>
    <cfRule type="cellIs" dxfId="3" priority="168" operator="greaterThan">
      <formula>SUM(IF(ISNUMBER(M18),L18,0),IF(ISNUMBER(S18),R18,0))</formula>
    </cfRule>
  </conditionalFormatting>
  <conditionalFormatting sqref="H19">
    <cfRule type="expression" dxfId="4" priority="169">
      <formula>AND(ISBLANK(G19),ISBLANK(O19),ISBLANK(U19))</formula>
    </cfRule>
    <cfRule type="expression" dxfId="1" priority="170">
      <formula>IF(SUM(K19,Q19)=0,1,0)</formula>
    </cfRule>
    <cfRule type="cellIs" dxfId="0" priority="171" operator="greaterThan">
      <formula>SUM(K19,Q19)</formula>
    </cfRule>
    <cfRule type="cellIs" dxfId="3" priority="172" operator="greaterThan">
      <formula>SUM(IF(ISNUMBER(M19),L19,0),IF(ISNUMBER(S19),R19,0))</formula>
    </cfRule>
  </conditionalFormatting>
  <conditionalFormatting sqref="H20">
    <cfRule type="expression" dxfId="4" priority="173">
      <formula>AND(ISBLANK(G20),ISBLANK(O20),ISBLANK(U20))</formula>
    </cfRule>
    <cfRule type="expression" dxfId="1" priority="174">
      <formula>IF(SUM(K20,Q20)=0,1,0)</formula>
    </cfRule>
    <cfRule type="cellIs" dxfId="0" priority="175" operator="greaterThan">
      <formula>SUM(K20,Q20)</formula>
    </cfRule>
    <cfRule type="cellIs" dxfId="3" priority="176" operator="greaterThan">
      <formula>SUM(IF(ISNUMBER(M20),L20,0),IF(ISNUMBER(S20),R20,0))</formula>
    </cfRule>
  </conditionalFormatting>
  <conditionalFormatting sqref="H21">
    <cfRule type="expression" dxfId="4" priority="177">
      <formula>AND(ISBLANK(G21),ISBLANK(O21),ISBLANK(U21))</formula>
    </cfRule>
    <cfRule type="expression" dxfId="1" priority="178">
      <formula>IF(SUM(K21,Q21)=0,1,0)</formula>
    </cfRule>
    <cfRule type="cellIs" dxfId="0" priority="179" operator="greaterThan">
      <formula>SUM(K21,Q21)</formula>
    </cfRule>
    <cfRule type="cellIs" dxfId="3" priority="180" operator="greaterThan">
      <formula>SUM(IF(ISNUMBER(M21),L21,0),IF(ISNUMBER(S21),R21,0))</formula>
    </cfRule>
  </conditionalFormatting>
  <conditionalFormatting sqref="H7">
    <cfRule type="expression" dxfId="4" priority="121">
      <formula>AND(ISBLANK(G7),ISBLANK(O7),ISBLANK(U7))</formula>
    </cfRule>
    <cfRule type="expression" dxfId="1" priority="122">
      <formula>IF(SUM(K7,Q7)=0,1,0)</formula>
    </cfRule>
    <cfRule type="cellIs" dxfId="0" priority="123" operator="greaterThan">
      <formula>SUM(K7,Q7)</formula>
    </cfRule>
    <cfRule type="cellIs" dxfId="3" priority="124" operator="greaterThan">
      <formula>SUM(IF(ISNUMBER(M7),L7,0),IF(ISNUMBER(S7),R7,0))</formula>
    </cfRule>
  </conditionalFormatting>
  <conditionalFormatting sqref="H8">
    <cfRule type="expression" dxfId="4" priority="125">
      <formula>AND(ISBLANK(G8),ISBLANK(O8),ISBLANK(U8))</formula>
    </cfRule>
    <cfRule type="expression" dxfId="1" priority="126">
      <formula>IF(SUM(K8,Q8)=0,1,0)</formula>
    </cfRule>
    <cfRule type="cellIs" dxfId="0" priority="127" operator="greaterThan">
      <formula>SUM(K8,Q8)</formula>
    </cfRule>
    <cfRule type="cellIs" dxfId="3" priority="128" operator="greaterThan">
      <formula>SUM(IF(ISNUMBER(M8),L8,0),IF(ISNUMBER(S8),R8,0))</formula>
    </cfRule>
  </conditionalFormatting>
  <conditionalFormatting sqref="H9">
    <cfRule type="expression" dxfId="4" priority="129">
      <formula>AND(ISBLANK(G9),ISBLANK(O9),ISBLANK(U9))</formula>
    </cfRule>
    <cfRule type="expression" dxfId="1" priority="130">
      <formula>IF(SUM(K9,Q9)=0,1,0)</formula>
    </cfRule>
    <cfRule type="cellIs" dxfId="0" priority="131" operator="greaterThan">
      <formula>SUM(K9,Q9)</formula>
    </cfRule>
    <cfRule type="cellIs" dxfId="3" priority="132" operator="greaterThan">
      <formula>SUM(IF(ISNUMBER(M9),L9,0),IF(ISNUMBER(S9),R9,0))</formula>
    </cfRule>
  </conditionalFormatting>
  <conditionalFormatting sqref="K10">
    <cfRule type="cellIs" dxfId="0" priority="9" operator="lessThan">
      <formula>H10</formula>
    </cfRule>
  </conditionalFormatting>
  <conditionalFormatting sqref="K11">
    <cfRule type="cellIs" dxfId="0" priority="13" operator="lessThan">
      <formula>H11</formula>
    </cfRule>
  </conditionalFormatting>
  <conditionalFormatting sqref="K13">
    <cfRule type="cellIs" dxfId="0" priority="17" operator="lessThan">
      <formula>H13</formula>
    </cfRule>
  </conditionalFormatting>
  <conditionalFormatting sqref="K14">
    <cfRule type="cellIs" dxfId="0" priority="21" operator="lessThan">
      <formula>H14</formula>
    </cfRule>
  </conditionalFormatting>
  <conditionalFormatting sqref="K15">
    <cfRule type="cellIs" dxfId="0" priority="25" operator="lessThan">
      <formula>H15</formula>
    </cfRule>
  </conditionalFormatting>
  <conditionalFormatting sqref="K16">
    <cfRule type="cellIs" dxfId="0" priority="29" operator="lessThan">
      <formula>H16</formula>
    </cfRule>
  </conditionalFormatting>
  <conditionalFormatting sqref="K17">
    <cfRule type="cellIs" dxfId="0" priority="33" operator="lessThan">
      <formula>H17</formula>
    </cfRule>
  </conditionalFormatting>
  <conditionalFormatting sqref="K18">
    <cfRule type="cellIs" dxfId="0" priority="37" operator="lessThan">
      <formula>H18</formula>
    </cfRule>
  </conditionalFormatting>
  <conditionalFormatting sqref="K19">
    <cfRule type="cellIs" dxfId="0" priority="45" operator="lessThan">
      <formula>H19</formula>
    </cfRule>
  </conditionalFormatting>
  <conditionalFormatting sqref="K20">
    <cfRule type="cellIs" dxfId="0" priority="49" operator="lessThan">
      <formula>H20</formula>
    </cfRule>
  </conditionalFormatting>
  <conditionalFormatting sqref="K21">
    <cfRule type="cellIs" dxfId="0" priority="53" operator="lessThan">
      <formula>H21</formula>
    </cfRule>
  </conditionalFormatting>
  <conditionalFormatting sqref="K7">
    <cfRule type="cellIs" dxfId="0" priority="1" operator="lessThan">
      <formula>H7</formula>
    </cfRule>
  </conditionalFormatting>
  <conditionalFormatting sqref="K8">
    <cfRule type="cellIs" dxfId="0" priority="5" operator="lessThan">
      <formula>H8</formula>
    </cfRule>
  </conditionalFormatting>
  <conditionalFormatting sqref="L10">
    <cfRule type="expression" dxfId="1" priority="10">
      <formula>AND(NOT(ISBLANK(L10)),OR(K10="NonStk",L10&gt;K10))</formula>
    </cfRule>
  </conditionalFormatting>
  <conditionalFormatting sqref="L11">
    <cfRule type="expression" dxfId="1" priority="14">
      <formula>AND(NOT(ISBLANK(L11)),OR(K11="NonStk",L11&gt;K11))</formula>
    </cfRule>
  </conditionalFormatting>
  <conditionalFormatting sqref="L13">
    <cfRule type="expression" dxfId="1" priority="18">
      <formula>AND(NOT(ISBLANK(L13)),OR(K13="NonStk",L13&gt;K13))</formula>
    </cfRule>
  </conditionalFormatting>
  <conditionalFormatting sqref="L14">
    <cfRule type="expression" dxfId="1" priority="22">
      <formula>AND(NOT(ISBLANK(L14)),OR(K14="NonStk",L14&gt;K14))</formula>
    </cfRule>
  </conditionalFormatting>
  <conditionalFormatting sqref="L15">
    <cfRule type="expression" dxfId="1" priority="26">
      <formula>AND(NOT(ISBLANK(L15)),OR(K15="NonStk",L15&gt;K15))</formula>
    </cfRule>
  </conditionalFormatting>
  <conditionalFormatting sqref="L16">
    <cfRule type="expression" dxfId="1" priority="30">
      <formula>AND(NOT(ISBLANK(L16)),OR(K16="NonStk",L16&gt;K16))</formula>
    </cfRule>
  </conditionalFormatting>
  <conditionalFormatting sqref="L17">
    <cfRule type="expression" dxfId="1" priority="34">
      <formula>AND(NOT(ISBLANK(L17)),OR(K17="NonStk",L17&gt;K17))</formula>
    </cfRule>
  </conditionalFormatting>
  <conditionalFormatting sqref="L18">
    <cfRule type="expression" dxfId="3" priority="38">
      <formula>AND(L18&gt;0,MOD(L18,N18)&lt;&gt;0)</formula>
    </cfRule>
    <cfRule type="expression" dxfId="1" priority="39">
      <formula>AND(NOT(ISBLANK(L18)),OR(K18="NonStk",L18&gt;K18))</formula>
    </cfRule>
  </conditionalFormatting>
  <conditionalFormatting sqref="L19">
    <cfRule type="expression" dxfId="1" priority="46">
      <formula>AND(NOT(ISBLANK(L19)),OR(K19="NonStk",L19&gt;K19))</formula>
    </cfRule>
  </conditionalFormatting>
  <conditionalFormatting sqref="L20">
    <cfRule type="expression" dxfId="1" priority="50">
      <formula>AND(NOT(ISBLANK(L20)),OR(K20="NonStk",L20&gt;K20))</formula>
    </cfRule>
  </conditionalFormatting>
  <conditionalFormatting sqref="L21">
    <cfRule type="expression" dxfId="1" priority="54">
      <formula>AND(NOT(ISBLANK(L21)),OR(K21="NonStk",L21&gt;K21))</formula>
    </cfRule>
  </conditionalFormatting>
  <conditionalFormatting sqref="L7">
    <cfRule type="expression" dxfId="1" priority="2">
      <formula>AND(NOT(ISBLANK(L7)),OR(K7="NonStk",L7&gt;K7))</formula>
    </cfRule>
  </conditionalFormatting>
  <conditionalFormatting sqref="L8">
    <cfRule type="expression" dxfId="1" priority="6">
      <formula>AND(NOT(ISBLANK(L8)),OR(K8="NonStk",L8&gt;K8))</formula>
    </cfRule>
  </conditionalFormatting>
  <conditionalFormatting sqref="M10">
    <cfRule type="cellIs" dxfId="2" priority="12" operator="lessThanOrEqual">
      <formula>I10</formula>
    </cfRule>
  </conditionalFormatting>
  <conditionalFormatting sqref="M11">
    <cfRule type="cellIs" dxfId="2" priority="16" operator="lessThanOrEqual">
      <formula>I11</formula>
    </cfRule>
  </conditionalFormatting>
  <conditionalFormatting sqref="M13">
    <cfRule type="cellIs" dxfId="2" priority="20" operator="lessThanOrEqual">
      <formula>I13</formula>
    </cfRule>
  </conditionalFormatting>
  <conditionalFormatting sqref="M14">
    <cfRule type="cellIs" dxfId="2" priority="24" operator="lessThanOrEqual">
      <formula>I14</formula>
    </cfRule>
  </conditionalFormatting>
  <conditionalFormatting sqref="M15">
    <cfRule type="cellIs" dxfId="2" priority="28" operator="lessThanOrEqual">
      <formula>I15</formula>
    </cfRule>
  </conditionalFormatting>
  <conditionalFormatting sqref="M16">
    <cfRule type="cellIs" dxfId="2" priority="32" operator="lessThanOrEqual">
      <formula>I16</formula>
    </cfRule>
  </conditionalFormatting>
  <conditionalFormatting sqref="M17">
    <cfRule type="cellIs" dxfId="2" priority="36" operator="lessThanOrEqual">
      <formula>I17</formula>
    </cfRule>
  </conditionalFormatting>
  <conditionalFormatting sqref="M18">
    <cfRule type="cellIs" dxfId="2" priority="41" operator="lessThanOrEqual">
      <formula>I18</formula>
    </cfRule>
    <cfRule type="expression" dxfId="3" priority="42">
      <formula>AND(H18&lt;502,L18&lt;502)</formula>
    </cfRule>
  </conditionalFormatting>
  <conditionalFormatting sqref="M19">
    <cfRule type="cellIs" dxfId="2" priority="48" operator="lessThanOrEqual">
      <formula>I19</formula>
    </cfRule>
  </conditionalFormatting>
  <conditionalFormatting sqref="M20">
    <cfRule type="cellIs" dxfId="2" priority="52" operator="lessThanOrEqual">
      <formula>I20</formula>
    </cfRule>
  </conditionalFormatting>
  <conditionalFormatting sqref="M21">
    <cfRule type="cellIs" dxfId="2" priority="56" operator="lessThanOrEqual">
      <formula>I21</formula>
    </cfRule>
  </conditionalFormatting>
  <conditionalFormatting sqref="M7">
    <cfRule type="cellIs" dxfId="2" priority="4" operator="lessThanOrEqual">
      <formula>I7</formula>
    </cfRule>
  </conditionalFormatting>
  <conditionalFormatting sqref="M8">
    <cfRule type="cellIs" dxfId="2" priority="8" operator="lessThanOrEqual">
      <formula>I8</formula>
    </cfRule>
  </conditionalFormatting>
  <conditionalFormatting sqref="N18">
    <cfRule type="expression" dxfId="3" priority="43">
      <formula>AND(H18&lt;502,L18&lt;502)</formula>
    </cfRule>
  </conditionalFormatting>
  <conditionalFormatting sqref="O10">
    <cfRule type="cellIs" dxfId="2" priority="11" operator="lessThanOrEqual">
      <formula>J10</formula>
    </cfRule>
  </conditionalFormatting>
  <conditionalFormatting sqref="O11">
    <cfRule type="cellIs" dxfId="2" priority="15" operator="lessThanOrEqual">
      <formula>J11</formula>
    </cfRule>
  </conditionalFormatting>
  <conditionalFormatting sqref="O13">
    <cfRule type="cellIs" dxfId="2" priority="19" operator="lessThanOrEqual">
      <formula>J13</formula>
    </cfRule>
  </conditionalFormatting>
  <conditionalFormatting sqref="O14">
    <cfRule type="cellIs" dxfId="2" priority="23" operator="lessThanOrEqual">
      <formula>J14</formula>
    </cfRule>
  </conditionalFormatting>
  <conditionalFormatting sqref="O15">
    <cfRule type="cellIs" dxfId="2" priority="27" operator="lessThanOrEqual">
      <formula>J15</formula>
    </cfRule>
  </conditionalFormatting>
  <conditionalFormatting sqref="O16">
    <cfRule type="cellIs" dxfId="2" priority="31" operator="lessThanOrEqual">
      <formula>J16</formula>
    </cfRule>
  </conditionalFormatting>
  <conditionalFormatting sqref="O17">
    <cfRule type="cellIs" dxfId="2" priority="35" operator="lessThanOrEqual">
      <formula>J17</formula>
    </cfRule>
  </conditionalFormatting>
  <conditionalFormatting sqref="O18">
    <cfRule type="cellIs" dxfId="2" priority="40" operator="lessThanOrEqual">
      <formula>J18</formula>
    </cfRule>
    <cfRule type="expression" dxfId="3" priority="44">
      <formula>AND(H18&lt;502,L18&lt;502)</formula>
    </cfRule>
  </conditionalFormatting>
  <conditionalFormatting sqref="O19">
    <cfRule type="cellIs" dxfId="2" priority="47" operator="lessThanOrEqual">
      <formula>J19</formula>
    </cfRule>
  </conditionalFormatting>
  <conditionalFormatting sqref="O20">
    <cfRule type="cellIs" dxfId="2" priority="51" operator="lessThanOrEqual">
      <formula>J20</formula>
    </cfRule>
  </conditionalFormatting>
  <conditionalFormatting sqref="O21">
    <cfRule type="cellIs" dxfId="2" priority="55" operator="lessThanOrEqual">
      <formula>J21</formula>
    </cfRule>
  </conditionalFormatting>
  <conditionalFormatting sqref="O7">
    <cfRule type="cellIs" dxfId="2" priority="3" operator="lessThanOrEqual">
      <formula>J7</formula>
    </cfRule>
  </conditionalFormatting>
  <conditionalFormatting sqref="O8">
    <cfRule type="cellIs" dxfId="2" priority="7" operator="lessThanOrEqual">
      <formula>J8</formula>
    </cfRule>
  </conditionalFormatting>
  <conditionalFormatting sqref="Q10">
    <cfRule type="cellIs" dxfId="0" priority="73" operator="lessThan">
      <formula>H10</formula>
    </cfRule>
  </conditionalFormatting>
  <conditionalFormatting sqref="Q11">
    <cfRule type="cellIs" dxfId="0" priority="77" operator="lessThan">
      <formula>H11</formula>
    </cfRule>
  </conditionalFormatting>
  <conditionalFormatting sqref="Q13">
    <cfRule type="cellIs" dxfId="0" priority="81" operator="lessThan">
      <formula>H13</formula>
    </cfRule>
  </conditionalFormatting>
  <conditionalFormatting sqref="Q14">
    <cfRule type="cellIs" dxfId="0" priority="85" operator="lessThan">
      <formula>H14</formula>
    </cfRule>
  </conditionalFormatting>
  <conditionalFormatting sqref="Q15">
    <cfRule type="cellIs" dxfId="0" priority="89" operator="lessThan">
      <formula>H15</formula>
    </cfRule>
  </conditionalFormatting>
  <conditionalFormatting sqref="Q16">
    <cfRule type="cellIs" dxfId="0" priority="93" operator="lessThan">
      <formula>H16</formula>
    </cfRule>
  </conditionalFormatting>
  <conditionalFormatting sqref="Q17">
    <cfRule type="cellIs" dxfId="0" priority="97" operator="lessThan">
      <formula>H17</formula>
    </cfRule>
  </conditionalFormatting>
  <conditionalFormatting sqref="Q18">
    <cfRule type="cellIs" dxfId="0" priority="101" operator="lessThan">
      <formula>H18</formula>
    </cfRule>
  </conditionalFormatting>
  <conditionalFormatting sqref="Q19">
    <cfRule type="cellIs" dxfId="0" priority="109" operator="lessThan">
      <formula>H19</formula>
    </cfRule>
  </conditionalFormatting>
  <conditionalFormatting sqref="Q20">
    <cfRule type="cellIs" dxfId="0" priority="113" operator="lessThan">
      <formula>H20</formula>
    </cfRule>
  </conditionalFormatting>
  <conditionalFormatting sqref="Q21">
    <cfRule type="cellIs" dxfId="0" priority="117" operator="lessThan">
      <formula>H21</formula>
    </cfRule>
  </conditionalFormatting>
  <conditionalFormatting sqref="Q7">
    <cfRule type="cellIs" dxfId="0" priority="57" operator="lessThan">
      <formula>H7</formula>
    </cfRule>
  </conditionalFormatting>
  <conditionalFormatting sqref="Q8">
    <cfRule type="cellIs" dxfId="0" priority="61" operator="lessThan">
      <formula>H8</formula>
    </cfRule>
  </conditionalFormatting>
  <conditionalFormatting sqref="Q9">
    <cfRule type="cellIs" dxfId="0" priority="65" operator="lessThan">
      <formula>H9</formula>
    </cfRule>
  </conditionalFormatting>
  <conditionalFormatting sqref="R10">
    <cfRule type="expression" dxfId="1" priority="74">
      <formula>AND(NOT(ISBLANK(R10)),OR(Q10="NonStk",R10&gt;Q10))</formula>
    </cfRule>
  </conditionalFormatting>
  <conditionalFormatting sqref="R11">
    <cfRule type="expression" dxfId="1" priority="78">
      <formula>AND(NOT(ISBLANK(R11)),OR(Q11="NonStk",R11&gt;Q11))</formula>
    </cfRule>
  </conditionalFormatting>
  <conditionalFormatting sqref="R13">
    <cfRule type="expression" dxfId="1" priority="82">
      <formula>AND(NOT(ISBLANK(R13)),OR(Q13="NonStk",R13&gt;Q13))</formula>
    </cfRule>
  </conditionalFormatting>
  <conditionalFormatting sqref="R14">
    <cfRule type="expression" dxfId="1" priority="86">
      <formula>AND(NOT(ISBLANK(R14)),OR(Q14="NonStk",R14&gt;Q14))</formula>
    </cfRule>
  </conditionalFormatting>
  <conditionalFormatting sqref="R15">
    <cfRule type="expression" dxfId="1" priority="90">
      <formula>AND(NOT(ISBLANK(R15)),OR(Q15="NonStk",R15&gt;Q15))</formula>
    </cfRule>
  </conditionalFormatting>
  <conditionalFormatting sqref="R16">
    <cfRule type="expression" dxfId="1" priority="94">
      <formula>AND(NOT(ISBLANK(R16)),OR(Q16="NonStk",R16&gt;Q16))</formula>
    </cfRule>
  </conditionalFormatting>
  <conditionalFormatting sqref="R17">
    <cfRule type="expression" dxfId="1" priority="98">
      <formula>AND(NOT(ISBLANK(R17)),OR(Q17="NonStk",R17&gt;Q17))</formula>
    </cfRule>
  </conditionalFormatting>
  <conditionalFormatting sqref="R18">
    <cfRule type="expression" dxfId="3" priority="102">
      <formula>AND(R18&gt;0,MOD(R18,T18)&lt;&gt;0)</formula>
    </cfRule>
    <cfRule type="expression" dxfId="1" priority="103">
      <formula>AND(NOT(ISBLANK(R18)),OR(Q18="NonStk",R18&gt;Q18))</formula>
    </cfRule>
  </conditionalFormatting>
  <conditionalFormatting sqref="R19">
    <cfRule type="expression" dxfId="1" priority="110">
      <formula>AND(NOT(ISBLANK(R19)),OR(Q19="NonStk",R19&gt;Q19))</formula>
    </cfRule>
  </conditionalFormatting>
  <conditionalFormatting sqref="R20">
    <cfRule type="expression" dxfId="1" priority="114">
      <formula>AND(NOT(ISBLANK(R20)),OR(Q20="NonStk",R20&gt;Q20))</formula>
    </cfRule>
  </conditionalFormatting>
  <conditionalFormatting sqref="R21">
    <cfRule type="expression" dxfId="1" priority="118">
      <formula>AND(NOT(ISBLANK(R21)),OR(Q21="NonStk",R21&gt;Q21))</formula>
    </cfRule>
  </conditionalFormatting>
  <conditionalFormatting sqref="R7">
    <cfRule type="expression" dxfId="1" priority="58">
      <formula>AND(NOT(ISBLANK(R7)),OR(Q7="NonStk",R7&gt;Q7))</formula>
    </cfRule>
  </conditionalFormatting>
  <conditionalFormatting sqref="R8">
    <cfRule type="expression" dxfId="1" priority="62">
      <formula>AND(NOT(ISBLANK(R8)),OR(Q8="NonStk",R8&gt;Q8))</formula>
    </cfRule>
  </conditionalFormatting>
  <conditionalFormatting sqref="R9">
    <cfRule type="expression" dxfId="3" priority="66">
      <formula>AND(R9&gt;0,MOD(R9,T9)&lt;&gt;0)</formula>
    </cfRule>
    <cfRule type="expression" dxfId="1" priority="67">
      <formula>AND(NOT(ISBLANK(R9)),OR(Q9="NonStk",R9&gt;Q9))</formula>
    </cfRule>
  </conditionalFormatting>
  <conditionalFormatting sqref="S10">
    <cfRule type="cellIs" dxfId="2" priority="76" operator="lessThanOrEqual">
      <formula>I10</formula>
    </cfRule>
  </conditionalFormatting>
  <conditionalFormatting sqref="S11">
    <cfRule type="cellIs" dxfId="2" priority="80" operator="lessThanOrEqual">
      <formula>I11</formula>
    </cfRule>
  </conditionalFormatting>
  <conditionalFormatting sqref="S13">
    <cfRule type="cellIs" dxfId="2" priority="84" operator="lessThanOrEqual">
      <formula>I13</formula>
    </cfRule>
  </conditionalFormatting>
  <conditionalFormatting sqref="S14">
    <cfRule type="cellIs" dxfId="2" priority="88" operator="lessThanOrEqual">
      <formula>I14</formula>
    </cfRule>
  </conditionalFormatting>
  <conditionalFormatting sqref="S15">
    <cfRule type="cellIs" dxfId="2" priority="92" operator="lessThanOrEqual">
      <formula>I15</formula>
    </cfRule>
  </conditionalFormatting>
  <conditionalFormatting sqref="S16">
    <cfRule type="cellIs" dxfId="2" priority="96" operator="lessThanOrEqual">
      <formula>I16</formula>
    </cfRule>
  </conditionalFormatting>
  <conditionalFormatting sqref="S17">
    <cfRule type="cellIs" dxfId="2" priority="100" operator="lessThanOrEqual">
      <formula>I17</formula>
    </cfRule>
  </conditionalFormatting>
  <conditionalFormatting sqref="S18">
    <cfRule type="cellIs" dxfId="2" priority="105" operator="lessThanOrEqual">
      <formula>I18</formula>
    </cfRule>
    <cfRule type="expression" dxfId="3" priority="106">
      <formula>AND(H18&lt;2000,R18&lt;2000)</formula>
    </cfRule>
  </conditionalFormatting>
  <conditionalFormatting sqref="S19">
    <cfRule type="cellIs" dxfId="2" priority="112" operator="lessThanOrEqual">
      <formula>I19</formula>
    </cfRule>
  </conditionalFormatting>
  <conditionalFormatting sqref="S20">
    <cfRule type="cellIs" dxfId="2" priority="116" operator="lessThanOrEqual">
      <formula>I20</formula>
    </cfRule>
  </conditionalFormatting>
  <conditionalFormatting sqref="S21">
    <cfRule type="cellIs" dxfId="2" priority="120" operator="lessThanOrEqual">
      <formula>I21</formula>
    </cfRule>
  </conditionalFormatting>
  <conditionalFormatting sqref="S7">
    <cfRule type="cellIs" dxfId="2" priority="60" operator="lessThanOrEqual">
      <formula>I7</formula>
    </cfRule>
  </conditionalFormatting>
  <conditionalFormatting sqref="S8">
    <cfRule type="cellIs" dxfId="2" priority="64" operator="lessThanOrEqual">
      <formula>I8</formula>
    </cfRule>
  </conditionalFormatting>
  <conditionalFormatting sqref="S9">
    <cfRule type="cellIs" dxfId="2" priority="69" operator="lessThanOrEqual">
      <formula>I9</formula>
    </cfRule>
    <cfRule type="expression" dxfId="3" priority="70">
      <formula>AND(H9&lt;10000,R9&lt;10000)</formula>
    </cfRule>
  </conditionalFormatting>
  <conditionalFormatting sqref="T18">
    <cfRule type="expression" dxfId="3" priority="107">
      <formula>AND(H18&lt;2000,R18&lt;2000)</formula>
    </cfRule>
  </conditionalFormatting>
  <conditionalFormatting sqref="T9">
    <cfRule type="expression" dxfId="3" priority="71">
      <formula>AND(H9&lt;10000,R9&lt;10000)</formula>
    </cfRule>
  </conditionalFormatting>
  <conditionalFormatting sqref="U10">
    <cfRule type="cellIs" dxfId="2" priority="75" operator="lessThanOrEqual">
      <formula>J10</formula>
    </cfRule>
  </conditionalFormatting>
  <conditionalFormatting sqref="U11">
    <cfRule type="cellIs" dxfId="2" priority="79" operator="lessThanOrEqual">
      <formula>J11</formula>
    </cfRule>
  </conditionalFormatting>
  <conditionalFormatting sqref="U13">
    <cfRule type="cellIs" dxfId="2" priority="83" operator="lessThanOrEqual">
      <formula>J13</formula>
    </cfRule>
  </conditionalFormatting>
  <conditionalFormatting sqref="U14">
    <cfRule type="cellIs" dxfId="2" priority="87" operator="lessThanOrEqual">
      <formula>J14</formula>
    </cfRule>
  </conditionalFormatting>
  <conditionalFormatting sqref="U15">
    <cfRule type="cellIs" dxfId="2" priority="91" operator="lessThanOrEqual">
      <formula>J15</formula>
    </cfRule>
  </conditionalFormatting>
  <conditionalFormatting sqref="U16">
    <cfRule type="cellIs" dxfId="2" priority="95" operator="lessThanOrEqual">
      <formula>J16</formula>
    </cfRule>
  </conditionalFormatting>
  <conditionalFormatting sqref="U17">
    <cfRule type="cellIs" dxfId="2" priority="99" operator="lessThanOrEqual">
      <formula>J17</formula>
    </cfRule>
  </conditionalFormatting>
  <conditionalFormatting sqref="U18">
    <cfRule type="cellIs" dxfId="2" priority="104" operator="lessThanOrEqual">
      <formula>J18</formula>
    </cfRule>
    <cfRule type="expression" dxfId="3" priority="108">
      <formula>AND(H18&lt;2000,R18&lt;2000)</formula>
    </cfRule>
  </conditionalFormatting>
  <conditionalFormatting sqref="U19">
    <cfRule type="cellIs" dxfId="2" priority="111" operator="lessThanOrEqual">
      <formula>J19</formula>
    </cfRule>
  </conditionalFormatting>
  <conditionalFormatting sqref="U20">
    <cfRule type="cellIs" dxfId="2" priority="115" operator="lessThanOrEqual">
      <formula>J20</formula>
    </cfRule>
  </conditionalFormatting>
  <conditionalFormatting sqref="U21">
    <cfRule type="cellIs" dxfId="2" priority="119" operator="lessThanOrEqual">
      <formula>J21</formula>
    </cfRule>
  </conditionalFormatting>
  <conditionalFormatting sqref="U7">
    <cfRule type="cellIs" dxfId="2" priority="59" operator="lessThanOrEqual">
      <formula>J7</formula>
    </cfRule>
  </conditionalFormatting>
  <conditionalFormatting sqref="U8">
    <cfRule type="cellIs" dxfId="2" priority="63" operator="lessThanOrEqual">
      <formula>J8</formula>
    </cfRule>
  </conditionalFormatting>
  <conditionalFormatting sqref="U9">
    <cfRule type="cellIs" dxfId="2" priority="68" operator="lessThanOrEqual">
      <formula>J9</formula>
    </cfRule>
    <cfRule type="expression" dxfId="3" priority="72">
      <formula>AND(H9&lt;10000,R9&lt;10000)</formula>
    </cfRule>
  </conditionalFormatting>
  <hyperlinks>
    <hyperlink ref="G7" r:id="rId1"/>
    <hyperlink ref="P7" r:id="rId2"/>
    <hyperlink ref="V7" r:id="rId3"/>
    <hyperlink ref="G8" r:id="rId4"/>
    <hyperlink ref="P8" r:id="rId5"/>
    <hyperlink ref="V8" r:id="rId6"/>
    <hyperlink ref="G9" r:id="rId7"/>
    <hyperlink ref="V9" r:id="rId8"/>
    <hyperlink ref="G10" r:id="rId9"/>
    <hyperlink ref="P10" r:id="rId10"/>
    <hyperlink ref="V10" r:id="rId11"/>
    <hyperlink ref="G11" r:id="rId12"/>
    <hyperlink ref="P11" r:id="rId13"/>
    <hyperlink ref="V11" r:id="rId14"/>
    <hyperlink ref="G12" r:id="rId15"/>
    <hyperlink ref="G13" r:id="rId16"/>
    <hyperlink ref="P13" r:id="rId17"/>
    <hyperlink ref="V13" r:id="rId18"/>
    <hyperlink ref="G14" r:id="rId19"/>
    <hyperlink ref="P14" r:id="rId20"/>
    <hyperlink ref="V14" r:id="rId21"/>
    <hyperlink ref="G15" r:id="rId22"/>
    <hyperlink ref="P15" r:id="rId23"/>
    <hyperlink ref="V15" r:id="rId24"/>
    <hyperlink ref="G16" r:id="rId25"/>
    <hyperlink ref="P16" r:id="rId26"/>
    <hyperlink ref="V16" r:id="rId27"/>
    <hyperlink ref="G17" r:id="rId28"/>
    <hyperlink ref="P17" r:id="rId29"/>
    <hyperlink ref="V17" r:id="rId30"/>
    <hyperlink ref="G18" r:id="rId31"/>
    <hyperlink ref="P18" r:id="rId32"/>
    <hyperlink ref="V18" r:id="rId33"/>
    <hyperlink ref="G19" r:id="rId34"/>
    <hyperlink ref="P19" r:id="rId35"/>
    <hyperlink ref="V19" r:id="rId36"/>
    <hyperlink ref="G20" r:id="rId37"/>
    <hyperlink ref="P20" r:id="rId38"/>
    <hyperlink ref="V20" r:id="rId39"/>
    <hyperlink ref="G21" r:id="rId40"/>
    <hyperlink ref="P21" r:id="rId41"/>
    <hyperlink ref="V21" r:id="rId42"/>
    <hyperlink ref="K23" r:id="rId43"/>
    <hyperlink ref="Q23" r:id="rId44"/>
  </hyperlinks>
  <pageMargins left="0.7" right="0.7" top="0.75" bottom="0.75" header="0.3" footer="0.3"/>
  <legacy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reDIP-RIOT-BOM</vt:lpstr>
      <vt:lpstr>'reDIP-RIOT-BOM'!BoardQty</vt:lpstr>
      <vt:lpstr>'reDIP-RIOT-BOM'!PURCHASE_DESCRIPTION</vt:lpstr>
      <vt:lpstr>'reDIP-RIOT-BOM'!TotalCost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2023-11-04T07:29:49Z</dcterms:created>
  <dcterms:modified xsi:type="dcterms:W3CDTF">2023-11-04T07:29:49Z</dcterms:modified>
</cp:coreProperties>
</file>